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814"/>
  <workbookPr/>
  <mc:AlternateContent xmlns:mc="http://schemas.openxmlformats.org/markup-compatibility/2006">
    <mc:Choice Requires="x15">
      <x15ac:absPath xmlns:x15ac="http://schemas.microsoft.com/office/spreadsheetml/2010/11/ac" url="https://utoronto-my.sharepoint.com/personal/noah_cassidy_mail_utoronto_ca/Documents/Documents/Third Year/CME368/"/>
    </mc:Choice>
  </mc:AlternateContent>
  <xr:revisionPtr revIDLastSave="2759" documentId="20D7C80873849F603A2FF1BC9BE4921BCFEDC7CE" xr6:coauthVersionLast="26" xr6:coauthVersionMax="26" xr10:uidLastSave="{18A916D5-7767-4351-8F98-C5DC06B2D486}"/>
  <bookViews>
    <workbookView xWindow="240" yWindow="105" windowWidth="14805" windowHeight="8010" tabRatio="556" firstSheet="6" activeTab="6" xr2:uid="{00000000-000D-0000-FFFF-FFFF00000000}"/>
  </bookViews>
  <sheets>
    <sheet name="Master" sheetId="1" r:id="rId1"/>
    <sheet name="Master with Corporate Tax" sheetId="7" r:id="rId2"/>
    <sheet name="Master with CT" sheetId="5" r:id="rId3"/>
    <sheet name="Master with Corporate and CT" sheetId="8" r:id="rId4"/>
    <sheet name="Carbon Tax" sheetId="4" r:id="rId5"/>
    <sheet name="Sensitivity no tax" sheetId="10" r:id="rId6"/>
    <sheet name="Master with Tax and CT and Dep" sheetId="12" r:id="rId7"/>
    <sheet name="Sensitivity - i" sheetId="13" r:id="rId8"/>
    <sheet name="Sensitivity - fuel" sheetId="17" r:id="rId9"/>
    <sheet name="Sensitivity - Cost" sheetId="18" r:id="rId10"/>
    <sheet name="Sensitivity - Capacity" sheetId="19" r:id="rId11"/>
    <sheet name="Charts" sheetId="20" r:id="rId12"/>
    <sheet name="Historical Tax Rates" sheetId="21" r:id="rId13"/>
  </sheets>
  <calcPr calcId="171026"/>
</workbook>
</file>

<file path=xl/calcChain.xml><?xml version="1.0" encoding="utf-8"?>
<calcChain xmlns="http://schemas.openxmlformats.org/spreadsheetml/2006/main">
  <c r="R12" i="12" l="1"/>
  <c r="R9" i="12"/>
  <c r="B39" i="13"/>
  <c r="C39" i="13"/>
  <c r="A3" i="20"/>
  <c r="A2" i="20"/>
  <c r="A19" i="12"/>
  <c r="C13" i="12"/>
  <c r="C10" i="12"/>
  <c r="C11" i="12"/>
  <c r="Q9" i="12"/>
  <c r="S9" i="12"/>
  <c r="C12" i="12"/>
  <c r="R3" i="12"/>
  <c r="S3" i="12"/>
  <c r="T4" i="12"/>
  <c r="U4" i="12"/>
  <c r="T5" i="12"/>
  <c r="U5" i="12"/>
  <c r="T6" i="12"/>
  <c r="U6" i="12"/>
  <c r="T7" i="12"/>
  <c r="U7" i="12"/>
  <c r="T8" i="12"/>
  <c r="U8" i="12"/>
  <c r="T9" i="12"/>
  <c r="U9" i="12"/>
  <c r="V9" i="12"/>
  <c r="S4" i="12"/>
  <c r="V4" i="12"/>
  <c r="W3" i="12"/>
  <c r="W4" i="12"/>
  <c r="S5" i="12"/>
  <c r="V5" i="12"/>
  <c r="W5" i="12"/>
  <c r="S6" i="12"/>
  <c r="V6" i="12"/>
  <c r="W6" i="12"/>
  <c r="S7" i="12"/>
  <c r="V7" i="12"/>
  <c r="W7" i="12"/>
  <c r="S8" i="12"/>
  <c r="V8" i="12"/>
  <c r="W8" i="12"/>
  <c r="W9" i="12"/>
  <c r="X9" i="12"/>
  <c r="H4" i="12"/>
  <c r="J4" i="12"/>
  <c r="K4" i="12"/>
  <c r="L4" i="12"/>
  <c r="H5" i="12"/>
  <c r="I5" i="12"/>
  <c r="J5" i="12"/>
  <c r="K5" i="12"/>
  <c r="L5" i="12"/>
  <c r="H6" i="12"/>
  <c r="I6" i="12"/>
  <c r="J6" i="12"/>
  <c r="K6" i="12"/>
  <c r="L6" i="12"/>
  <c r="B10" i="12"/>
  <c r="B11" i="12"/>
  <c r="F7" i="12"/>
  <c r="B13" i="12"/>
  <c r="G7" i="12"/>
  <c r="H7" i="12"/>
  <c r="I7" i="12"/>
  <c r="J7" i="12"/>
  <c r="K7" i="12"/>
  <c r="L7" i="12"/>
  <c r="F8" i="12"/>
  <c r="G8" i="12"/>
  <c r="H8" i="12"/>
  <c r="I8" i="12"/>
  <c r="J8" i="12"/>
  <c r="K8" i="12"/>
  <c r="L8" i="12"/>
  <c r="F9" i="12"/>
  <c r="G9" i="12"/>
  <c r="H9" i="12"/>
  <c r="I9" i="12"/>
  <c r="J9" i="12"/>
  <c r="K9" i="12"/>
  <c r="L9" i="12"/>
  <c r="M9" i="12"/>
  <c r="AA9" i="12"/>
  <c r="R10" i="12"/>
  <c r="Q10" i="12"/>
  <c r="S10" i="12"/>
  <c r="T10" i="12"/>
  <c r="U10" i="12"/>
  <c r="V10" i="12"/>
  <c r="W10" i="12"/>
  <c r="X10" i="12"/>
  <c r="F10" i="12"/>
  <c r="G10" i="12"/>
  <c r="H10" i="12"/>
  <c r="I10" i="12"/>
  <c r="J10" i="12"/>
  <c r="K10" i="12"/>
  <c r="L10" i="12"/>
  <c r="M10" i="12"/>
  <c r="AA10" i="12"/>
  <c r="R11" i="12"/>
  <c r="Q11" i="12"/>
  <c r="S11" i="12"/>
  <c r="T11" i="12"/>
  <c r="U11" i="12"/>
  <c r="V11" i="12"/>
  <c r="W11" i="12"/>
  <c r="X11" i="12"/>
  <c r="F11" i="12"/>
  <c r="G11" i="12"/>
  <c r="H11" i="12"/>
  <c r="I11" i="12"/>
  <c r="J11" i="12"/>
  <c r="K11" i="12"/>
  <c r="L11" i="12"/>
  <c r="M11" i="12"/>
  <c r="AA11" i="12"/>
  <c r="Q12" i="12"/>
  <c r="S12" i="12"/>
  <c r="T12" i="12"/>
  <c r="U12" i="12"/>
  <c r="V12" i="12"/>
  <c r="W12" i="12"/>
  <c r="X12" i="12"/>
  <c r="F12" i="12"/>
  <c r="G12" i="12"/>
  <c r="H12" i="12"/>
  <c r="I12" i="12"/>
  <c r="J12" i="12"/>
  <c r="K12" i="12"/>
  <c r="L12" i="12"/>
  <c r="M12" i="12"/>
  <c r="AA12" i="12"/>
  <c r="R13" i="12"/>
  <c r="Q13" i="12"/>
  <c r="S13" i="12"/>
  <c r="T13" i="12"/>
  <c r="U13" i="12"/>
  <c r="V13" i="12"/>
  <c r="W13" i="12"/>
  <c r="X13" i="12"/>
  <c r="F13" i="12"/>
  <c r="G13" i="12"/>
  <c r="H13" i="12"/>
  <c r="I13" i="12"/>
  <c r="J13" i="12"/>
  <c r="K13" i="12"/>
  <c r="L13" i="12"/>
  <c r="M13" i="12"/>
  <c r="AA13" i="12"/>
  <c r="R14" i="12"/>
  <c r="Q14" i="12"/>
  <c r="S14" i="12"/>
  <c r="T14" i="12"/>
  <c r="U14" i="12"/>
  <c r="V14" i="12"/>
  <c r="W14" i="12"/>
  <c r="X14" i="12"/>
  <c r="F14" i="12"/>
  <c r="G14" i="12"/>
  <c r="H14" i="12"/>
  <c r="I14" i="12"/>
  <c r="J14" i="12"/>
  <c r="K14" i="12"/>
  <c r="L14" i="12"/>
  <c r="M14" i="12"/>
  <c r="AA14" i="12"/>
  <c r="R15" i="12"/>
  <c r="Q15" i="12"/>
  <c r="S15" i="12"/>
  <c r="T15" i="12"/>
  <c r="U15" i="12"/>
  <c r="V15" i="12"/>
  <c r="W15" i="12"/>
  <c r="X15" i="12"/>
  <c r="F15" i="12"/>
  <c r="G15" i="12"/>
  <c r="H15" i="12"/>
  <c r="I15" i="12"/>
  <c r="J15" i="12"/>
  <c r="K15" i="12"/>
  <c r="L15" i="12"/>
  <c r="M15" i="12"/>
  <c r="AA15" i="12"/>
  <c r="R16" i="12"/>
  <c r="Q16" i="12"/>
  <c r="S16" i="12"/>
  <c r="T16" i="12"/>
  <c r="U16" i="12"/>
  <c r="V16" i="12"/>
  <c r="W16" i="12"/>
  <c r="X16" i="12"/>
  <c r="F16" i="12"/>
  <c r="G16" i="12"/>
  <c r="H16" i="12"/>
  <c r="I16" i="12"/>
  <c r="J16" i="12"/>
  <c r="K16" i="12"/>
  <c r="L16" i="12"/>
  <c r="M16" i="12"/>
  <c r="AA16" i="12"/>
  <c r="R17" i="12"/>
  <c r="Q17" i="12"/>
  <c r="S17" i="12"/>
  <c r="T17" i="12"/>
  <c r="U17" i="12"/>
  <c r="V17" i="12"/>
  <c r="W17" i="12"/>
  <c r="X17" i="12"/>
  <c r="F17" i="12"/>
  <c r="G17" i="12"/>
  <c r="H17" i="12"/>
  <c r="I17" i="12"/>
  <c r="J17" i="12"/>
  <c r="K17" i="12"/>
  <c r="L17" i="12"/>
  <c r="M17" i="12"/>
  <c r="AA17" i="12"/>
  <c r="R18" i="12"/>
  <c r="Q18" i="12"/>
  <c r="S18" i="12"/>
  <c r="T18" i="12"/>
  <c r="U18" i="12"/>
  <c r="V18" i="12"/>
  <c r="W18" i="12"/>
  <c r="X18" i="12"/>
  <c r="F18" i="12"/>
  <c r="G18" i="12"/>
  <c r="H18" i="12"/>
  <c r="I18" i="12"/>
  <c r="J18" i="12"/>
  <c r="K18" i="12"/>
  <c r="L18" i="12"/>
  <c r="M18" i="12"/>
  <c r="AA18" i="12"/>
  <c r="R19" i="12"/>
  <c r="Q19" i="12"/>
  <c r="S19" i="12"/>
  <c r="T19" i="12"/>
  <c r="U19" i="12"/>
  <c r="V19" i="12"/>
  <c r="W19" i="12"/>
  <c r="X19" i="12"/>
  <c r="F19" i="12"/>
  <c r="G19" i="12"/>
  <c r="H19" i="12"/>
  <c r="I19" i="12"/>
  <c r="J19" i="12"/>
  <c r="K19" i="12"/>
  <c r="L19" i="12"/>
  <c r="M19" i="12"/>
  <c r="AA19" i="12"/>
  <c r="R20" i="12"/>
  <c r="Q20" i="12"/>
  <c r="S20" i="12"/>
  <c r="T20" i="12"/>
  <c r="U20" i="12"/>
  <c r="V20" i="12"/>
  <c r="W20" i="12"/>
  <c r="X20" i="12"/>
  <c r="F20" i="12"/>
  <c r="G20" i="12"/>
  <c r="H20" i="12"/>
  <c r="I20" i="12"/>
  <c r="J20" i="12"/>
  <c r="K20" i="12"/>
  <c r="L20" i="12"/>
  <c r="M20" i="12"/>
  <c r="AA20" i="12"/>
  <c r="R21" i="12"/>
  <c r="Q21" i="12"/>
  <c r="S21" i="12"/>
  <c r="T21" i="12"/>
  <c r="U21" i="12"/>
  <c r="V21" i="12"/>
  <c r="W21" i="12"/>
  <c r="X21" i="12"/>
  <c r="F21" i="12"/>
  <c r="G21" i="12"/>
  <c r="H21" i="12"/>
  <c r="I21" i="12"/>
  <c r="J21" i="12"/>
  <c r="K21" i="12"/>
  <c r="L21" i="12"/>
  <c r="M21" i="12"/>
  <c r="AA21" i="12"/>
  <c r="R22" i="12"/>
  <c r="Q22" i="12"/>
  <c r="S22" i="12"/>
  <c r="T22" i="12"/>
  <c r="U22" i="12"/>
  <c r="V22" i="12"/>
  <c r="W22" i="12"/>
  <c r="X22" i="12"/>
  <c r="F22" i="12"/>
  <c r="G22" i="12"/>
  <c r="H22" i="12"/>
  <c r="I22" i="12"/>
  <c r="J22" i="12"/>
  <c r="K22" i="12"/>
  <c r="L22" i="12"/>
  <c r="M22" i="12"/>
  <c r="AA22" i="12"/>
  <c r="R23" i="12"/>
  <c r="Q23" i="12"/>
  <c r="S23" i="12"/>
  <c r="T23" i="12"/>
  <c r="U23" i="12"/>
  <c r="V23" i="12"/>
  <c r="W23" i="12"/>
  <c r="X23" i="12"/>
  <c r="F23" i="12"/>
  <c r="G23" i="12"/>
  <c r="H23" i="12"/>
  <c r="I23" i="12"/>
  <c r="J23" i="12"/>
  <c r="K23" i="12"/>
  <c r="L23" i="12"/>
  <c r="M23" i="12"/>
  <c r="AA23" i="12"/>
  <c r="R24" i="12"/>
  <c r="Q24" i="12"/>
  <c r="S24" i="12"/>
  <c r="T24" i="12"/>
  <c r="U24" i="12"/>
  <c r="V24" i="12"/>
  <c r="W24" i="12"/>
  <c r="X24" i="12"/>
  <c r="F24" i="12"/>
  <c r="G24" i="12"/>
  <c r="H24" i="12"/>
  <c r="I24" i="12"/>
  <c r="J24" i="12"/>
  <c r="K24" i="12"/>
  <c r="L24" i="12"/>
  <c r="M24" i="12"/>
  <c r="AA24" i="12"/>
  <c r="R25" i="12"/>
  <c r="Q25" i="12"/>
  <c r="S25" i="12"/>
  <c r="T25" i="12"/>
  <c r="U25" i="12"/>
  <c r="V25" i="12"/>
  <c r="W25" i="12"/>
  <c r="X25" i="12"/>
  <c r="F25" i="12"/>
  <c r="G25" i="12"/>
  <c r="H25" i="12"/>
  <c r="I25" i="12"/>
  <c r="J25" i="12"/>
  <c r="K25" i="12"/>
  <c r="L25" i="12"/>
  <c r="M25" i="12"/>
  <c r="AA25" i="12"/>
  <c r="R26" i="12"/>
  <c r="Q26" i="12"/>
  <c r="S26" i="12"/>
  <c r="T26" i="12"/>
  <c r="U26" i="12"/>
  <c r="V26" i="12"/>
  <c r="W26" i="12"/>
  <c r="X26" i="12"/>
  <c r="F26" i="12"/>
  <c r="G26" i="12"/>
  <c r="H26" i="12"/>
  <c r="I26" i="12"/>
  <c r="J26" i="12"/>
  <c r="K26" i="12"/>
  <c r="L26" i="12"/>
  <c r="M26" i="12"/>
  <c r="AA26" i="12"/>
  <c r="R27" i="12"/>
  <c r="Q27" i="12"/>
  <c r="S27" i="12"/>
  <c r="T27" i="12"/>
  <c r="U27" i="12"/>
  <c r="V27" i="12"/>
  <c r="W27" i="12"/>
  <c r="X27" i="12"/>
  <c r="F27" i="12"/>
  <c r="G27" i="12"/>
  <c r="H27" i="12"/>
  <c r="I27" i="12"/>
  <c r="J27" i="12"/>
  <c r="K27" i="12"/>
  <c r="L27" i="12"/>
  <c r="M27" i="12"/>
  <c r="AA27" i="12"/>
  <c r="R28" i="12"/>
  <c r="Q28" i="12"/>
  <c r="S28" i="12"/>
  <c r="T28" i="12"/>
  <c r="U28" i="12"/>
  <c r="V28" i="12"/>
  <c r="W28" i="12"/>
  <c r="X28" i="12"/>
  <c r="F28" i="12"/>
  <c r="G28" i="12"/>
  <c r="H28" i="12"/>
  <c r="I28" i="12"/>
  <c r="J28" i="12"/>
  <c r="K28" i="12"/>
  <c r="L28" i="12"/>
  <c r="M28" i="12"/>
  <c r="AA28" i="12"/>
  <c r="R29" i="12"/>
  <c r="Q29" i="12"/>
  <c r="S29" i="12"/>
  <c r="T29" i="12"/>
  <c r="U29" i="12"/>
  <c r="V29" i="12"/>
  <c r="W29" i="12"/>
  <c r="X29" i="12"/>
  <c r="F29" i="12"/>
  <c r="G29" i="12"/>
  <c r="H29" i="12"/>
  <c r="I29" i="12"/>
  <c r="J29" i="12"/>
  <c r="K29" i="12"/>
  <c r="L29" i="12"/>
  <c r="M29" i="12"/>
  <c r="AA29" i="12"/>
  <c r="R30" i="12"/>
  <c r="Q30" i="12"/>
  <c r="S30" i="12"/>
  <c r="T30" i="12"/>
  <c r="U30" i="12"/>
  <c r="V30" i="12"/>
  <c r="W30" i="12"/>
  <c r="X30" i="12"/>
  <c r="F30" i="12"/>
  <c r="G30" i="12"/>
  <c r="H30" i="12"/>
  <c r="I30" i="12"/>
  <c r="J30" i="12"/>
  <c r="K30" i="12"/>
  <c r="L30" i="12"/>
  <c r="M30" i="12"/>
  <c r="AA30" i="12"/>
  <c r="R31" i="12"/>
  <c r="Q31" i="12"/>
  <c r="S31" i="12"/>
  <c r="T31" i="12"/>
  <c r="U31" i="12"/>
  <c r="V31" i="12"/>
  <c r="W31" i="12"/>
  <c r="X31" i="12"/>
  <c r="F31" i="12"/>
  <c r="G31" i="12"/>
  <c r="H31" i="12"/>
  <c r="I31" i="12"/>
  <c r="J31" i="12"/>
  <c r="K31" i="12"/>
  <c r="L31" i="12"/>
  <c r="M31" i="12"/>
  <c r="AA31" i="12"/>
  <c r="R32" i="12"/>
  <c r="Q32" i="12"/>
  <c r="S32" i="12"/>
  <c r="T32" i="12"/>
  <c r="U32" i="12"/>
  <c r="V32" i="12"/>
  <c r="W32" i="12"/>
  <c r="X32" i="12"/>
  <c r="F32" i="12"/>
  <c r="G32" i="12"/>
  <c r="H32" i="12"/>
  <c r="I32" i="12"/>
  <c r="J32" i="12"/>
  <c r="K32" i="12"/>
  <c r="L32" i="12"/>
  <c r="M32" i="12"/>
  <c r="AA32" i="12"/>
  <c r="R33" i="12"/>
  <c r="Q33" i="12"/>
  <c r="S33" i="12"/>
  <c r="T33" i="12"/>
  <c r="U33" i="12"/>
  <c r="V33" i="12"/>
  <c r="W33" i="12"/>
  <c r="X33" i="12"/>
  <c r="F33" i="12"/>
  <c r="G33" i="12"/>
  <c r="H33" i="12"/>
  <c r="I33" i="12"/>
  <c r="J33" i="12"/>
  <c r="K33" i="12"/>
  <c r="L33" i="12"/>
  <c r="M33" i="12"/>
  <c r="AA33" i="12"/>
  <c r="R34" i="12"/>
  <c r="Q34" i="12"/>
  <c r="S34" i="12"/>
  <c r="T34" i="12"/>
  <c r="U34" i="12"/>
  <c r="V34" i="12"/>
  <c r="W34" i="12"/>
  <c r="X34" i="12"/>
  <c r="F34" i="12"/>
  <c r="G34" i="12"/>
  <c r="H34" i="12"/>
  <c r="I34" i="12"/>
  <c r="J34" i="12"/>
  <c r="K34" i="12"/>
  <c r="L34" i="12"/>
  <c r="M34" i="12"/>
  <c r="AA34" i="12"/>
  <c r="R35" i="12"/>
  <c r="Q35" i="12"/>
  <c r="S35" i="12"/>
  <c r="T35" i="12"/>
  <c r="U35" i="12"/>
  <c r="V35" i="12"/>
  <c r="W35" i="12"/>
  <c r="X35" i="12"/>
  <c r="F35" i="12"/>
  <c r="G35" i="12"/>
  <c r="H35" i="12"/>
  <c r="I35" i="12"/>
  <c r="J35" i="12"/>
  <c r="K35" i="12"/>
  <c r="L35" i="12"/>
  <c r="M35" i="12"/>
  <c r="AA35" i="12"/>
  <c r="R36" i="12"/>
  <c r="Q36" i="12"/>
  <c r="S36" i="12"/>
  <c r="T36" i="12"/>
  <c r="U36" i="12"/>
  <c r="V36" i="12"/>
  <c r="W36" i="12"/>
  <c r="X36" i="12"/>
  <c r="F36" i="12"/>
  <c r="B12" i="12"/>
  <c r="G36" i="12"/>
  <c r="H36" i="12"/>
  <c r="B14" i="12"/>
  <c r="K36" i="12"/>
  <c r="L36" i="12"/>
  <c r="M36" i="12"/>
  <c r="AA36" i="12"/>
  <c r="R37" i="12"/>
  <c r="Q37" i="12"/>
  <c r="S37" i="12"/>
  <c r="T37" i="12"/>
  <c r="U37" i="12"/>
  <c r="V37" i="12"/>
  <c r="W37" i="12"/>
  <c r="X37" i="12"/>
  <c r="H37" i="12"/>
  <c r="J37" i="12"/>
  <c r="K37" i="12"/>
  <c r="L37" i="12"/>
  <c r="M37" i="12"/>
  <c r="AA37" i="12"/>
  <c r="R38" i="12"/>
  <c r="Q38" i="12"/>
  <c r="S38" i="12"/>
  <c r="T38" i="12"/>
  <c r="U38" i="12"/>
  <c r="V38" i="12"/>
  <c r="W38" i="12"/>
  <c r="X38" i="12"/>
  <c r="H38" i="12"/>
  <c r="I38" i="12"/>
  <c r="J38" i="12"/>
  <c r="K38" i="12"/>
  <c r="L38" i="12"/>
  <c r="M38" i="12"/>
  <c r="AA38" i="12"/>
  <c r="R39" i="12"/>
  <c r="Q39" i="12"/>
  <c r="S39" i="12"/>
  <c r="T39" i="12"/>
  <c r="U39" i="12"/>
  <c r="V39" i="12"/>
  <c r="W39" i="12"/>
  <c r="X39" i="12"/>
  <c r="H39" i="12"/>
  <c r="I39" i="12"/>
  <c r="J39" i="12"/>
  <c r="K39" i="12"/>
  <c r="L39" i="12"/>
  <c r="M39" i="12"/>
  <c r="AA39" i="12"/>
  <c r="R40" i="12"/>
  <c r="Q40" i="12"/>
  <c r="S40" i="12"/>
  <c r="T40" i="12"/>
  <c r="U40" i="12"/>
  <c r="V40" i="12"/>
  <c r="W40" i="12"/>
  <c r="X40" i="12"/>
  <c r="F40" i="12"/>
  <c r="G40" i="12"/>
  <c r="H40" i="12"/>
  <c r="I40" i="12"/>
  <c r="J40" i="12"/>
  <c r="K40" i="12"/>
  <c r="L40" i="12"/>
  <c r="M40" i="12"/>
  <c r="AA40" i="12"/>
  <c r="R41" i="12"/>
  <c r="Q41" i="12"/>
  <c r="S41" i="12"/>
  <c r="T41" i="12"/>
  <c r="U41" i="12"/>
  <c r="V41" i="12"/>
  <c r="W41" i="12"/>
  <c r="X41" i="12"/>
  <c r="F41" i="12"/>
  <c r="G41" i="12"/>
  <c r="H41" i="12"/>
  <c r="I41" i="12"/>
  <c r="J41" i="12"/>
  <c r="K41" i="12"/>
  <c r="L41" i="12"/>
  <c r="M41" i="12"/>
  <c r="AA41" i="12"/>
  <c r="R42" i="12"/>
  <c r="Q42" i="12"/>
  <c r="S42" i="12"/>
  <c r="T42" i="12"/>
  <c r="U42" i="12"/>
  <c r="V42" i="12"/>
  <c r="W42" i="12"/>
  <c r="X42" i="12"/>
  <c r="F42" i="12"/>
  <c r="G42" i="12"/>
  <c r="H42" i="12"/>
  <c r="I42" i="12"/>
  <c r="J42" i="12"/>
  <c r="K42" i="12"/>
  <c r="L42" i="12"/>
  <c r="M42" i="12"/>
  <c r="AA42" i="12"/>
  <c r="R43" i="12"/>
  <c r="Q43" i="12"/>
  <c r="S43" i="12"/>
  <c r="T43" i="12"/>
  <c r="U43" i="12"/>
  <c r="V43" i="12"/>
  <c r="W43" i="12"/>
  <c r="X43" i="12"/>
  <c r="F43" i="12"/>
  <c r="G43" i="12"/>
  <c r="H43" i="12"/>
  <c r="I43" i="12"/>
  <c r="J43" i="12"/>
  <c r="K43" i="12"/>
  <c r="L43" i="12"/>
  <c r="M43" i="12"/>
  <c r="AA43" i="12"/>
  <c r="R44" i="12"/>
  <c r="Q44" i="12"/>
  <c r="S44" i="12"/>
  <c r="T44" i="12"/>
  <c r="U44" i="12"/>
  <c r="V44" i="12"/>
  <c r="W44" i="12"/>
  <c r="X44" i="12"/>
  <c r="F44" i="12"/>
  <c r="G44" i="12"/>
  <c r="H44" i="12"/>
  <c r="I44" i="12"/>
  <c r="J44" i="12"/>
  <c r="K44" i="12"/>
  <c r="L44" i="12"/>
  <c r="M44" i="12"/>
  <c r="AA44" i="12"/>
  <c r="R45" i="12"/>
  <c r="Q45" i="12"/>
  <c r="S45" i="12"/>
  <c r="T45" i="12"/>
  <c r="U45" i="12"/>
  <c r="V45" i="12"/>
  <c r="W45" i="12"/>
  <c r="X45" i="12"/>
  <c r="F45" i="12"/>
  <c r="G45" i="12"/>
  <c r="H45" i="12"/>
  <c r="I45" i="12"/>
  <c r="J45" i="12"/>
  <c r="K45" i="12"/>
  <c r="L45" i="12"/>
  <c r="M45" i="12"/>
  <c r="AA45" i="12"/>
  <c r="R46" i="12"/>
  <c r="Q46" i="12"/>
  <c r="S46" i="12"/>
  <c r="T46" i="12"/>
  <c r="U46" i="12"/>
  <c r="V46" i="12"/>
  <c r="W46" i="12"/>
  <c r="X46" i="12"/>
  <c r="F46" i="12"/>
  <c r="G46" i="12"/>
  <c r="H46" i="12"/>
  <c r="I46" i="12"/>
  <c r="J46" i="12"/>
  <c r="K46" i="12"/>
  <c r="L46" i="12"/>
  <c r="M46" i="12"/>
  <c r="AA46" i="12"/>
  <c r="R47" i="12"/>
  <c r="Q47" i="12"/>
  <c r="S47" i="12"/>
  <c r="T47" i="12"/>
  <c r="U47" i="12"/>
  <c r="V47" i="12"/>
  <c r="W47" i="12"/>
  <c r="X47" i="12"/>
  <c r="F47" i="12"/>
  <c r="G47" i="12"/>
  <c r="H47" i="12"/>
  <c r="I47" i="12"/>
  <c r="J47" i="12"/>
  <c r="K47" i="12"/>
  <c r="L47" i="12"/>
  <c r="M47" i="12"/>
  <c r="AA47" i="12"/>
  <c r="R48" i="12"/>
  <c r="Q48" i="12"/>
  <c r="S48" i="12"/>
  <c r="T48" i="12"/>
  <c r="U48" i="12"/>
  <c r="V48" i="12"/>
  <c r="W48" i="12"/>
  <c r="X48" i="12"/>
  <c r="F48" i="12"/>
  <c r="G48" i="12"/>
  <c r="H48" i="12"/>
  <c r="I48" i="12"/>
  <c r="J48" i="12"/>
  <c r="K48" i="12"/>
  <c r="L48" i="12"/>
  <c r="M48" i="12"/>
  <c r="AA48" i="12"/>
  <c r="R49" i="12"/>
  <c r="Q49" i="12"/>
  <c r="S49" i="12"/>
  <c r="T49" i="12"/>
  <c r="U49" i="12"/>
  <c r="V49" i="12"/>
  <c r="W49" i="12"/>
  <c r="X49" i="12"/>
  <c r="F49" i="12"/>
  <c r="G49" i="12"/>
  <c r="H49" i="12"/>
  <c r="I49" i="12"/>
  <c r="J49" i="12"/>
  <c r="K49" i="12"/>
  <c r="L49" i="12"/>
  <c r="M49" i="12"/>
  <c r="AA49" i="12"/>
  <c r="R50" i="12"/>
  <c r="Q50" i="12"/>
  <c r="S50" i="12"/>
  <c r="T50" i="12"/>
  <c r="U50" i="12"/>
  <c r="V50" i="12"/>
  <c r="W50" i="12"/>
  <c r="X50" i="12"/>
  <c r="F50" i="12"/>
  <c r="G50" i="12"/>
  <c r="H50" i="12"/>
  <c r="I50" i="12"/>
  <c r="J50" i="12"/>
  <c r="K50" i="12"/>
  <c r="L50" i="12"/>
  <c r="M50" i="12"/>
  <c r="AA50" i="12"/>
  <c r="R51" i="12"/>
  <c r="Q51" i="12"/>
  <c r="S51" i="12"/>
  <c r="T51" i="12"/>
  <c r="U51" i="12"/>
  <c r="V51" i="12"/>
  <c r="W51" i="12"/>
  <c r="X51" i="12"/>
  <c r="F51" i="12"/>
  <c r="G51" i="12"/>
  <c r="H51" i="12"/>
  <c r="I51" i="12"/>
  <c r="J51" i="12"/>
  <c r="K51" i="12"/>
  <c r="L51" i="12"/>
  <c r="M51" i="12"/>
  <c r="AA51" i="12"/>
  <c r="R52" i="12"/>
  <c r="Q52" i="12"/>
  <c r="S52" i="12"/>
  <c r="T52" i="12"/>
  <c r="U52" i="12"/>
  <c r="V52" i="12"/>
  <c r="W52" i="12"/>
  <c r="X52" i="12"/>
  <c r="F52" i="12"/>
  <c r="G52" i="12"/>
  <c r="H52" i="12"/>
  <c r="I52" i="12"/>
  <c r="J52" i="12"/>
  <c r="K52" i="12"/>
  <c r="L52" i="12"/>
  <c r="M52" i="12"/>
  <c r="AA52" i="12"/>
  <c r="R53" i="12"/>
  <c r="Q53" i="12"/>
  <c r="S53" i="12"/>
  <c r="T53" i="12"/>
  <c r="U53" i="12"/>
  <c r="V53" i="12"/>
  <c r="W53" i="12"/>
  <c r="X53" i="12"/>
  <c r="F53" i="12"/>
  <c r="G53" i="12"/>
  <c r="H53" i="12"/>
  <c r="I53" i="12"/>
  <c r="J53" i="12"/>
  <c r="K53" i="12"/>
  <c r="L53" i="12"/>
  <c r="M53" i="12"/>
  <c r="AA53" i="12"/>
  <c r="R54" i="12"/>
  <c r="Q54" i="12"/>
  <c r="S54" i="12"/>
  <c r="T54" i="12"/>
  <c r="U54" i="12"/>
  <c r="V54" i="12"/>
  <c r="W54" i="12"/>
  <c r="X54" i="12"/>
  <c r="F54" i="12"/>
  <c r="G54" i="12"/>
  <c r="H54" i="12"/>
  <c r="I54" i="12"/>
  <c r="J54" i="12"/>
  <c r="K54" i="12"/>
  <c r="L54" i="12"/>
  <c r="M54" i="12"/>
  <c r="AA54" i="12"/>
  <c r="R55" i="12"/>
  <c r="Q55" i="12"/>
  <c r="S55" i="12"/>
  <c r="T55" i="12"/>
  <c r="U55" i="12"/>
  <c r="V55" i="12"/>
  <c r="W55" i="12"/>
  <c r="X55" i="12"/>
  <c r="F55" i="12"/>
  <c r="G55" i="12"/>
  <c r="H55" i="12"/>
  <c r="I55" i="12"/>
  <c r="J55" i="12"/>
  <c r="K55" i="12"/>
  <c r="L55" i="12"/>
  <c r="M55" i="12"/>
  <c r="AA55" i="12"/>
  <c r="R56" i="12"/>
  <c r="Q56" i="12"/>
  <c r="S56" i="12"/>
  <c r="T56" i="12"/>
  <c r="U56" i="12"/>
  <c r="V56" i="12"/>
  <c r="W56" i="12"/>
  <c r="X56" i="12"/>
  <c r="F56" i="12"/>
  <c r="G56" i="12"/>
  <c r="H56" i="12"/>
  <c r="I56" i="12"/>
  <c r="J56" i="12"/>
  <c r="K56" i="12"/>
  <c r="L56" i="12"/>
  <c r="M56" i="12"/>
  <c r="AA56" i="12"/>
  <c r="R57" i="12"/>
  <c r="Q57" i="12"/>
  <c r="S57" i="12"/>
  <c r="T57" i="12"/>
  <c r="U57" i="12"/>
  <c r="V57" i="12"/>
  <c r="W57" i="12"/>
  <c r="X57" i="12"/>
  <c r="F57" i="12"/>
  <c r="G57" i="12"/>
  <c r="H57" i="12"/>
  <c r="I57" i="12"/>
  <c r="J57" i="12"/>
  <c r="K57" i="12"/>
  <c r="L57" i="12"/>
  <c r="M57" i="12"/>
  <c r="AA57" i="12"/>
  <c r="R58" i="12"/>
  <c r="Q58" i="12"/>
  <c r="S58" i="12"/>
  <c r="C14" i="12"/>
  <c r="V58" i="12"/>
  <c r="W58" i="12"/>
  <c r="X58" i="12"/>
  <c r="F58" i="12"/>
  <c r="G58" i="12"/>
  <c r="H58" i="12"/>
  <c r="I58" i="12"/>
  <c r="J58" i="12"/>
  <c r="K58" i="12"/>
  <c r="L58" i="12"/>
  <c r="M58" i="12"/>
  <c r="AA58" i="12"/>
  <c r="S59" i="12"/>
  <c r="T59" i="12"/>
  <c r="U59" i="12"/>
  <c r="V59" i="12"/>
  <c r="W59" i="12"/>
  <c r="X59" i="12"/>
  <c r="F59" i="12"/>
  <c r="G59" i="12"/>
  <c r="H59" i="12"/>
  <c r="I59" i="12"/>
  <c r="J59" i="12"/>
  <c r="K59" i="12"/>
  <c r="L59" i="12"/>
  <c r="M59" i="12"/>
  <c r="AA59" i="12"/>
  <c r="S60" i="12"/>
  <c r="T60" i="12"/>
  <c r="U60" i="12"/>
  <c r="V60" i="12"/>
  <c r="W60" i="12"/>
  <c r="X60" i="12"/>
  <c r="F60" i="12"/>
  <c r="G60" i="12"/>
  <c r="H60" i="12"/>
  <c r="I60" i="12"/>
  <c r="J60" i="12"/>
  <c r="K60" i="12"/>
  <c r="L60" i="12"/>
  <c r="M60" i="12"/>
  <c r="AA60" i="12"/>
  <c r="S61" i="12"/>
  <c r="T61" i="12"/>
  <c r="U61" i="12"/>
  <c r="V61" i="12"/>
  <c r="W61" i="12"/>
  <c r="X61" i="12"/>
  <c r="F61" i="12"/>
  <c r="G61" i="12"/>
  <c r="H61" i="12"/>
  <c r="I61" i="12"/>
  <c r="J61" i="12"/>
  <c r="K61" i="12"/>
  <c r="L61" i="12"/>
  <c r="M61" i="12"/>
  <c r="AA61" i="12"/>
  <c r="S62" i="12"/>
  <c r="T62" i="12"/>
  <c r="U62" i="12"/>
  <c r="V62" i="12"/>
  <c r="W62" i="12"/>
  <c r="X62" i="12"/>
  <c r="F62" i="12"/>
  <c r="G62" i="12"/>
  <c r="H62" i="12"/>
  <c r="I62" i="12"/>
  <c r="J62" i="12"/>
  <c r="K62" i="12"/>
  <c r="L62" i="12"/>
  <c r="M62" i="12"/>
  <c r="AA62" i="12"/>
  <c r="S63" i="12"/>
  <c r="T63" i="12"/>
  <c r="U63" i="12"/>
  <c r="V63" i="12"/>
  <c r="W63" i="12"/>
  <c r="X63" i="12"/>
  <c r="F63" i="12"/>
  <c r="G63" i="12"/>
  <c r="H63" i="12"/>
  <c r="I63" i="12"/>
  <c r="J63" i="12"/>
  <c r="K63" i="12"/>
  <c r="L63" i="12"/>
  <c r="M63" i="12"/>
  <c r="AA63" i="12"/>
  <c r="R64" i="12"/>
  <c r="Q64" i="12"/>
  <c r="S64" i="12"/>
  <c r="T64" i="12"/>
  <c r="U64" i="12"/>
  <c r="V64" i="12"/>
  <c r="W64" i="12"/>
  <c r="X64" i="12"/>
  <c r="F64" i="12"/>
  <c r="G64" i="12"/>
  <c r="H64" i="12"/>
  <c r="I64" i="12"/>
  <c r="J64" i="12"/>
  <c r="K64" i="12"/>
  <c r="L64" i="12"/>
  <c r="M64" i="12"/>
  <c r="AA64" i="12"/>
  <c r="R65" i="12"/>
  <c r="Q65" i="12"/>
  <c r="S65" i="12"/>
  <c r="T65" i="12"/>
  <c r="U65" i="12"/>
  <c r="V65" i="12"/>
  <c r="W65" i="12"/>
  <c r="X65" i="12"/>
  <c r="F65" i="12"/>
  <c r="G65" i="12"/>
  <c r="H65" i="12"/>
  <c r="I65" i="12"/>
  <c r="J65" i="12"/>
  <c r="K65" i="12"/>
  <c r="L65" i="12"/>
  <c r="M65" i="12"/>
  <c r="AA65" i="12"/>
  <c r="R66" i="12"/>
  <c r="Q66" i="12"/>
  <c r="S66" i="12"/>
  <c r="T66" i="12"/>
  <c r="U66" i="12"/>
  <c r="V66" i="12"/>
  <c r="W66" i="12"/>
  <c r="X66" i="12"/>
  <c r="F66" i="12"/>
  <c r="G66" i="12"/>
  <c r="H66" i="12"/>
  <c r="I66" i="12"/>
  <c r="J66" i="12"/>
  <c r="K66" i="12"/>
  <c r="L66" i="12"/>
  <c r="M66" i="12"/>
  <c r="AA66" i="12"/>
  <c r="R67" i="12"/>
  <c r="Q67" i="12"/>
  <c r="S67" i="12"/>
  <c r="T67" i="12"/>
  <c r="U67" i="12"/>
  <c r="V67" i="12"/>
  <c r="W67" i="12"/>
  <c r="X67" i="12"/>
  <c r="F67" i="12"/>
  <c r="G67" i="12"/>
  <c r="H67" i="12"/>
  <c r="I67" i="12"/>
  <c r="J67" i="12"/>
  <c r="K67" i="12"/>
  <c r="L67" i="12"/>
  <c r="M67" i="12"/>
  <c r="AA67" i="12"/>
  <c r="R68" i="12"/>
  <c r="Q68" i="12"/>
  <c r="S68" i="12"/>
  <c r="T68" i="12"/>
  <c r="U68" i="12"/>
  <c r="V68" i="12"/>
  <c r="W68" i="12"/>
  <c r="X68" i="12"/>
  <c r="F68" i="12"/>
  <c r="G68" i="12"/>
  <c r="H68" i="12"/>
  <c r="I68" i="12"/>
  <c r="J68" i="12"/>
  <c r="K68" i="12"/>
  <c r="L68" i="12"/>
  <c r="M68" i="12"/>
  <c r="AA68" i="12"/>
  <c r="R69" i="12"/>
  <c r="Q69" i="12"/>
  <c r="S69" i="12"/>
  <c r="T69" i="12"/>
  <c r="U69" i="12"/>
  <c r="V69" i="12"/>
  <c r="W69" i="12"/>
  <c r="X69" i="12"/>
  <c r="F69" i="12"/>
  <c r="G69" i="12"/>
  <c r="H69" i="12"/>
  <c r="K69" i="12"/>
  <c r="L69" i="12"/>
  <c r="M69" i="12"/>
  <c r="AA69" i="12"/>
  <c r="R70" i="12"/>
  <c r="Q70" i="12"/>
  <c r="S70" i="12"/>
  <c r="T70" i="12"/>
  <c r="U70" i="12"/>
  <c r="V70" i="12"/>
  <c r="W70" i="12"/>
  <c r="X70" i="12"/>
  <c r="H70" i="12"/>
  <c r="J70" i="12"/>
  <c r="K70" i="12"/>
  <c r="L70" i="12"/>
  <c r="M70" i="12"/>
  <c r="AA70" i="12"/>
  <c r="R71" i="12"/>
  <c r="Q71" i="12"/>
  <c r="S71" i="12"/>
  <c r="T71" i="12"/>
  <c r="U71" i="12"/>
  <c r="V71" i="12"/>
  <c r="W71" i="12"/>
  <c r="X71" i="12"/>
  <c r="H71" i="12"/>
  <c r="I71" i="12"/>
  <c r="J71" i="12"/>
  <c r="K71" i="12"/>
  <c r="L71" i="12"/>
  <c r="M71" i="12"/>
  <c r="AA71" i="12"/>
  <c r="R72" i="12"/>
  <c r="Q72" i="12"/>
  <c r="S72" i="12"/>
  <c r="T72" i="12"/>
  <c r="U72" i="12"/>
  <c r="V72" i="12"/>
  <c r="W72" i="12"/>
  <c r="X72" i="12"/>
  <c r="H72" i="12"/>
  <c r="I72" i="12"/>
  <c r="J72" i="12"/>
  <c r="K72" i="12"/>
  <c r="L72" i="12"/>
  <c r="M72" i="12"/>
  <c r="AA72" i="12"/>
  <c r="R73" i="12"/>
  <c r="Q73" i="12"/>
  <c r="S73" i="12"/>
  <c r="T73" i="12"/>
  <c r="U73" i="12"/>
  <c r="V73" i="12"/>
  <c r="W73" i="12"/>
  <c r="X73" i="12"/>
  <c r="F73" i="12"/>
  <c r="G73" i="12"/>
  <c r="H73" i="12"/>
  <c r="I73" i="12"/>
  <c r="J73" i="12"/>
  <c r="K73" i="12"/>
  <c r="L73" i="12"/>
  <c r="M73" i="12"/>
  <c r="AA73" i="12"/>
  <c r="R74" i="12"/>
  <c r="Q74" i="12"/>
  <c r="S74" i="12"/>
  <c r="T74" i="12"/>
  <c r="U74" i="12"/>
  <c r="V74" i="12"/>
  <c r="W74" i="12"/>
  <c r="X74" i="12"/>
  <c r="F74" i="12"/>
  <c r="G74" i="12"/>
  <c r="H74" i="12"/>
  <c r="I74" i="12"/>
  <c r="J74" i="12"/>
  <c r="K74" i="12"/>
  <c r="L74" i="12"/>
  <c r="M74" i="12"/>
  <c r="AA74" i="12"/>
  <c r="R75" i="12"/>
  <c r="Q75" i="12"/>
  <c r="S75" i="12"/>
  <c r="T75" i="12"/>
  <c r="U75" i="12"/>
  <c r="V75" i="12"/>
  <c r="W75" i="12"/>
  <c r="X75" i="12"/>
  <c r="F75" i="12"/>
  <c r="G75" i="12"/>
  <c r="H75" i="12"/>
  <c r="I75" i="12"/>
  <c r="J75" i="12"/>
  <c r="K75" i="12"/>
  <c r="L75" i="12"/>
  <c r="M75" i="12"/>
  <c r="AA75" i="12"/>
  <c r="R76" i="12"/>
  <c r="Q76" i="12"/>
  <c r="S76" i="12"/>
  <c r="T76" i="12"/>
  <c r="U76" i="12"/>
  <c r="V76" i="12"/>
  <c r="W76" i="12"/>
  <c r="X76" i="12"/>
  <c r="F76" i="12"/>
  <c r="G76" i="12"/>
  <c r="H76" i="12"/>
  <c r="I76" i="12"/>
  <c r="J76" i="12"/>
  <c r="K76" i="12"/>
  <c r="L76" i="12"/>
  <c r="M76" i="12"/>
  <c r="AA76" i="12"/>
  <c r="R77" i="12"/>
  <c r="Q77" i="12"/>
  <c r="S77" i="12"/>
  <c r="T77" i="12"/>
  <c r="U77" i="12"/>
  <c r="V77" i="12"/>
  <c r="W77" i="12"/>
  <c r="X77" i="12"/>
  <c r="F77" i="12"/>
  <c r="G77" i="12"/>
  <c r="H77" i="12"/>
  <c r="I77" i="12"/>
  <c r="J77" i="12"/>
  <c r="K77" i="12"/>
  <c r="L77" i="12"/>
  <c r="M77" i="12"/>
  <c r="AA77" i="12"/>
  <c r="R78" i="12"/>
  <c r="Q78" i="12"/>
  <c r="S78" i="12"/>
  <c r="T78" i="12"/>
  <c r="U78" i="12"/>
  <c r="V78" i="12"/>
  <c r="W78" i="12"/>
  <c r="X78" i="12"/>
  <c r="F78" i="12"/>
  <c r="G78" i="12"/>
  <c r="H78" i="12"/>
  <c r="I78" i="12"/>
  <c r="J78" i="12"/>
  <c r="K78" i="12"/>
  <c r="L78" i="12"/>
  <c r="M78" i="12"/>
  <c r="AA78" i="12"/>
  <c r="R79" i="12"/>
  <c r="Q79" i="12"/>
  <c r="S79" i="12"/>
  <c r="T79" i="12"/>
  <c r="U79" i="12"/>
  <c r="V79" i="12"/>
  <c r="W79" i="12"/>
  <c r="X79" i="12"/>
  <c r="F79" i="12"/>
  <c r="G79" i="12"/>
  <c r="H79" i="12"/>
  <c r="I79" i="12"/>
  <c r="J79" i="12"/>
  <c r="K79" i="12"/>
  <c r="L79" i="12"/>
  <c r="M79" i="12"/>
  <c r="AA79" i="12"/>
  <c r="R80" i="12"/>
  <c r="Q80" i="12"/>
  <c r="S80" i="12"/>
  <c r="T80" i="12"/>
  <c r="U80" i="12"/>
  <c r="V80" i="12"/>
  <c r="W80" i="12"/>
  <c r="X80" i="12"/>
  <c r="F80" i="12"/>
  <c r="G80" i="12"/>
  <c r="H80" i="12"/>
  <c r="I80" i="12"/>
  <c r="J80" i="12"/>
  <c r="K80" i="12"/>
  <c r="L80" i="12"/>
  <c r="M80" i="12"/>
  <c r="AA80" i="12"/>
  <c r="R81" i="12"/>
  <c r="Q81" i="12"/>
  <c r="S81" i="12"/>
  <c r="T81" i="12"/>
  <c r="U81" i="12"/>
  <c r="V81" i="12"/>
  <c r="W81" i="12"/>
  <c r="X81" i="12"/>
  <c r="F81" i="12"/>
  <c r="G81" i="12"/>
  <c r="H81" i="12"/>
  <c r="I81" i="12"/>
  <c r="J81" i="12"/>
  <c r="K81" i="12"/>
  <c r="L81" i="12"/>
  <c r="M81" i="12"/>
  <c r="AA81" i="12"/>
  <c r="R82" i="12"/>
  <c r="Q82" i="12"/>
  <c r="S82" i="12"/>
  <c r="T82" i="12"/>
  <c r="U82" i="12"/>
  <c r="V82" i="12"/>
  <c r="W82" i="12"/>
  <c r="X82" i="12"/>
  <c r="F82" i="12"/>
  <c r="G82" i="12"/>
  <c r="H82" i="12"/>
  <c r="I82" i="12"/>
  <c r="J82" i="12"/>
  <c r="K82" i="12"/>
  <c r="L82" i="12"/>
  <c r="M82" i="12"/>
  <c r="AA82" i="12"/>
  <c r="R83" i="12"/>
  <c r="Q83" i="12"/>
  <c r="S83" i="12"/>
  <c r="T83" i="12"/>
  <c r="U83" i="12"/>
  <c r="V83" i="12"/>
  <c r="W83" i="12"/>
  <c r="X83" i="12"/>
  <c r="F83" i="12"/>
  <c r="G83" i="12"/>
  <c r="H83" i="12"/>
  <c r="I83" i="12"/>
  <c r="J83" i="12"/>
  <c r="K83" i="12"/>
  <c r="L83" i="12"/>
  <c r="M83" i="12"/>
  <c r="AA83" i="12"/>
  <c r="R84" i="12"/>
  <c r="Q84" i="12"/>
  <c r="S84" i="12"/>
  <c r="T84" i="12"/>
  <c r="U84" i="12"/>
  <c r="V84" i="12"/>
  <c r="W84" i="12"/>
  <c r="X84" i="12"/>
  <c r="F84" i="12"/>
  <c r="G84" i="12"/>
  <c r="H84" i="12"/>
  <c r="I84" i="12"/>
  <c r="J84" i="12"/>
  <c r="K84" i="12"/>
  <c r="L84" i="12"/>
  <c r="M84" i="12"/>
  <c r="AA84" i="12"/>
  <c r="R85" i="12"/>
  <c r="Q85" i="12"/>
  <c r="S85" i="12"/>
  <c r="T85" i="12"/>
  <c r="U85" i="12"/>
  <c r="V85" i="12"/>
  <c r="W85" i="12"/>
  <c r="X85" i="12"/>
  <c r="F85" i="12"/>
  <c r="G85" i="12"/>
  <c r="H85" i="12"/>
  <c r="I85" i="12"/>
  <c r="J85" i="12"/>
  <c r="K85" i="12"/>
  <c r="L85" i="12"/>
  <c r="M85" i="12"/>
  <c r="AA85" i="12"/>
  <c r="R86" i="12"/>
  <c r="Q86" i="12"/>
  <c r="S86" i="12"/>
  <c r="T86" i="12"/>
  <c r="U86" i="12"/>
  <c r="V86" i="12"/>
  <c r="W86" i="12"/>
  <c r="X86" i="12"/>
  <c r="F86" i="12"/>
  <c r="G86" i="12"/>
  <c r="H86" i="12"/>
  <c r="I86" i="12"/>
  <c r="J86" i="12"/>
  <c r="K86" i="12"/>
  <c r="L86" i="12"/>
  <c r="M86" i="12"/>
  <c r="AA86" i="12"/>
  <c r="R87" i="12"/>
  <c r="Q87" i="12"/>
  <c r="S87" i="12"/>
  <c r="T87" i="12"/>
  <c r="U87" i="12"/>
  <c r="V87" i="12"/>
  <c r="W87" i="12"/>
  <c r="X87" i="12"/>
  <c r="F87" i="12"/>
  <c r="G87" i="12"/>
  <c r="H87" i="12"/>
  <c r="I87" i="12"/>
  <c r="J87" i="12"/>
  <c r="K87" i="12"/>
  <c r="L87" i="12"/>
  <c r="M87" i="12"/>
  <c r="AA87" i="12"/>
  <c r="R88" i="12"/>
  <c r="Q88" i="12"/>
  <c r="S88" i="12"/>
  <c r="T88" i="12"/>
  <c r="U88" i="12"/>
  <c r="V88" i="12"/>
  <c r="W88" i="12"/>
  <c r="X88" i="12"/>
  <c r="F88" i="12"/>
  <c r="G88" i="12"/>
  <c r="H88" i="12"/>
  <c r="I88" i="12"/>
  <c r="J88" i="12"/>
  <c r="K88" i="12"/>
  <c r="L88" i="12"/>
  <c r="M88" i="12"/>
  <c r="AA88" i="12"/>
  <c r="R89" i="12"/>
  <c r="Q89" i="12"/>
  <c r="S89" i="12"/>
  <c r="T89" i="12"/>
  <c r="U89" i="12"/>
  <c r="V89" i="12"/>
  <c r="W89" i="12"/>
  <c r="X89" i="12"/>
  <c r="F89" i="12"/>
  <c r="G89" i="12"/>
  <c r="H89" i="12"/>
  <c r="I89" i="12"/>
  <c r="J89" i="12"/>
  <c r="K89" i="12"/>
  <c r="L89" i="12"/>
  <c r="M89" i="12"/>
  <c r="AA89" i="12"/>
  <c r="R90" i="12"/>
  <c r="Q90" i="12"/>
  <c r="S90" i="12"/>
  <c r="T90" i="12"/>
  <c r="U90" i="12"/>
  <c r="V90" i="12"/>
  <c r="W90" i="12"/>
  <c r="X90" i="12"/>
  <c r="F90" i="12"/>
  <c r="G90" i="12"/>
  <c r="H90" i="12"/>
  <c r="I90" i="12"/>
  <c r="J90" i="12"/>
  <c r="K90" i="12"/>
  <c r="L90" i="12"/>
  <c r="M90" i="12"/>
  <c r="AA90" i="12"/>
  <c r="R91" i="12"/>
  <c r="Q91" i="12"/>
  <c r="S91" i="12"/>
  <c r="T91" i="12"/>
  <c r="U91" i="12"/>
  <c r="V91" i="12"/>
  <c r="W91" i="12"/>
  <c r="X91" i="12"/>
  <c r="F91" i="12"/>
  <c r="G91" i="12"/>
  <c r="H91" i="12"/>
  <c r="I91" i="12"/>
  <c r="J91" i="12"/>
  <c r="K91" i="12"/>
  <c r="L91" i="12"/>
  <c r="M91" i="12"/>
  <c r="AA91" i="12"/>
  <c r="R92" i="12"/>
  <c r="Q92" i="12"/>
  <c r="S92" i="12"/>
  <c r="T92" i="12"/>
  <c r="U92" i="12"/>
  <c r="V92" i="12"/>
  <c r="W92" i="12"/>
  <c r="X92" i="12"/>
  <c r="F92" i="12"/>
  <c r="G92" i="12"/>
  <c r="H92" i="12"/>
  <c r="I92" i="12"/>
  <c r="J92" i="12"/>
  <c r="K92" i="12"/>
  <c r="L92" i="12"/>
  <c r="M92" i="12"/>
  <c r="AA92" i="12"/>
  <c r="R93" i="12"/>
  <c r="Q93" i="12"/>
  <c r="S93" i="12"/>
  <c r="T93" i="12"/>
  <c r="U93" i="12"/>
  <c r="V93" i="12"/>
  <c r="W93" i="12"/>
  <c r="X93" i="12"/>
  <c r="F93" i="12"/>
  <c r="G93" i="12"/>
  <c r="H93" i="12"/>
  <c r="I93" i="12"/>
  <c r="J93" i="12"/>
  <c r="K93" i="12"/>
  <c r="L93" i="12"/>
  <c r="M93" i="12"/>
  <c r="AA93" i="12"/>
  <c r="R94" i="12"/>
  <c r="Q94" i="12"/>
  <c r="S94" i="12"/>
  <c r="T94" i="12"/>
  <c r="U94" i="12"/>
  <c r="V94" i="12"/>
  <c r="W94" i="12"/>
  <c r="X94" i="12"/>
  <c r="F94" i="12"/>
  <c r="G94" i="12"/>
  <c r="H94" i="12"/>
  <c r="I94" i="12"/>
  <c r="J94" i="12"/>
  <c r="K94" i="12"/>
  <c r="L94" i="12"/>
  <c r="M94" i="12"/>
  <c r="AA94" i="12"/>
  <c r="R95" i="12"/>
  <c r="Q95" i="12"/>
  <c r="S95" i="12"/>
  <c r="T95" i="12"/>
  <c r="U95" i="12"/>
  <c r="V95" i="12"/>
  <c r="W95" i="12"/>
  <c r="X95" i="12"/>
  <c r="F95" i="12"/>
  <c r="G95" i="12"/>
  <c r="H95" i="12"/>
  <c r="I95" i="12"/>
  <c r="J95" i="12"/>
  <c r="K95" i="12"/>
  <c r="L95" i="12"/>
  <c r="M95" i="12"/>
  <c r="AA95" i="12"/>
  <c r="R96" i="12"/>
  <c r="Q96" i="12"/>
  <c r="S96" i="12"/>
  <c r="T96" i="12"/>
  <c r="U96" i="12"/>
  <c r="V96" i="12"/>
  <c r="W96" i="12"/>
  <c r="X96" i="12"/>
  <c r="F96" i="12"/>
  <c r="G96" i="12"/>
  <c r="H96" i="12"/>
  <c r="I96" i="12"/>
  <c r="J96" i="12"/>
  <c r="K96" i="12"/>
  <c r="L96" i="12"/>
  <c r="M96" i="12"/>
  <c r="AA96" i="12"/>
  <c r="R97" i="12"/>
  <c r="Q97" i="12"/>
  <c r="S97" i="12"/>
  <c r="T97" i="12"/>
  <c r="U97" i="12"/>
  <c r="V97" i="12"/>
  <c r="W97" i="12"/>
  <c r="X97" i="12"/>
  <c r="F97" i="12"/>
  <c r="G97" i="12"/>
  <c r="H97" i="12"/>
  <c r="I97" i="12"/>
  <c r="J97" i="12"/>
  <c r="K97" i="12"/>
  <c r="L97" i="12"/>
  <c r="M97" i="12"/>
  <c r="AA97" i="12"/>
  <c r="R98" i="12"/>
  <c r="Q98" i="12"/>
  <c r="S98" i="12"/>
  <c r="T98" i="12"/>
  <c r="U98" i="12"/>
  <c r="V98" i="12"/>
  <c r="W98" i="12"/>
  <c r="X98" i="12"/>
  <c r="F98" i="12"/>
  <c r="G98" i="12"/>
  <c r="H98" i="12"/>
  <c r="I98" i="12"/>
  <c r="J98" i="12"/>
  <c r="K98" i="12"/>
  <c r="L98" i="12"/>
  <c r="M98" i="12"/>
  <c r="AA98" i="12"/>
  <c r="R99" i="12"/>
  <c r="Q99" i="12"/>
  <c r="S99" i="12"/>
  <c r="T99" i="12"/>
  <c r="U99" i="12"/>
  <c r="V99" i="12"/>
  <c r="W99" i="12"/>
  <c r="X99" i="12"/>
  <c r="F99" i="12"/>
  <c r="G99" i="12"/>
  <c r="H99" i="12"/>
  <c r="I99" i="12"/>
  <c r="J99" i="12"/>
  <c r="K99" i="12"/>
  <c r="L99" i="12"/>
  <c r="M99" i="12"/>
  <c r="AA99" i="12"/>
  <c r="R100" i="12"/>
  <c r="Q100" i="12"/>
  <c r="S100" i="12"/>
  <c r="T100" i="12"/>
  <c r="U100" i="12"/>
  <c r="V100" i="12"/>
  <c r="W100" i="12"/>
  <c r="X100" i="12"/>
  <c r="F100" i="12"/>
  <c r="G100" i="12"/>
  <c r="H100" i="12"/>
  <c r="I100" i="12"/>
  <c r="J100" i="12"/>
  <c r="K100" i="12"/>
  <c r="L100" i="12"/>
  <c r="M100" i="12"/>
  <c r="AA100" i="12"/>
  <c r="R101" i="12"/>
  <c r="Q101" i="12"/>
  <c r="S101" i="12"/>
  <c r="T101" i="12"/>
  <c r="U101" i="12"/>
  <c r="V101" i="12"/>
  <c r="W101" i="12"/>
  <c r="X101" i="12"/>
  <c r="F101" i="12"/>
  <c r="G101" i="12"/>
  <c r="H101" i="12"/>
  <c r="I101" i="12"/>
  <c r="J101" i="12"/>
  <c r="K101" i="12"/>
  <c r="L101" i="12"/>
  <c r="M101" i="12"/>
  <c r="AA101" i="12"/>
  <c r="R102" i="12"/>
  <c r="Q102" i="12"/>
  <c r="S102" i="12"/>
  <c r="T102" i="12"/>
  <c r="U102" i="12"/>
  <c r="V102" i="12"/>
  <c r="W102" i="12"/>
  <c r="X102" i="12"/>
  <c r="F102" i="12"/>
  <c r="G102" i="12"/>
  <c r="H102" i="12"/>
  <c r="K102" i="12"/>
  <c r="L102" i="12"/>
  <c r="M102" i="12"/>
  <c r="AA102" i="12"/>
  <c r="R103" i="12"/>
  <c r="Q103" i="12"/>
  <c r="S103" i="12"/>
  <c r="T103" i="12"/>
  <c r="U103" i="12"/>
  <c r="V103" i="12"/>
  <c r="W103" i="12"/>
  <c r="X103" i="12"/>
  <c r="H103" i="12"/>
  <c r="J103" i="12"/>
  <c r="K103" i="12"/>
  <c r="L103" i="12"/>
  <c r="M103" i="12"/>
  <c r="AA103" i="12"/>
  <c r="R104" i="12"/>
  <c r="Q104" i="12"/>
  <c r="S104" i="12"/>
  <c r="T104" i="12"/>
  <c r="U104" i="12"/>
  <c r="V104" i="12"/>
  <c r="W104" i="12"/>
  <c r="X104" i="12"/>
  <c r="H104" i="12"/>
  <c r="I104" i="12"/>
  <c r="J104" i="12"/>
  <c r="K104" i="12"/>
  <c r="L104" i="12"/>
  <c r="M104" i="12"/>
  <c r="AA104" i="12"/>
  <c r="R105" i="12"/>
  <c r="Q105" i="12"/>
  <c r="S105" i="12"/>
  <c r="T105" i="12"/>
  <c r="U105" i="12"/>
  <c r="V105" i="12"/>
  <c r="W105" i="12"/>
  <c r="X105" i="12"/>
  <c r="H105" i="12"/>
  <c r="I105" i="12"/>
  <c r="J105" i="12"/>
  <c r="K105" i="12"/>
  <c r="L105" i="12"/>
  <c r="M105" i="12"/>
  <c r="AA105" i="12"/>
  <c r="R106" i="12"/>
  <c r="Q106" i="12"/>
  <c r="S106" i="12"/>
  <c r="T106" i="12"/>
  <c r="U106" i="12"/>
  <c r="V106" i="12"/>
  <c r="W106" i="12"/>
  <c r="X106" i="12"/>
  <c r="F106" i="12"/>
  <c r="G106" i="12"/>
  <c r="H106" i="12"/>
  <c r="I106" i="12"/>
  <c r="J106" i="12"/>
  <c r="K106" i="12"/>
  <c r="L106" i="12"/>
  <c r="M106" i="12"/>
  <c r="AA106" i="12"/>
  <c r="R107" i="12"/>
  <c r="Q107" i="12"/>
  <c r="S107" i="12"/>
  <c r="T107" i="12"/>
  <c r="U107" i="12"/>
  <c r="V107" i="12"/>
  <c r="W107" i="12"/>
  <c r="X107" i="12"/>
  <c r="F107" i="12"/>
  <c r="G107" i="12"/>
  <c r="H107" i="12"/>
  <c r="I107" i="12"/>
  <c r="J107" i="12"/>
  <c r="K107" i="12"/>
  <c r="L107" i="12"/>
  <c r="M107" i="12"/>
  <c r="AA107" i="12"/>
  <c r="R108" i="12"/>
  <c r="Q108" i="12"/>
  <c r="S108" i="12"/>
  <c r="T108" i="12"/>
  <c r="U108" i="12"/>
  <c r="V108" i="12"/>
  <c r="W108" i="12"/>
  <c r="X108" i="12"/>
  <c r="F108" i="12"/>
  <c r="G108" i="12"/>
  <c r="H108" i="12"/>
  <c r="I108" i="12"/>
  <c r="J108" i="12"/>
  <c r="K108" i="12"/>
  <c r="L108" i="12"/>
  <c r="M108" i="12"/>
  <c r="AA108" i="12"/>
  <c r="R109" i="12"/>
  <c r="Q109" i="12"/>
  <c r="S109" i="12"/>
  <c r="T109" i="12"/>
  <c r="U109" i="12"/>
  <c r="V109" i="12"/>
  <c r="W109" i="12"/>
  <c r="X109" i="12"/>
  <c r="F109" i="12"/>
  <c r="G109" i="12"/>
  <c r="H109" i="12"/>
  <c r="I109" i="12"/>
  <c r="J109" i="12"/>
  <c r="K109" i="12"/>
  <c r="L109" i="12"/>
  <c r="M109" i="12"/>
  <c r="AA109" i="12"/>
  <c r="R110" i="12"/>
  <c r="Q110" i="12"/>
  <c r="S110" i="12"/>
  <c r="T110" i="12"/>
  <c r="U110" i="12"/>
  <c r="V110" i="12"/>
  <c r="W110" i="12"/>
  <c r="X110" i="12"/>
  <c r="F110" i="12"/>
  <c r="G110" i="12"/>
  <c r="H110" i="12"/>
  <c r="I110" i="12"/>
  <c r="J110" i="12"/>
  <c r="K110" i="12"/>
  <c r="L110" i="12"/>
  <c r="M110" i="12"/>
  <c r="AA110" i="12"/>
  <c r="R111" i="12"/>
  <c r="Q111" i="12"/>
  <c r="S111" i="12"/>
  <c r="T111" i="12"/>
  <c r="U111" i="12"/>
  <c r="V111" i="12"/>
  <c r="W111" i="12"/>
  <c r="X111" i="12"/>
  <c r="F111" i="12"/>
  <c r="G111" i="12"/>
  <c r="H111" i="12"/>
  <c r="I111" i="12"/>
  <c r="J111" i="12"/>
  <c r="K111" i="12"/>
  <c r="L111" i="12"/>
  <c r="M111" i="12"/>
  <c r="AA111" i="12"/>
  <c r="R112" i="12"/>
  <c r="Q112" i="12"/>
  <c r="S112" i="12"/>
  <c r="T112" i="12"/>
  <c r="U112" i="12"/>
  <c r="V112" i="12"/>
  <c r="W112" i="12"/>
  <c r="X112" i="12"/>
  <c r="F112" i="12"/>
  <c r="G112" i="12"/>
  <c r="H112" i="12"/>
  <c r="I112" i="12"/>
  <c r="J112" i="12"/>
  <c r="K112" i="12"/>
  <c r="L112" i="12"/>
  <c r="M112" i="12"/>
  <c r="AA112" i="12"/>
  <c r="V113" i="12"/>
  <c r="W113" i="12"/>
  <c r="R113" i="12"/>
  <c r="Q113" i="12"/>
  <c r="S113" i="12"/>
  <c r="X113" i="12"/>
  <c r="F113" i="12"/>
  <c r="G113" i="12"/>
  <c r="H113" i="12"/>
  <c r="I113" i="12"/>
  <c r="J113" i="12"/>
  <c r="K113" i="12"/>
  <c r="L113" i="12"/>
  <c r="M113" i="12"/>
  <c r="AA113" i="12"/>
  <c r="S114" i="12"/>
  <c r="T114" i="12"/>
  <c r="U114" i="12"/>
  <c r="V114" i="12"/>
  <c r="W114" i="12"/>
  <c r="X114" i="12"/>
  <c r="F114" i="12"/>
  <c r="G114" i="12"/>
  <c r="H114" i="12"/>
  <c r="I114" i="12"/>
  <c r="J114" i="12"/>
  <c r="K114" i="12"/>
  <c r="L114" i="12"/>
  <c r="M114" i="12"/>
  <c r="AA114" i="12"/>
  <c r="S115" i="12"/>
  <c r="T115" i="12"/>
  <c r="U115" i="12"/>
  <c r="V115" i="12"/>
  <c r="W115" i="12"/>
  <c r="X115" i="12"/>
  <c r="F115" i="12"/>
  <c r="G115" i="12"/>
  <c r="H115" i="12"/>
  <c r="I115" i="12"/>
  <c r="J115" i="12"/>
  <c r="K115" i="12"/>
  <c r="L115" i="12"/>
  <c r="M115" i="12"/>
  <c r="AA115" i="12"/>
  <c r="S116" i="12"/>
  <c r="T116" i="12"/>
  <c r="U116" i="12"/>
  <c r="V116" i="12"/>
  <c r="W116" i="12"/>
  <c r="X116" i="12"/>
  <c r="F116" i="12"/>
  <c r="G116" i="12"/>
  <c r="H116" i="12"/>
  <c r="I116" i="12"/>
  <c r="J116" i="12"/>
  <c r="K116" i="12"/>
  <c r="L116" i="12"/>
  <c r="M116" i="12"/>
  <c r="AA116" i="12"/>
  <c r="S117" i="12"/>
  <c r="T117" i="12"/>
  <c r="U117" i="12"/>
  <c r="V117" i="12"/>
  <c r="W117" i="12"/>
  <c r="X117" i="12"/>
  <c r="F117" i="12"/>
  <c r="G117" i="12"/>
  <c r="H117" i="12"/>
  <c r="I117" i="12"/>
  <c r="J117" i="12"/>
  <c r="K117" i="12"/>
  <c r="L117" i="12"/>
  <c r="M117" i="12"/>
  <c r="AA117" i="12"/>
  <c r="S118" i="12"/>
  <c r="T118" i="12"/>
  <c r="U118" i="12"/>
  <c r="V118" i="12"/>
  <c r="W118" i="12"/>
  <c r="X118" i="12"/>
  <c r="F118" i="12"/>
  <c r="G118" i="12"/>
  <c r="H118" i="12"/>
  <c r="I118" i="12"/>
  <c r="J118" i="12"/>
  <c r="K118" i="12"/>
  <c r="L118" i="12"/>
  <c r="M118" i="12"/>
  <c r="AA118" i="12"/>
  <c r="R119" i="12"/>
  <c r="Q119" i="12"/>
  <c r="S119" i="12"/>
  <c r="T119" i="12"/>
  <c r="U119" i="12"/>
  <c r="V119" i="12"/>
  <c r="W119" i="12"/>
  <c r="X119" i="12"/>
  <c r="F119" i="12"/>
  <c r="G119" i="12"/>
  <c r="H119" i="12"/>
  <c r="I119" i="12"/>
  <c r="J119" i="12"/>
  <c r="K119" i="12"/>
  <c r="L119" i="12"/>
  <c r="M119" i="12"/>
  <c r="AA119" i="12"/>
  <c r="R120" i="12"/>
  <c r="Q120" i="12"/>
  <c r="S120" i="12"/>
  <c r="T120" i="12"/>
  <c r="U120" i="12"/>
  <c r="V120" i="12"/>
  <c r="W120" i="12"/>
  <c r="X120" i="12"/>
  <c r="F120" i="12"/>
  <c r="G120" i="12"/>
  <c r="H120" i="12"/>
  <c r="I120" i="12"/>
  <c r="J120" i="12"/>
  <c r="K120" i="12"/>
  <c r="L120" i="12"/>
  <c r="M120" i="12"/>
  <c r="AA120" i="12"/>
  <c r="R121" i="12"/>
  <c r="Q121" i="12"/>
  <c r="S121" i="12"/>
  <c r="T121" i="12"/>
  <c r="U121" i="12"/>
  <c r="V121" i="12"/>
  <c r="W121" i="12"/>
  <c r="X121" i="12"/>
  <c r="F121" i="12"/>
  <c r="G121" i="12"/>
  <c r="H121" i="12"/>
  <c r="I121" i="12"/>
  <c r="J121" i="12"/>
  <c r="K121" i="12"/>
  <c r="L121" i="12"/>
  <c r="M121" i="12"/>
  <c r="AA121" i="12"/>
  <c r="R122" i="12"/>
  <c r="Q122" i="12"/>
  <c r="S122" i="12"/>
  <c r="T122" i="12"/>
  <c r="U122" i="12"/>
  <c r="V122" i="12"/>
  <c r="W122" i="12"/>
  <c r="X122" i="12"/>
  <c r="F122" i="12"/>
  <c r="G122" i="12"/>
  <c r="H122" i="12"/>
  <c r="I122" i="12"/>
  <c r="J122" i="12"/>
  <c r="K122" i="12"/>
  <c r="L122" i="12"/>
  <c r="M122" i="12"/>
  <c r="AA122" i="12"/>
  <c r="R123" i="12"/>
  <c r="Q123" i="12"/>
  <c r="S123" i="12"/>
  <c r="T123" i="12"/>
  <c r="U123" i="12"/>
  <c r="V123" i="12"/>
  <c r="W123" i="12"/>
  <c r="X123" i="12"/>
  <c r="F123" i="12"/>
  <c r="G123" i="12"/>
  <c r="H123" i="12"/>
  <c r="I123" i="12"/>
  <c r="J123" i="12"/>
  <c r="K123" i="12"/>
  <c r="L123" i="12"/>
  <c r="M123" i="12"/>
  <c r="AA123" i="12"/>
  <c r="R124" i="12"/>
  <c r="Q124" i="12"/>
  <c r="S124" i="12"/>
  <c r="T124" i="12"/>
  <c r="U124" i="12"/>
  <c r="V124" i="12"/>
  <c r="W124" i="12"/>
  <c r="X124" i="12"/>
  <c r="F124" i="12"/>
  <c r="G124" i="12"/>
  <c r="H124" i="12"/>
  <c r="I124" i="12"/>
  <c r="J124" i="12"/>
  <c r="K124" i="12"/>
  <c r="L124" i="12"/>
  <c r="M124" i="12"/>
  <c r="AA124" i="12"/>
  <c r="R125" i="12"/>
  <c r="Q125" i="12"/>
  <c r="S125" i="12"/>
  <c r="T125" i="12"/>
  <c r="U125" i="12"/>
  <c r="V125" i="12"/>
  <c r="W125" i="12"/>
  <c r="X125" i="12"/>
  <c r="F125" i="12"/>
  <c r="G125" i="12"/>
  <c r="H125" i="12"/>
  <c r="I125" i="12"/>
  <c r="J125" i="12"/>
  <c r="K125" i="12"/>
  <c r="L125" i="12"/>
  <c r="M125" i="12"/>
  <c r="AA125" i="12"/>
  <c r="R126" i="12"/>
  <c r="Q126" i="12"/>
  <c r="S126" i="12"/>
  <c r="T126" i="12"/>
  <c r="U126" i="12"/>
  <c r="V126" i="12"/>
  <c r="W126" i="12"/>
  <c r="X126" i="12"/>
  <c r="F126" i="12"/>
  <c r="G126" i="12"/>
  <c r="H126" i="12"/>
  <c r="I126" i="12"/>
  <c r="J126" i="12"/>
  <c r="K126" i="12"/>
  <c r="L126" i="12"/>
  <c r="M126" i="12"/>
  <c r="AA126" i="12"/>
  <c r="R127" i="12"/>
  <c r="Q127" i="12"/>
  <c r="S127" i="12"/>
  <c r="T127" i="12"/>
  <c r="U127" i="12"/>
  <c r="V127" i="12"/>
  <c r="W127" i="12"/>
  <c r="X127" i="12"/>
  <c r="F127" i="12"/>
  <c r="G127" i="12"/>
  <c r="H127" i="12"/>
  <c r="I127" i="12"/>
  <c r="J127" i="12"/>
  <c r="K127" i="12"/>
  <c r="L127" i="12"/>
  <c r="M127" i="12"/>
  <c r="AA127" i="12"/>
  <c r="R128" i="12"/>
  <c r="Q128" i="12"/>
  <c r="S128" i="12"/>
  <c r="T128" i="12"/>
  <c r="U128" i="12"/>
  <c r="V128" i="12"/>
  <c r="W128" i="12"/>
  <c r="X128" i="12"/>
  <c r="F128" i="12"/>
  <c r="G128" i="12"/>
  <c r="H128" i="12"/>
  <c r="I128" i="12"/>
  <c r="J128" i="12"/>
  <c r="K128" i="12"/>
  <c r="L128" i="12"/>
  <c r="M128" i="12"/>
  <c r="AA128" i="12"/>
  <c r="R129" i="12"/>
  <c r="Q129" i="12"/>
  <c r="S129" i="12"/>
  <c r="T129" i="12"/>
  <c r="U129" i="12"/>
  <c r="V129" i="12"/>
  <c r="W129" i="12"/>
  <c r="X129" i="12"/>
  <c r="F129" i="12"/>
  <c r="G129" i="12"/>
  <c r="H129" i="12"/>
  <c r="I129" i="12"/>
  <c r="J129" i="12"/>
  <c r="K129" i="12"/>
  <c r="L129" i="12"/>
  <c r="M129" i="12"/>
  <c r="AA129" i="12"/>
  <c r="R130" i="12"/>
  <c r="Q130" i="12"/>
  <c r="S130" i="12"/>
  <c r="T130" i="12"/>
  <c r="U130" i="12"/>
  <c r="V130" i="12"/>
  <c r="W130" i="12"/>
  <c r="X130" i="12"/>
  <c r="F130" i="12"/>
  <c r="G130" i="12"/>
  <c r="H130" i="12"/>
  <c r="I130" i="12"/>
  <c r="J130" i="12"/>
  <c r="K130" i="12"/>
  <c r="L130" i="12"/>
  <c r="M130" i="12"/>
  <c r="AA130" i="12"/>
  <c r="R131" i="12"/>
  <c r="Q131" i="12"/>
  <c r="S131" i="12"/>
  <c r="T131" i="12"/>
  <c r="U131" i="12"/>
  <c r="V131" i="12"/>
  <c r="W131" i="12"/>
  <c r="X131" i="12"/>
  <c r="F131" i="12"/>
  <c r="G131" i="12"/>
  <c r="H131" i="12"/>
  <c r="I131" i="12"/>
  <c r="J131" i="12"/>
  <c r="K131" i="12"/>
  <c r="L131" i="12"/>
  <c r="M131" i="12"/>
  <c r="AA131" i="12"/>
  <c r="R132" i="12"/>
  <c r="Q132" i="12"/>
  <c r="S132" i="12"/>
  <c r="T132" i="12"/>
  <c r="U132" i="12"/>
  <c r="V132" i="12"/>
  <c r="W132" i="12"/>
  <c r="X132" i="12"/>
  <c r="F132" i="12"/>
  <c r="G132" i="12"/>
  <c r="H132" i="12"/>
  <c r="I132" i="12"/>
  <c r="J132" i="12"/>
  <c r="K132" i="12"/>
  <c r="L132" i="12"/>
  <c r="M132" i="12"/>
  <c r="AA132" i="12"/>
  <c r="R133" i="12"/>
  <c r="Q133" i="12"/>
  <c r="S133" i="12"/>
  <c r="T133" i="12"/>
  <c r="U133" i="12"/>
  <c r="V133" i="12"/>
  <c r="W133" i="12"/>
  <c r="X133" i="12"/>
  <c r="F133" i="12"/>
  <c r="G133" i="12"/>
  <c r="H133" i="12"/>
  <c r="I133" i="12"/>
  <c r="J133" i="12"/>
  <c r="K133" i="12"/>
  <c r="L133" i="12"/>
  <c r="M133" i="12"/>
  <c r="AA133" i="12"/>
  <c r="R134" i="12"/>
  <c r="Q134" i="12"/>
  <c r="S134" i="12"/>
  <c r="T134" i="12"/>
  <c r="U134" i="12"/>
  <c r="V134" i="12"/>
  <c r="W134" i="12"/>
  <c r="X134" i="12"/>
  <c r="F134" i="12"/>
  <c r="G134" i="12"/>
  <c r="H134" i="12"/>
  <c r="I134" i="12"/>
  <c r="J134" i="12"/>
  <c r="K134" i="12"/>
  <c r="L134" i="12"/>
  <c r="M134" i="12"/>
  <c r="AA134" i="12"/>
  <c r="R135" i="12"/>
  <c r="Q135" i="12"/>
  <c r="S135" i="12"/>
  <c r="T135" i="12"/>
  <c r="U135" i="12"/>
  <c r="V135" i="12"/>
  <c r="W135" i="12"/>
  <c r="X135" i="12"/>
  <c r="F135" i="12"/>
  <c r="G135" i="12"/>
  <c r="H135" i="12"/>
  <c r="K135" i="12"/>
  <c r="L135" i="12"/>
  <c r="M135" i="12"/>
  <c r="AA135" i="12"/>
  <c r="R136" i="12"/>
  <c r="Q136" i="12"/>
  <c r="S136" i="12"/>
  <c r="T136" i="12"/>
  <c r="U136" i="12"/>
  <c r="V136" i="12"/>
  <c r="W136" i="12"/>
  <c r="X136" i="12"/>
  <c r="H136" i="12"/>
  <c r="K136" i="12"/>
  <c r="L136" i="12"/>
  <c r="M136" i="12"/>
  <c r="AA136" i="12"/>
  <c r="R137" i="12"/>
  <c r="Q137" i="12"/>
  <c r="S137" i="12"/>
  <c r="T137" i="12"/>
  <c r="U137" i="12"/>
  <c r="V137" i="12"/>
  <c r="W137" i="12"/>
  <c r="X137" i="12"/>
  <c r="H137" i="12"/>
  <c r="I137" i="12"/>
  <c r="J137" i="12"/>
  <c r="K137" i="12"/>
  <c r="L137" i="12"/>
  <c r="M137" i="12"/>
  <c r="AA137" i="12"/>
  <c r="R138" i="12"/>
  <c r="Q138" i="12"/>
  <c r="S138" i="12"/>
  <c r="T138" i="12"/>
  <c r="U138" i="12"/>
  <c r="V138" i="12"/>
  <c r="W138" i="12"/>
  <c r="X138" i="12"/>
  <c r="H138" i="12"/>
  <c r="I138" i="12"/>
  <c r="J138" i="12"/>
  <c r="K138" i="12"/>
  <c r="L138" i="12"/>
  <c r="M138" i="12"/>
  <c r="AA138" i="12"/>
  <c r="R139" i="12"/>
  <c r="Q139" i="12"/>
  <c r="S139" i="12"/>
  <c r="T139" i="12"/>
  <c r="U139" i="12"/>
  <c r="V139" i="12"/>
  <c r="W139" i="12"/>
  <c r="X139" i="12"/>
  <c r="F139" i="12"/>
  <c r="G139" i="12"/>
  <c r="H139" i="12"/>
  <c r="I139" i="12"/>
  <c r="J139" i="12"/>
  <c r="K139" i="12"/>
  <c r="L139" i="12"/>
  <c r="M139" i="12"/>
  <c r="AA139" i="12"/>
  <c r="R140" i="12"/>
  <c r="Q140" i="12"/>
  <c r="S140" i="12"/>
  <c r="T140" i="12"/>
  <c r="U140" i="12"/>
  <c r="V140" i="12"/>
  <c r="W140" i="12"/>
  <c r="X140" i="12"/>
  <c r="F140" i="12"/>
  <c r="G140" i="12"/>
  <c r="H140" i="12"/>
  <c r="I140" i="12"/>
  <c r="J140" i="12"/>
  <c r="K140" i="12"/>
  <c r="L140" i="12"/>
  <c r="M140" i="12"/>
  <c r="AA140" i="12"/>
  <c r="R141" i="12"/>
  <c r="Q141" i="12"/>
  <c r="S141" i="12"/>
  <c r="T141" i="12"/>
  <c r="U141" i="12"/>
  <c r="V141" i="12"/>
  <c r="W141" i="12"/>
  <c r="X141" i="12"/>
  <c r="F141" i="12"/>
  <c r="G141" i="12"/>
  <c r="H141" i="12"/>
  <c r="I141" i="12"/>
  <c r="J141" i="12"/>
  <c r="K141" i="12"/>
  <c r="L141" i="12"/>
  <c r="M141" i="12"/>
  <c r="AA141" i="12"/>
  <c r="R142" i="12"/>
  <c r="Q142" i="12"/>
  <c r="S142" i="12"/>
  <c r="T142" i="12"/>
  <c r="U142" i="12"/>
  <c r="V142" i="12"/>
  <c r="W142" i="12"/>
  <c r="X142" i="12"/>
  <c r="F142" i="12"/>
  <c r="G142" i="12"/>
  <c r="H142" i="12"/>
  <c r="I142" i="12"/>
  <c r="J142" i="12"/>
  <c r="K142" i="12"/>
  <c r="L142" i="12"/>
  <c r="M142" i="12"/>
  <c r="AA142" i="12"/>
  <c r="R143" i="12"/>
  <c r="Q143" i="12"/>
  <c r="S143" i="12"/>
  <c r="T143" i="12"/>
  <c r="U143" i="12"/>
  <c r="V143" i="12"/>
  <c r="W143" i="12"/>
  <c r="X143" i="12"/>
  <c r="F143" i="12"/>
  <c r="G143" i="12"/>
  <c r="H143" i="12"/>
  <c r="I143" i="12"/>
  <c r="J143" i="12"/>
  <c r="K143" i="12"/>
  <c r="L143" i="12"/>
  <c r="M143" i="12"/>
  <c r="AA143" i="12"/>
  <c r="R144" i="12"/>
  <c r="Q144" i="12"/>
  <c r="S144" i="12"/>
  <c r="T144" i="12"/>
  <c r="U144" i="12"/>
  <c r="V144" i="12"/>
  <c r="W144" i="12"/>
  <c r="X144" i="12"/>
  <c r="F144" i="12"/>
  <c r="G144" i="12"/>
  <c r="H144" i="12"/>
  <c r="I144" i="12"/>
  <c r="J144" i="12"/>
  <c r="K144" i="12"/>
  <c r="L144" i="12"/>
  <c r="M144" i="12"/>
  <c r="AA144" i="12"/>
  <c r="R145" i="12"/>
  <c r="Q145" i="12"/>
  <c r="S145" i="12"/>
  <c r="T145" i="12"/>
  <c r="U145" i="12"/>
  <c r="V145" i="12"/>
  <c r="W145" i="12"/>
  <c r="X145" i="12"/>
  <c r="F145" i="12"/>
  <c r="G145" i="12"/>
  <c r="H145" i="12"/>
  <c r="I145" i="12"/>
  <c r="J145" i="12"/>
  <c r="K145" i="12"/>
  <c r="L145" i="12"/>
  <c r="M145" i="12"/>
  <c r="AA145" i="12"/>
  <c r="R146" i="12"/>
  <c r="Q146" i="12"/>
  <c r="S146" i="12"/>
  <c r="T146" i="12"/>
  <c r="U146" i="12"/>
  <c r="V146" i="12"/>
  <c r="W146" i="12"/>
  <c r="X146" i="12"/>
  <c r="F146" i="12"/>
  <c r="G146" i="12"/>
  <c r="H146" i="12"/>
  <c r="I146" i="12"/>
  <c r="J146" i="12"/>
  <c r="K146" i="12"/>
  <c r="L146" i="12"/>
  <c r="M146" i="12"/>
  <c r="AA146" i="12"/>
  <c r="R147" i="12"/>
  <c r="Q147" i="12"/>
  <c r="S147" i="12"/>
  <c r="T147" i="12"/>
  <c r="U147" i="12"/>
  <c r="V147" i="12"/>
  <c r="W147" i="12"/>
  <c r="X147" i="12"/>
  <c r="F147" i="12"/>
  <c r="G147" i="12"/>
  <c r="H147" i="12"/>
  <c r="I147" i="12"/>
  <c r="J147" i="12"/>
  <c r="K147" i="12"/>
  <c r="L147" i="12"/>
  <c r="M147" i="12"/>
  <c r="AA147" i="12"/>
  <c r="R148" i="12"/>
  <c r="Q148" i="12"/>
  <c r="S148" i="12"/>
  <c r="T148" i="12"/>
  <c r="U148" i="12"/>
  <c r="V148" i="12"/>
  <c r="W148" i="12"/>
  <c r="X148" i="12"/>
  <c r="F148" i="12"/>
  <c r="G148" i="12"/>
  <c r="H148" i="12"/>
  <c r="I148" i="12"/>
  <c r="J148" i="12"/>
  <c r="K148" i="12"/>
  <c r="L148" i="12"/>
  <c r="M148" i="12"/>
  <c r="AA148" i="12"/>
  <c r="R149" i="12"/>
  <c r="Q149" i="12"/>
  <c r="S149" i="12"/>
  <c r="T149" i="12"/>
  <c r="U149" i="12"/>
  <c r="V149" i="12"/>
  <c r="W149" i="12"/>
  <c r="X149" i="12"/>
  <c r="F149" i="12"/>
  <c r="G149" i="12"/>
  <c r="H149" i="12"/>
  <c r="I149" i="12"/>
  <c r="J149" i="12"/>
  <c r="K149" i="12"/>
  <c r="L149" i="12"/>
  <c r="M149" i="12"/>
  <c r="AA149" i="12"/>
  <c r="R150" i="12"/>
  <c r="Q150" i="12"/>
  <c r="S150" i="12"/>
  <c r="T150" i="12"/>
  <c r="U150" i="12"/>
  <c r="V150" i="12"/>
  <c r="W150" i="12"/>
  <c r="X150" i="12"/>
  <c r="F150" i="12"/>
  <c r="G150" i="12"/>
  <c r="H150" i="12"/>
  <c r="I150" i="12"/>
  <c r="J150" i="12"/>
  <c r="K150" i="12"/>
  <c r="L150" i="12"/>
  <c r="M150" i="12"/>
  <c r="AA150" i="12"/>
  <c r="R151" i="12"/>
  <c r="Q151" i="12"/>
  <c r="S151" i="12"/>
  <c r="T151" i="12"/>
  <c r="U151" i="12"/>
  <c r="V151" i="12"/>
  <c r="W151" i="12"/>
  <c r="X151" i="12"/>
  <c r="F151" i="12"/>
  <c r="G151" i="12"/>
  <c r="H151" i="12"/>
  <c r="I151" i="12"/>
  <c r="J151" i="12"/>
  <c r="K151" i="12"/>
  <c r="L151" i="12"/>
  <c r="M151" i="12"/>
  <c r="AA151" i="12"/>
  <c r="R152" i="12"/>
  <c r="Q152" i="12"/>
  <c r="S152" i="12"/>
  <c r="T152" i="12"/>
  <c r="U152" i="12"/>
  <c r="V152" i="12"/>
  <c r="W152" i="12"/>
  <c r="X152" i="12"/>
  <c r="F152" i="12"/>
  <c r="G152" i="12"/>
  <c r="H152" i="12"/>
  <c r="I152" i="12"/>
  <c r="J152" i="12"/>
  <c r="K152" i="12"/>
  <c r="L152" i="12"/>
  <c r="M152" i="12"/>
  <c r="AA152" i="12"/>
  <c r="R153" i="12"/>
  <c r="Q153" i="12"/>
  <c r="S153" i="12"/>
  <c r="T153" i="12"/>
  <c r="U153" i="12"/>
  <c r="V153" i="12"/>
  <c r="W153" i="12"/>
  <c r="X153" i="12"/>
  <c r="F153" i="12"/>
  <c r="G153" i="12"/>
  <c r="H153" i="12"/>
  <c r="I153" i="12"/>
  <c r="J153" i="12"/>
  <c r="K153" i="12"/>
  <c r="L153" i="12"/>
  <c r="M153" i="12"/>
  <c r="AA153" i="12"/>
  <c r="R154" i="12"/>
  <c r="Q154" i="12"/>
  <c r="S154" i="12"/>
  <c r="T154" i="12"/>
  <c r="U154" i="12"/>
  <c r="V154" i="12"/>
  <c r="W154" i="12"/>
  <c r="X154" i="12"/>
  <c r="F154" i="12"/>
  <c r="G154" i="12"/>
  <c r="H154" i="12"/>
  <c r="I154" i="12"/>
  <c r="J154" i="12"/>
  <c r="K154" i="12"/>
  <c r="L154" i="12"/>
  <c r="M154" i="12"/>
  <c r="AA154" i="12"/>
  <c r="R155" i="12"/>
  <c r="Q155" i="12"/>
  <c r="S155" i="12"/>
  <c r="T155" i="12"/>
  <c r="U155" i="12"/>
  <c r="V155" i="12"/>
  <c r="W155" i="12"/>
  <c r="X155" i="12"/>
  <c r="F155" i="12"/>
  <c r="G155" i="12"/>
  <c r="H155" i="12"/>
  <c r="I155" i="12"/>
  <c r="J155" i="12"/>
  <c r="K155" i="12"/>
  <c r="L155" i="12"/>
  <c r="M155" i="12"/>
  <c r="AA155" i="12"/>
  <c r="R156" i="12"/>
  <c r="Q156" i="12"/>
  <c r="S156" i="12"/>
  <c r="T156" i="12"/>
  <c r="U156" i="12"/>
  <c r="V156" i="12"/>
  <c r="W156" i="12"/>
  <c r="X156" i="12"/>
  <c r="F156" i="12"/>
  <c r="G156" i="12"/>
  <c r="H156" i="12"/>
  <c r="I156" i="12"/>
  <c r="J156" i="12"/>
  <c r="K156" i="12"/>
  <c r="L156" i="12"/>
  <c r="M156" i="12"/>
  <c r="AA156" i="12"/>
  <c r="R157" i="12"/>
  <c r="Q157" i="12"/>
  <c r="S157" i="12"/>
  <c r="T157" i="12"/>
  <c r="U157" i="12"/>
  <c r="V157" i="12"/>
  <c r="W157" i="12"/>
  <c r="X157" i="12"/>
  <c r="F157" i="12"/>
  <c r="G157" i="12"/>
  <c r="H157" i="12"/>
  <c r="I157" i="12"/>
  <c r="J157" i="12"/>
  <c r="K157" i="12"/>
  <c r="L157" i="12"/>
  <c r="M157" i="12"/>
  <c r="AA157" i="12"/>
  <c r="R158" i="12"/>
  <c r="Q158" i="12"/>
  <c r="S158" i="12"/>
  <c r="T158" i="12"/>
  <c r="U158" i="12"/>
  <c r="V158" i="12"/>
  <c r="W158" i="12"/>
  <c r="X158" i="12"/>
  <c r="F158" i="12"/>
  <c r="G158" i="12"/>
  <c r="H158" i="12"/>
  <c r="I158" i="12"/>
  <c r="J158" i="12"/>
  <c r="K158" i="12"/>
  <c r="L158" i="12"/>
  <c r="M158" i="12"/>
  <c r="AA158" i="12"/>
  <c r="R159" i="12"/>
  <c r="Q159" i="12"/>
  <c r="S159" i="12"/>
  <c r="T159" i="12"/>
  <c r="U159" i="12"/>
  <c r="V159" i="12"/>
  <c r="W159" i="12"/>
  <c r="X159" i="12"/>
  <c r="F159" i="12"/>
  <c r="G159" i="12"/>
  <c r="H159" i="12"/>
  <c r="I159" i="12"/>
  <c r="J159" i="12"/>
  <c r="K159" i="12"/>
  <c r="L159" i="12"/>
  <c r="M159" i="12"/>
  <c r="AA159" i="12"/>
  <c r="R160" i="12"/>
  <c r="Q160" i="12"/>
  <c r="S160" i="12"/>
  <c r="T160" i="12"/>
  <c r="U160" i="12"/>
  <c r="V160" i="12"/>
  <c r="W160" i="12"/>
  <c r="X160" i="12"/>
  <c r="F160" i="12"/>
  <c r="G160" i="12"/>
  <c r="H160" i="12"/>
  <c r="I160" i="12"/>
  <c r="J160" i="12"/>
  <c r="K160" i="12"/>
  <c r="L160" i="12"/>
  <c r="M160" i="12"/>
  <c r="AA160" i="12"/>
  <c r="R161" i="12"/>
  <c r="Q161" i="12"/>
  <c r="S161" i="12"/>
  <c r="T161" i="12"/>
  <c r="U161" i="12"/>
  <c r="V161" i="12"/>
  <c r="W161" i="12"/>
  <c r="X161" i="12"/>
  <c r="F161" i="12"/>
  <c r="G161" i="12"/>
  <c r="H161" i="12"/>
  <c r="I161" i="12"/>
  <c r="J161" i="12"/>
  <c r="K161" i="12"/>
  <c r="L161" i="12"/>
  <c r="M161" i="12"/>
  <c r="AA161" i="12"/>
  <c r="R162" i="12"/>
  <c r="Q162" i="12"/>
  <c r="S162" i="12"/>
  <c r="T162" i="12"/>
  <c r="U162" i="12"/>
  <c r="V162" i="12"/>
  <c r="W162" i="12"/>
  <c r="X162" i="12"/>
  <c r="F162" i="12"/>
  <c r="G162" i="12"/>
  <c r="H162" i="12"/>
  <c r="I162" i="12"/>
  <c r="J162" i="12"/>
  <c r="K162" i="12"/>
  <c r="L162" i="12"/>
  <c r="M162" i="12"/>
  <c r="AA162" i="12"/>
  <c r="R163" i="12"/>
  <c r="Q163" i="12"/>
  <c r="S163" i="12"/>
  <c r="T163" i="12"/>
  <c r="U163" i="12"/>
  <c r="V163" i="12"/>
  <c r="W163" i="12"/>
  <c r="X163" i="12"/>
  <c r="F163" i="12"/>
  <c r="G163" i="12"/>
  <c r="H163" i="12"/>
  <c r="I163" i="12"/>
  <c r="J163" i="12"/>
  <c r="K163" i="12"/>
  <c r="L163" i="12"/>
  <c r="M163" i="12"/>
  <c r="AA163" i="12"/>
  <c r="R164" i="12"/>
  <c r="Q164" i="12"/>
  <c r="S164" i="12"/>
  <c r="T164" i="12"/>
  <c r="U164" i="12"/>
  <c r="V164" i="12"/>
  <c r="W164" i="12"/>
  <c r="X164" i="12"/>
  <c r="F164" i="12"/>
  <c r="G164" i="12"/>
  <c r="H164" i="12"/>
  <c r="I164" i="12"/>
  <c r="J164" i="12"/>
  <c r="K164" i="12"/>
  <c r="L164" i="12"/>
  <c r="M164" i="12"/>
  <c r="AA164" i="12"/>
  <c r="R165" i="12"/>
  <c r="Q165" i="12"/>
  <c r="S165" i="12"/>
  <c r="T165" i="12"/>
  <c r="U165" i="12"/>
  <c r="V165" i="12"/>
  <c r="W165" i="12"/>
  <c r="X165" i="12"/>
  <c r="F165" i="12"/>
  <c r="G165" i="12"/>
  <c r="H165" i="12"/>
  <c r="I165" i="12"/>
  <c r="J165" i="12"/>
  <c r="K165" i="12"/>
  <c r="L165" i="12"/>
  <c r="M165" i="12"/>
  <c r="AA165" i="12"/>
  <c r="R166" i="12"/>
  <c r="Q166" i="12"/>
  <c r="S166" i="12"/>
  <c r="T166" i="12"/>
  <c r="U166" i="12"/>
  <c r="V166" i="12"/>
  <c r="W166" i="12"/>
  <c r="X166" i="12"/>
  <c r="F166" i="12"/>
  <c r="G166" i="12"/>
  <c r="H166" i="12"/>
  <c r="I166" i="12"/>
  <c r="J166" i="12"/>
  <c r="K166" i="12"/>
  <c r="L166" i="12"/>
  <c r="M166" i="12"/>
  <c r="AA166" i="12"/>
  <c r="R167" i="12"/>
  <c r="Q167" i="12"/>
  <c r="S167" i="12"/>
  <c r="T167" i="12"/>
  <c r="U167" i="12"/>
  <c r="V167" i="12"/>
  <c r="W167" i="12"/>
  <c r="X167" i="12"/>
  <c r="F167" i="12"/>
  <c r="G167" i="12"/>
  <c r="H167" i="12"/>
  <c r="I167" i="12"/>
  <c r="J167" i="12"/>
  <c r="K167" i="12"/>
  <c r="L167" i="12"/>
  <c r="M167" i="12"/>
  <c r="AA167" i="12"/>
  <c r="R168" i="12"/>
  <c r="Q168" i="12"/>
  <c r="S168" i="12"/>
  <c r="V168" i="12"/>
  <c r="W168" i="12"/>
  <c r="X168" i="12"/>
  <c r="F168" i="12"/>
  <c r="G168" i="12"/>
  <c r="H168" i="12"/>
  <c r="K168" i="12"/>
  <c r="L168" i="12"/>
  <c r="M168" i="12"/>
  <c r="AA168" i="12"/>
  <c r="G3" i="12"/>
  <c r="H3" i="12"/>
  <c r="M3" i="12"/>
  <c r="X3" i="12"/>
  <c r="AA3" i="12"/>
  <c r="M4" i="12"/>
  <c r="X4" i="12"/>
  <c r="AA4" i="12"/>
  <c r="M5" i="12"/>
  <c r="X5" i="12"/>
  <c r="AA5" i="12"/>
  <c r="M6" i="12"/>
  <c r="X6" i="12"/>
  <c r="AA6" i="12"/>
  <c r="M7" i="12"/>
  <c r="X7" i="12"/>
  <c r="AA7" i="12"/>
  <c r="M8" i="12"/>
  <c r="X8" i="12"/>
  <c r="AA8" i="12"/>
  <c r="B35" i="12"/>
  <c r="B33" i="12"/>
  <c r="C27" i="12"/>
  <c r="B32" i="12"/>
  <c r="B9" i="18"/>
  <c r="C12" i="18"/>
  <c r="B12" i="18"/>
  <c r="B7" i="19"/>
  <c r="C7" i="19"/>
  <c r="C10" i="19"/>
  <c r="C11" i="19"/>
  <c r="H138" i="19"/>
  <c r="I137" i="19"/>
  <c r="J137" i="19"/>
  <c r="H137" i="19"/>
  <c r="K136" i="19"/>
  <c r="L136" i="19"/>
  <c r="H136" i="19"/>
  <c r="S118" i="19"/>
  <c r="S117" i="19"/>
  <c r="S116" i="19"/>
  <c r="S115" i="19"/>
  <c r="S114" i="19"/>
  <c r="H105" i="19"/>
  <c r="I104" i="19"/>
  <c r="H104" i="19"/>
  <c r="K103" i="19"/>
  <c r="L103" i="19"/>
  <c r="J103" i="19"/>
  <c r="H103" i="19"/>
  <c r="H72" i="19"/>
  <c r="H71" i="19"/>
  <c r="J70" i="19"/>
  <c r="I71" i="19"/>
  <c r="H70" i="19"/>
  <c r="K70" i="19"/>
  <c r="L70" i="19"/>
  <c r="S63" i="19"/>
  <c r="S62" i="19"/>
  <c r="S61" i="19"/>
  <c r="S60" i="19"/>
  <c r="S59" i="19"/>
  <c r="H39" i="19"/>
  <c r="H38" i="19"/>
  <c r="J37" i="19"/>
  <c r="I38" i="19"/>
  <c r="H37" i="19"/>
  <c r="K37" i="19"/>
  <c r="L37" i="19"/>
  <c r="B24" i="19"/>
  <c r="G20" i="19"/>
  <c r="A20" i="19"/>
  <c r="A19" i="19"/>
  <c r="A18" i="19"/>
  <c r="G17" i="19"/>
  <c r="G15" i="19"/>
  <c r="C13" i="19"/>
  <c r="B13" i="19"/>
  <c r="G19" i="19"/>
  <c r="G12" i="19"/>
  <c r="C12" i="19"/>
  <c r="B12" i="19"/>
  <c r="B14" i="19"/>
  <c r="G11" i="19"/>
  <c r="G10" i="19"/>
  <c r="B10" i="19"/>
  <c r="B11" i="19"/>
  <c r="G9" i="19"/>
  <c r="S8" i="19"/>
  <c r="G8" i="19"/>
  <c r="S7" i="19"/>
  <c r="G7" i="19"/>
  <c r="S6" i="19"/>
  <c r="H6" i="19"/>
  <c r="S5" i="19"/>
  <c r="H5" i="19"/>
  <c r="S4" i="19"/>
  <c r="J4" i="19"/>
  <c r="I5" i="19"/>
  <c r="H4" i="19"/>
  <c r="K4" i="19"/>
  <c r="L4" i="19"/>
  <c r="W3" i="19"/>
  <c r="S3" i="19"/>
  <c r="T4" i="19"/>
  <c r="R3" i="19"/>
  <c r="H3" i="19"/>
  <c r="M3" i="19"/>
  <c r="G3" i="19"/>
  <c r="R3" i="18"/>
  <c r="S3" i="18"/>
  <c r="T4" i="18"/>
  <c r="G3" i="18"/>
  <c r="H3" i="18"/>
  <c r="M3" i="18"/>
  <c r="H138" i="18"/>
  <c r="K137" i="18"/>
  <c r="J137" i="18"/>
  <c r="I137" i="18"/>
  <c r="I138" i="18"/>
  <c r="J138" i="18"/>
  <c r="K138" i="18"/>
  <c r="H137" i="18"/>
  <c r="H136" i="18"/>
  <c r="K136" i="18"/>
  <c r="L136" i="18"/>
  <c r="S118" i="18"/>
  <c r="S117" i="18"/>
  <c r="S116" i="18"/>
  <c r="S115" i="18"/>
  <c r="S114" i="18"/>
  <c r="H105" i="18"/>
  <c r="I104" i="18"/>
  <c r="J104" i="18"/>
  <c r="H104" i="18"/>
  <c r="K104" i="18"/>
  <c r="J103" i="18"/>
  <c r="H103" i="18"/>
  <c r="K103" i="18"/>
  <c r="L103" i="18"/>
  <c r="H72" i="18"/>
  <c r="J71" i="18"/>
  <c r="H71" i="18"/>
  <c r="J70" i="18"/>
  <c r="I71" i="18"/>
  <c r="H70" i="18"/>
  <c r="S63" i="18"/>
  <c r="S62" i="18"/>
  <c r="S61" i="18"/>
  <c r="S60" i="18"/>
  <c r="S59" i="18"/>
  <c r="H39" i="18"/>
  <c r="H38" i="18"/>
  <c r="L37" i="18"/>
  <c r="J37" i="18"/>
  <c r="I38" i="18"/>
  <c r="J38" i="18"/>
  <c r="K38" i="18"/>
  <c r="H37" i="18"/>
  <c r="K37" i="18"/>
  <c r="B24" i="18"/>
  <c r="A20" i="18"/>
  <c r="A19" i="18"/>
  <c r="A18" i="18"/>
  <c r="C13" i="18"/>
  <c r="B13" i="18"/>
  <c r="G46" i="18"/>
  <c r="G11" i="18"/>
  <c r="G10" i="18"/>
  <c r="C10" i="18"/>
  <c r="B10" i="18"/>
  <c r="G9" i="18"/>
  <c r="C9" i="18"/>
  <c r="S8" i="18"/>
  <c r="G8" i="18"/>
  <c r="S7" i="18"/>
  <c r="G7" i="18"/>
  <c r="S6" i="18"/>
  <c r="H6" i="18"/>
  <c r="S5" i="18"/>
  <c r="H5" i="18"/>
  <c r="S4" i="18"/>
  <c r="H4" i="18"/>
  <c r="W3" i="18"/>
  <c r="C9" i="13"/>
  <c r="H138" i="17"/>
  <c r="I137" i="17"/>
  <c r="J137" i="17"/>
  <c r="H137" i="17"/>
  <c r="L136" i="17"/>
  <c r="M136" i="17"/>
  <c r="N136" i="17"/>
  <c r="H136" i="17"/>
  <c r="K136" i="17"/>
  <c r="S118" i="17"/>
  <c r="S117" i="17"/>
  <c r="S116" i="17"/>
  <c r="S115" i="17"/>
  <c r="S114" i="17"/>
  <c r="H105" i="17"/>
  <c r="H104" i="17"/>
  <c r="J103" i="17"/>
  <c r="I104" i="17"/>
  <c r="H103" i="17"/>
  <c r="K103" i="17"/>
  <c r="L103" i="17"/>
  <c r="H72" i="17"/>
  <c r="H71" i="17"/>
  <c r="K70" i="17"/>
  <c r="L70" i="17"/>
  <c r="M70" i="17"/>
  <c r="N70" i="17"/>
  <c r="J70" i="17"/>
  <c r="I71" i="17"/>
  <c r="H70" i="17"/>
  <c r="S63" i="17"/>
  <c r="S62" i="17"/>
  <c r="S61" i="17"/>
  <c r="S60" i="17"/>
  <c r="S59" i="17"/>
  <c r="H39" i="17"/>
  <c r="H38" i="17"/>
  <c r="J37" i="17"/>
  <c r="I38" i="17"/>
  <c r="J38" i="17"/>
  <c r="K38" i="17"/>
  <c r="H37" i="17"/>
  <c r="B24" i="17"/>
  <c r="A20" i="17"/>
  <c r="A19" i="17"/>
  <c r="C13" i="17"/>
  <c r="B13" i="17"/>
  <c r="G102" i="17"/>
  <c r="C12" i="17"/>
  <c r="R3" i="17"/>
  <c r="S3" i="17"/>
  <c r="T4" i="17"/>
  <c r="B12" i="17"/>
  <c r="G3" i="17"/>
  <c r="H3" i="17"/>
  <c r="M3" i="17"/>
  <c r="C10" i="17"/>
  <c r="C11" i="17"/>
  <c r="B10" i="17"/>
  <c r="B11" i="17"/>
  <c r="C9" i="17"/>
  <c r="S8" i="17"/>
  <c r="S7" i="17"/>
  <c r="S6" i="17"/>
  <c r="H6" i="17"/>
  <c r="S5" i="17"/>
  <c r="H5" i="17"/>
  <c r="S4" i="17"/>
  <c r="J4" i="17"/>
  <c r="I5" i="17"/>
  <c r="H4" i="17"/>
  <c r="K4" i="17"/>
  <c r="L4" i="17"/>
  <c r="W3" i="17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I138" i="13"/>
  <c r="H138" i="13"/>
  <c r="I137" i="13"/>
  <c r="J137" i="13"/>
  <c r="H137" i="13"/>
  <c r="M136" i="13"/>
  <c r="N136" i="13"/>
  <c r="H136" i="13"/>
  <c r="K136" i="13"/>
  <c r="L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S118" i="13"/>
  <c r="G118" i="13"/>
  <c r="S117" i="13"/>
  <c r="G117" i="13"/>
  <c r="S116" i="13"/>
  <c r="G116" i="13"/>
  <c r="S115" i="13"/>
  <c r="G115" i="13"/>
  <c r="T114" i="13"/>
  <c r="U114" i="13"/>
  <c r="S114" i="13"/>
  <c r="G114" i="13"/>
  <c r="G113" i="13"/>
  <c r="G112" i="13"/>
  <c r="G111" i="13"/>
  <c r="G110" i="13"/>
  <c r="G109" i="13"/>
  <c r="G108" i="13"/>
  <c r="G107" i="13"/>
  <c r="G106" i="13"/>
  <c r="H105" i="13"/>
  <c r="H104" i="13"/>
  <c r="J103" i="13"/>
  <c r="H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F77" i="13"/>
  <c r="H77" i="13"/>
  <c r="G76" i="13"/>
  <c r="G75" i="13"/>
  <c r="F75" i="13"/>
  <c r="H75" i="13"/>
  <c r="G74" i="13"/>
  <c r="F74" i="13"/>
  <c r="H74" i="13"/>
  <c r="G73" i="13"/>
  <c r="H72" i="13"/>
  <c r="H71" i="13"/>
  <c r="N70" i="13"/>
  <c r="L70" i="13"/>
  <c r="M70" i="13"/>
  <c r="K70" i="13"/>
  <c r="J70" i="13"/>
  <c r="I71" i="13"/>
  <c r="H70" i="13"/>
  <c r="G69" i="13"/>
  <c r="G68" i="13"/>
  <c r="H67" i="13"/>
  <c r="G67" i="13"/>
  <c r="F67" i="13"/>
  <c r="G66" i="13"/>
  <c r="G65" i="13"/>
  <c r="F65" i="13"/>
  <c r="H65" i="13"/>
  <c r="G64" i="13"/>
  <c r="S63" i="13"/>
  <c r="G63" i="13"/>
  <c r="S62" i="13"/>
  <c r="G62" i="13"/>
  <c r="S61" i="13"/>
  <c r="G61" i="13"/>
  <c r="F61" i="13"/>
  <c r="H61" i="13"/>
  <c r="S60" i="13"/>
  <c r="G60" i="13"/>
  <c r="V59" i="13"/>
  <c r="U59" i="13"/>
  <c r="T59" i="13"/>
  <c r="T60" i="13"/>
  <c r="S59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H39" i="13"/>
  <c r="I38" i="13"/>
  <c r="H38" i="13"/>
  <c r="M37" i="13"/>
  <c r="N37" i="13"/>
  <c r="J37" i="13"/>
  <c r="H37" i="13"/>
  <c r="K37" i="13"/>
  <c r="L37" i="13"/>
  <c r="G36" i="13"/>
  <c r="F36" i="13"/>
  <c r="H36" i="13"/>
  <c r="K36" i="13"/>
  <c r="H35" i="13"/>
  <c r="G35" i="13"/>
  <c r="F35" i="13"/>
  <c r="G34" i="13"/>
  <c r="F34" i="13"/>
  <c r="H34" i="13"/>
  <c r="G33" i="13"/>
  <c r="F33" i="13"/>
  <c r="H33" i="13"/>
  <c r="G32" i="13"/>
  <c r="F32" i="13"/>
  <c r="H32" i="13"/>
  <c r="H31" i="13"/>
  <c r="G31" i="13"/>
  <c r="F31" i="13"/>
  <c r="G30" i="13"/>
  <c r="F30" i="13"/>
  <c r="H30" i="13"/>
  <c r="G29" i="13"/>
  <c r="F29" i="13"/>
  <c r="H29" i="13"/>
  <c r="G28" i="13"/>
  <c r="F28" i="13"/>
  <c r="H28" i="13"/>
  <c r="H27" i="13"/>
  <c r="G27" i="13"/>
  <c r="F27" i="13"/>
  <c r="G26" i="13"/>
  <c r="F26" i="13"/>
  <c r="H26" i="13"/>
  <c r="G25" i="13"/>
  <c r="F25" i="13"/>
  <c r="H25" i="13"/>
  <c r="G24" i="13"/>
  <c r="F24" i="13"/>
  <c r="H24" i="13"/>
  <c r="H23" i="13"/>
  <c r="G23" i="13"/>
  <c r="F23" i="13"/>
  <c r="G22" i="13"/>
  <c r="F22" i="13"/>
  <c r="H22" i="13"/>
  <c r="G21" i="13"/>
  <c r="F21" i="13"/>
  <c r="H21" i="13"/>
  <c r="G20" i="13"/>
  <c r="F20" i="13"/>
  <c r="H20" i="13"/>
  <c r="H19" i="13"/>
  <c r="G19" i="13"/>
  <c r="F19" i="13"/>
  <c r="G18" i="13"/>
  <c r="F18" i="13"/>
  <c r="H18" i="13"/>
  <c r="G17" i="13"/>
  <c r="F17" i="13"/>
  <c r="H17" i="13"/>
  <c r="G16" i="13"/>
  <c r="F16" i="13"/>
  <c r="H16" i="13"/>
  <c r="H15" i="13"/>
  <c r="G15" i="13"/>
  <c r="F15" i="13"/>
  <c r="G14" i="13"/>
  <c r="F14" i="13"/>
  <c r="H14" i="13"/>
  <c r="G13" i="13"/>
  <c r="F13" i="13"/>
  <c r="H13" i="13"/>
  <c r="G12" i="13"/>
  <c r="F12" i="13"/>
  <c r="H12" i="13"/>
  <c r="H11" i="13"/>
  <c r="G11" i="13"/>
  <c r="F11" i="13"/>
  <c r="G10" i="13"/>
  <c r="F10" i="13"/>
  <c r="H10" i="13"/>
  <c r="G9" i="13"/>
  <c r="F9" i="13"/>
  <c r="H9" i="13"/>
  <c r="S8" i="13"/>
  <c r="G8" i="13"/>
  <c r="F8" i="13"/>
  <c r="H8" i="13"/>
  <c r="S7" i="13"/>
  <c r="G7" i="13"/>
  <c r="F7" i="13"/>
  <c r="H7" i="13"/>
  <c r="S6" i="13"/>
  <c r="H6" i="13"/>
  <c r="S5" i="13"/>
  <c r="H5" i="13"/>
  <c r="S4" i="13"/>
  <c r="J4" i="13"/>
  <c r="I5" i="13"/>
  <c r="J5" i="13"/>
  <c r="K5" i="13"/>
  <c r="H4" i="13"/>
  <c r="K4" i="13"/>
  <c r="L4" i="13"/>
  <c r="M4" i="13"/>
  <c r="N4" i="13"/>
  <c r="W3" i="13"/>
  <c r="S3" i="13"/>
  <c r="R3" i="13"/>
  <c r="H3" i="13"/>
  <c r="M3" i="13"/>
  <c r="N3" i="13"/>
  <c r="G3" i="13"/>
  <c r="A18" i="13"/>
  <c r="B24" i="13"/>
  <c r="A20" i="13"/>
  <c r="A19" i="13"/>
  <c r="C13" i="13"/>
  <c r="B13" i="13"/>
  <c r="C12" i="13"/>
  <c r="B12" i="13"/>
  <c r="B11" i="13"/>
  <c r="F47" i="13"/>
  <c r="H47" i="13"/>
  <c r="C10" i="13"/>
  <c r="C11" i="13"/>
  <c r="Q77" i="13"/>
  <c r="B10" i="13"/>
  <c r="N3" i="12"/>
  <c r="B11" i="18"/>
  <c r="C11" i="18"/>
  <c r="J5" i="19"/>
  <c r="K5" i="19"/>
  <c r="Q166" i="19"/>
  <c r="Q164" i="19"/>
  <c r="Q162" i="19"/>
  <c r="Q160" i="19"/>
  <c r="Q158" i="19"/>
  <c r="Q156" i="19"/>
  <c r="Q154" i="19"/>
  <c r="Q152" i="19"/>
  <c r="Q150" i="19"/>
  <c r="Q168" i="19"/>
  <c r="Q167" i="19"/>
  <c r="Q165" i="19"/>
  <c r="Q163" i="19"/>
  <c r="Q161" i="19"/>
  <c r="Q159" i="19"/>
  <c r="Q157" i="19"/>
  <c r="Q155" i="19"/>
  <c r="Q153" i="19"/>
  <c r="Q151" i="19"/>
  <c r="Q148" i="19"/>
  <c r="Q146" i="19"/>
  <c r="Q144" i="19"/>
  <c r="Q142" i="19"/>
  <c r="Q140" i="19"/>
  <c r="Q138" i="19"/>
  <c r="Q137" i="19"/>
  <c r="Q136" i="19"/>
  <c r="Q133" i="19"/>
  <c r="Q131" i="19"/>
  <c r="Q149" i="19"/>
  <c r="Q147" i="19"/>
  <c r="Q145" i="19"/>
  <c r="Q143" i="19"/>
  <c r="Q141" i="19"/>
  <c r="Q139" i="19"/>
  <c r="Q135" i="19"/>
  <c r="Q128" i="19"/>
  <c r="Q126" i="19"/>
  <c r="Q124" i="19"/>
  <c r="Q122" i="19"/>
  <c r="Q120" i="19"/>
  <c r="Q134" i="19"/>
  <c r="Q130" i="19"/>
  <c r="Q129" i="19"/>
  <c r="Q127" i="19"/>
  <c r="Q125" i="19"/>
  <c r="Q123" i="19"/>
  <c r="Q121" i="19"/>
  <c r="Q119" i="19"/>
  <c r="Q132" i="19"/>
  <c r="Q113" i="19"/>
  <c r="Q111" i="19"/>
  <c r="Q109" i="19"/>
  <c r="Q107" i="19"/>
  <c r="Q100" i="19"/>
  <c r="Q98" i="19"/>
  <c r="Q96" i="19"/>
  <c r="Q94" i="19"/>
  <c r="Q92" i="19"/>
  <c r="Q90" i="19"/>
  <c r="Q88" i="19"/>
  <c r="Q86" i="19"/>
  <c r="Q84" i="19"/>
  <c r="Q82" i="19"/>
  <c r="Q80" i="19"/>
  <c r="Q78" i="19"/>
  <c r="Q76" i="19"/>
  <c r="Q74" i="19"/>
  <c r="Q72" i="19"/>
  <c r="Q110" i="19"/>
  <c r="Q106" i="19"/>
  <c r="Q102" i="19"/>
  <c r="Q105" i="19"/>
  <c r="Q104" i="19"/>
  <c r="Q103" i="19"/>
  <c r="Q101" i="19"/>
  <c r="Q99" i="19"/>
  <c r="Q97" i="19"/>
  <c r="Q95" i="19"/>
  <c r="Q93" i="19"/>
  <c r="Q91" i="19"/>
  <c r="Q89" i="19"/>
  <c r="Q87" i="19"/>
  <c r="Q85" i="19"/>
  <c r="Q83" i="19"/>
  <c r="Q81" i="19"/>
  <c r="Q79" i="19"/>
  <c r="Q77" i="19"/>
  <c r="Q75" i="19"/>
  <c r="Q73" i="19"/>
  <c r="Q112" i="19"/>
  <c r="Q108" i="19"/>
  <c r="Q67" i="19"/>
  <c r="Q65" i="19"/>
  <c r="Q36" i="19"/>
  <c r="Q69" i="19"/>
  <c r="Q57" i="19"/>
  <c r="Q55" i="19"/>
  <c r="Q53" i="19"/>
  <c r="Q51" i="19"/>
  <c r="Q49" i="19"/>
  <c r="Q47" i="19"/>
  <c r="Q45" i="19"/>
  <c r="Q43" i="19"/>
  <c r="Q41" i="19"/>
  <c r="Q39" i="19"/>
  <c r="Q38" i="19"/>
  <c r="Q37" i="19"/>
  <c r="Q35" i="19"/>
  <c r="Q33" i="19"/>
  <c r="Q71" i="19"/>
  <c r="Q70" i="19"/>
  <c r="Q68" i="19"/>
  <c r="Q66" i="19"/>
  <c r="Q64" i="19"/>
  <c r="Q58" i="19"/>
  <c r="Q56" i="19"/>
  <c r="Q54" i="19"/>
  <c r="Q52" i="19"/>
  <c r="Q50" i="19"/>
  <c r="Q48" i="19"/>
  <c r="Q46" i="19"/>
  <c r="Q44" i="19"/>
  <c r="Q42" i="19"/>
  <c r="Q40" i="19"/>
  <c r="Q34" i="19"/>
  <c r="Q32" i="19"/>
  <c r="Q17" i="19"/>
  <c r="Q15" i="19"/>
  <c r="Q31" i="19"/>
  <c r="Q29" i="19"/>
  <c r="Q27" i="19"/>
  <c r="Q26" i="19"/>
  <c r="Q25" i="19"/>
  <c r="Q24" i="19"/>
  <c r="Q23" i="19"/>
  <c r="Q21" i="19"/>
  <c r="Q18" i="19"/>
  <c r="Q19" i="19"/>
  <c r="Q16" i="19"/>
  <c r="Q14" i="19"/>
  <c r="Q13" i="19"/>
  <c r="Q12" i="19"/>
  <c r="Q11" i="19"/>
  <c r="Q10" i="19"/>
  <c r="Q9" i="19"/>
  <c r="Q30" i="19"/>
  <c r="Q28" i="19"/>
  <c r="Q22" i="19"/>
  <c r="Q20" i="19"/>
  <c r="N3" i="19"/>
  <c r="U4" i="19"/>
  <c r="V4" i="19"/>
  <c r="W4" i="19"/>
  <c r="T5" i="19"/>
  <c r="M4" i="19"/>
  <c r="N4" i="19"/>
  <c r="L5" i="19"/>
  <c r="F168" i="19"/>
  <c r="F166" i="19"/>
  <c r="F164" i="19"/>
  <c r="F162" i="19"/>
  <c r="F160" i="19"/>
  <c r="F158" i="19"/>
  <c r="F156" i="19"/>
  <c r="F154" i="19"/>
  <c r="F152" i="19"/>
  <c r="F167" i="19"/>
  <c r="F165" i="19"/>
  <c r="F163" i="19"/>
  <c r="F161" i="19"/>
  <c r="F159" i="19"/>
  <c r="F157" i="19"/>
  <c r="F155" i="19"/>
  <c r="F153" i="19"/>
  <c r="F151" i="19"/>
  <c r="F149" i="19"/>
  <c r="F147" i="19"/>
  <c r="F145" i="19"/>
  <c r="F143" i="19"/>
  <c r="F141" i="19"/>
  <c r="F139" i="19"/>
  <c r="F150" i="19"/>
  <c r="F148" i="19"/>
  <c r="F146" i="19"/>
  <c r="F144" i="19"/>
  <c r="F142" i="19"/>
  <c r="F140" i="19"/>
  <c r="F135" i="19"/>
  <c r="F133" i="19"/>
  <c r="F131" i="19"/>
  <c r="F132" i="19"/>
  <c r="F130" i="19"/>
  <c r="F128" i="19"/>
  <c r="F126" i="19"/>
  <c r="F124" i="19"/>
  <c r="F122" i="19"/>
  <c r="F120" i="19"/>
  <c r="F134" i="19"/>
  <c r="F112" i="19"/>
  <c r="F110" i="19"/>
  <c r="F108" i="19"/>
  <c r="F129" i="19"/>
  <c r="F127" i="19"/>
  <c r="F125" i="19"/>
  <c r="F123" i="19"/>
  <c r="F121" i="19"/>
  <c r="F119" i="19"/>
  <c r="F118" i="19"/>
  <c r="F117" i="19"/>
  <c r="F116" i="19"/>
  <c r="F115" i="19"/>
  <c r="F114" i="19"/>
  <c r="F111" i="19"/>
  <c r="F107" i="19"/>
  <c r="F106" i="19"/>
  <c r="F102" i="19"/>
  <c r="F100" i="19"/>
  <c r="F98" i="19"/>
  <c r="F96" i="19"/>
  <c r="F94" i="19"/>
  <c r="F92" i="19"/>
  <c r="F90" i="19"/>
  <c r="F88" i="19"/>
  <c r="F86" i="19"/>
  <c r="F84" i="19"/>
  <c r="F82" i="19"/>
  <c r="F80" i="19"/>
  <c r="F78" i="19"/>
  <c r="F76" i="19"/>
  <c r="F74" i="19"/>
  <c r="F113" i="19"/>
  <c r="F109" i="19"/>
  <c r="F101" i="19"/>
  <c r="F99" i="19"/>
  <c r="F97" i="19"/>
  <c r="F95" i="19"/>
  <c r="F93" i="19"/>
  <c r="F91" i="19"/>
  <c r="F89" i="19"/>
  <c r="F87" i="19"/>
  <c r="F85" i="19"/>
  <c r="F83" i="19"/>
  <c r="F81" i="19"/>
  <c r="F79" i="19"/>
  <c r="F77" i="19"/>
  <c r="F75" i="19"/>
  <c r="F73" i="19"/>
  <c r="F58" i="19"/>
  <c r="F56" i="19"/>
  <c r="F54" i="19"/>
  <c r="F52" i="19"/>
  <c r="F50" i="19"/>
  <c r="F48" i="19"/>
  <c r="F46" i="19"/>
  <c r="F44" i="19"/>
  <c r="F42" i="19"/>
  <c r="F40" i="19"/>
  <c r="F36" i="19"/>
  <c r="F34" i="19"/>
  <c r="F69" i="19"/>
  <c r="F67" i="19"/>
  <c r="F65" i="19"/>
  <c r="F57" i="19"/>
  <c r="F55" i="19"/>
  <c r="F53" i="19"/>
  <c r="F51" i="19"/>
  <c r="F49" i="19"/>
  <c r="F47" i="19"/>
  <c r="F45" i="19"/>
  <c r="F43" i="19"/>
  <c r="F41" i="19"/>
  <c r="F35" i="19"/>
  <c r="F33" i="19"/>
  <c r="F68" i="19"/>
  <c r="F66" i="19"/>
  <c r="F64" i="19"/>
  <c r="F63" i="19"/>
  <c r="F62" i="19"/>
  <c r="F61" i="19"/>
  <c r="F60" i="19"/>
  <c r="F59" i="19"/>
  <c r="F32" i="19"/>
  <c r="H32" i="19"/>
  <c r="F30" i="19"/>
  <c r="H30" i="19"/>
  <c r="F28" i="19"/>
  <c r="F22" i="19"/>
  <c r="F20" i="19"/>
  <c r="H20" i="19"/>
  <c r="F17" i="19"/>
  <c r="H17" i="19"/>
  <c r="F15" i="19"/>
  <c r="H15" i="19"/>
  <c r="F31" i="19"/>
  <c r="F29" i="19"/>
  <c r="F27" i="19"/>
  <c r="F26" i="19"/>
  <c r="F25" i="19"/>
  <c r="F24" i="19"/>
  <c r="F23" i="19"/>
  <c r="F21" i="19"/>
  <c r="F18" i="19"/>
  <c r="F19" i="19"/>
  <c r="H19" i="19"/>
  <c r="F16" i="19"/>
  <c r="F14" i="19"/>
  <c r="F13" i="19"/>
  <c r="F12" i="19"/>
  <c r="H12" i="19"/>
  <c r="F11" i="19"/>
  <c r="H11" i="19"/>
  <c r="F10" i="19"/>
  <c r="H10" i="19"/>
  <c r="F9" i="19"/>
  <c r="H9" i="19"/>
  <c r="F8" i="19"/>
  <c r="H8" i="19"/>
  <c r="F7" i="19"/>
  <c r="H7" i="19"/>
  <c r="G22" i="19"/>
  <c r="G28" i="19"/>
  <c r="G30" i="19"/>
  <c r="G32" i="19"/>
  <c r="J38" i="19"/>
  <c r="I39" i="19"/>
  <c r="M70" i="19"/>
  <c r="N70" i="19"/>
  <c r="X3" i="19"/>
  <c r="G13" i="19"/>
  <c r="G14" i="19"/>
  <c r="G16" i="19"/>
  <c r="K38" i="19"/>
  <c r="J71" i="19"/>
  <c r="I72" i="19"/>
  <c r="G168" i="19"/>
  <c r="G166" i="19"/>
  <c r="G164" i="19"/>
  <c r="G162" i="19"/>
  <c r="G160" i="19"/>
  <c r="G158" i="19"/>
  <c r="G156" i="19"/>
  <c r="G154" i="19"/>
  <c r="G152" i="19"/>
  <c r="G167" i="19"/>
  <c r="G165" i="19"/>
  <c r="G163" i="19"/>
  <c r="G161" i="19"/>
  <c r="G159" i="19"/>
  <c r="G157" i="19"/>
  <c r="G155" i="19"/>
  <c r="G153" i="19"/>
  <c r="G151" i="19"/>
  <c r="G150" i="19"/>
  <c r="G148" i="19"/>
  <c r="G146" i="19"/>
  <c r="G144" i="19"/>
  <c r="G142" i="19"/>
  <c r="G140" i="19"/>
  <c r="G135" i="19"/>
  <c r="G133" i="19"/>
  <c r="G131" i="19"/>
  <c r="G149" i="19"/>
  <c r="G147" i="19"/>
  <c r="G145" i="19"/>
  <c r="G143" i="19"/>
  <c r="G141" i="19"/>
  <c r="G139" i="19"/>
  <c r="G130" i="19"/>
  <c r="G128" i="19"/>
  <c r="G126" i="19"/>
  <c r="G124" i="19"/>
  <c r="G122" i="19"/>
  <c r="G120" i="19"/>
  <c r="G134" i="19"/>
  <c r="G129" i="19"/>
  <c r="G127" i="19"/>
  <c r="G125" i="19"/>
  <c r="G123" i="19"/>
  <c r="G121" i="19"/>
  <c r="G119" i="19"/>
  <c r="G118" i="19"/>
  <c r="G117" i="19"/>
  <c r="G116" i="19"/>
  <c r="G115" i="19"/>
  <c r="G114" i="19"/>
  <c r="G132" i="19"/>
  <c r="G113" i="19"/>
  <c r="G111" i="19"/>
  <c r="G109" i="19"/>
  <c r="G107" i="19"/>
  <c r="G106" i="19"/>
  <c r="G102" i="19"/>
  <c r="G100" i="19"/>
  <c r="G98" i="19"/>
  <c r="G96" i="19"/>
  <c r="G94" i="19"/>
  <c r="G92" i="19"/>
  <c r="G90" i="19"/>
  <c r="G88" i="19"/>
  <c r="G86" i="19"/>
  <c r="G84" i="19"/>
  <c r="G82" i="19"/>
  <c r="G80" i="19"/>
  <c r="G78" i="19"/>
  <c r="G76" i="19"/>
  <c r="G74" i="19"/>
  <c r="G110" i="19"/>
  <c r="G101" i="19"/>
  <c r="G99" i="19"/>
  <c r="G97" i="19"/>
  <c r="G95" i="19"/>
  <c r="G93" i="19"/>
  <c r="G91" i="19"/>
  <c r="G89" i="19"/>
  <c r="G87" i="19"/>
  <c r="G85" i="19"/>
  <c r="G83" i="19"/>
  <c r="G81" i="19"/>
  <c r="G79" i="19"/>
  <c r="G77" i="19"/>
  <c r="G75" i="19"/>
  <c r="G73" i="19"/>
  <c r="G112" i="19"/>
  <c r="G108" i="19"/>
  <c r="G69" i="19"/>
  <c r="G67" i="19"/>
  <c r="G65" i="19"/>
  <c r="G57" i="19"/>
  <c r="G55" i="19"/>
  <c r="G53" i="19"/>
  <c r="G51" i="19"/>
  <c r="G49" i="19"/>
  <c r="G47" i="19"/>
  <c r="G45" i="19"/>
  <c r="G43" i="19"/>
  <c r="G41" i="19"/>
  <c r="G35" i="19"/>
  <c r="G33" i="19"/>
  <c r="G68" i="19"/>
  <c r="G66" i="19"/>
  <c r="G64" i="19"/>
  <c r="G63" i="19"/>
  <c r="G62" i="19"/>
  <c r="G61" i="19"/>
  <c r="G60" i="19"/>
  <c r="G59" i="19"/>
  <c r="G58" i="19"/>
  <c r="G56" i="19"/>
  <c r="G54" i="19"/>
  <c r="G52" i="19"/>
  <c r="G50" i="19"/>
  <c r="G48" i="19"/>
  <c r="G46" i="19"/>
  <c r="G44" i="19"/>
  <c r="G42" i="19"/>
  <c r="G40" i="19"/>
  <c r="G36" i="19"/>
  <c r="G34" i="19"/>
  <c r="G18" i="19"/>
  <c r="G21" i="19"/>
  <c r="G23" i="19"/>
  <c r="G24" i="19"/>
  <c r="G25" i="19"/>
  <c r="G26" i="19"/>
  <c r="G27" i="19"/>
  <c r="G29" i="19"/>
  <c r="G31" i="19"/>
  <c r="K71" i="19"/>
  <c r="L71" i="19"/>
  <c r="T114" i="19"/>
  <c r="T59" i="19"/>
  <c r="C14" i="19"/>
  <c r="L38" i="19"/>
  <c r="M37" i="19"/>
  <c r="N37" i="19"/>
  <c r="I105" i="19"/>
  <c r="M103" i="19"/>
  <c r="N103" i="19"/>
  <c r="L104" i="19"/>
  <c r="J104" i="19"/>
  <c r="K104" i="19"/>
  <c r="L137" i="19"/>
  <c r="M136" i="19"/>
  <c r="N136" i="19"/>
  <c r="K137" i="19"/>
  <c r="I138" i="19"/>
  <c r="I4" i="18"/>
  <c r="J4" i="18"/>
  <c r="I5" i="18"/>
  <c r="Q166" i="18"/>
  <c r="Q164" i="18"/>
  <c r="Q162" i="18"/>
  <c r="Q160" i="18"/>
  <c r="Q158" i="18"/>
  <c r="Q156" i="18"/>
  <c r="Q154" i="18"/>
  <c r="Q152" i="18"/>
  <c r="Q150" i="18"/>
  <c r="Q168" i="18"/>
  <c r="Q167" i="18"/>
  <c r="Q165" i="18"/>
  <c r="Q163" i="18"/>
  <c r="Q161" i="18"/>
  <c r="Q159" i="18"/>
  <c r="Q157" i="18"/>
  <c r="Q155" i="18"/>
  <c r="Q153" i="18"/>
  <c r="Q151" i="18"/>
  <c r="Q149" i="18"/>
  <c r="Q147" i="18"/>
  <c r="Q145" i="18"/>
  <c r="Q143" i="18"/>
  <c r="Q141" i="18"/>
  <c r="Q139" i="18"/>
  <c r="Q135" i="18"/>
  <c r="Q148" i="18"/>
  <c r="Q146" i="18"/>
  <c r="Q144" i="18"/>
  <c r="Q142" i="18"/>
  <c r="Q140" i="18"/>
  <c r="Q138" i="18"/>
  <c r="Q113" i="18"/>
  <c r="Q111" i="18"/>
  <c r="Q109" i="18"/>
  <c r="Q107" i="18"/>
  <c r="Q105" i="18"/>
  <c r="Q104" i="18"/>
  <c r="Q103" i="18"/>
  <c r="Q101" i="18"/>
  <c r="Q137" i="18"/>
  <c r="Q132" i="18"/>
  <c r="Q130" i="18"/>
  <c r="Q128" i="18"/>
  <c r="Q126" i="18"/>
  <c r="Q124" i="18"/>
  <c r="Q122" i="18"/>
  <c r="Q120" i="18"/>
  <c r="Q134" i="18"/>
  <c r="Q136" i="18"/>
  <c r="Q129" i="18"/>
  <c r="Q110" i="18"/>
  <c r="Q106" i="18"/>
  <c r="Q127" i="18"/>
  <c r="Q123" i="18"/>
  <c r="Q119" i="18"/>
  <c r="Q133" i="18"/>
  <c r="Q125" i="18"/>
  <c r="Q112" i="18"/>
  <c r="Q108" i="18"/>
  <c r="Q102" i="18"/>
  <c r="Q99" i="18"/>
  <c r="Q97" i="18"/>
  <c r="Q131" i="18"/>
  <c r="Q121" i="18"/>
  <c r="Q100" i="18"/>
  <c r="Q96" i="18"/>
  <c r="Q94" i="18"/>
  <c r="Q92" i="18"/>
  <c r="Q90" i="18"/>
  <c r="Q88" i="18"/>
  <c r="Q86" i="18"/>
  <c r="Q84" i="18"/>
  <c r="Q82" i="18"/>
  <c r="Q98" i="18"/>
  <c r="Q95" i="18"/>
  <c r="Q87" i="18"/>
  <c r="Q79" i="18"/>
  <c r="Q77" i="18"/>
  <c r="Q75" i="18"/>
  <c r="Q73" i="18"/>
  <c r="Q67" i="18"/>
  <c r="Q65" i="18"/>
  <c r="Q93" i="18"/>
  <c r="Q85" i="18"/>
  <c r="Q69" i="18"/>
  <c r="Q57" i="18"/>
  <c r="Q55" i="18"/>
  <c r="Q53" i="18"/>
  <c r="Q51" i="18"/>
  <c r="Q49" i="18"/>
  <c r="Q47" i="18"/>
  <c r="Q45" i="18"/>
  <c r="Q91" i="18"/>
  <c r="Q83" i="18"/>
  <c r="Q80" i="18"/>
  <c r="Q78" i="18"/>
  <c r="Q76" i="18"/>
  <c r="Q74" i="18"/>
  <c r="Q72" i="18"/>
  <c r="Q71" i="18"/>
  <c r="Q70" i="18"/>
  <c r="Q68" i="18"/>
  <c r="Q66" i="18"/>
  <c r="Q64" i="18"/>
  <c r="Q56" i="18"/>
  <c r="Q48" i="18"/>
  <c r="Q43" i="18"/>
  <c r="Q41" i="18"/>
  <c r="Q39" i="18"/>
  <c r="Q37" i="18"/>
  <c r="Q35" i="18"/>
  <c r="Q34" i="18"/>
  <c r="Q33" i="18"/>
  <c r="Q32" i="18"/>
  <c r="Q30" i="18"/>
  <c r="Q28" i="18"/>
  <c r="Q22" i="18"/>
  <c r="Q20" i="18"/>
  <c r="Q89" i="18"/>
  <c r="Q54" i="18"/>
  <c r="Q36" i="18"/>
  <c r="Q81" i="18"/>
  <c r="Q52" i="18"/>
  <c r="Q44" i="18"/>
  <c r="Q42" i="18"/>
  <c r="Q40" i="18"/>
  <c r="Q38" i="18"/>
  <c r="Q31" i="18"/>
  <c r="Q29" i="18"/>
  <c r="Q27" i="18"/>
  <c r="Q26" i="18"/>
  <c r="Q25" i="18"/>
  <c r="Q24" i="18"/>
  <c r="Q23" i="18"/>
  <c r="Q16" i="18"/>
  <c r="Q14" i="18"/>
  <c r="Q46" i="18"/>
  <c r="Q58" i="18"/>
  <c r="Q19" i="18"/>
  <c r="Q17" i="18"/>
  <c r="Q15" i="18"/>
  <c r="Q13" i="18"/>
  <c r="Q12" i="18"/>
  <c r="Q11" i="18"/>
  <c r="Q10" i="18"/>
  <c r="Q9" i="18"/>
  <c r="Q50" i="18"/>
  <c r="Q21" i="18"/>
  <c r="Q18" i="18"/>
  <c r="U4" i="18"/>
  <c r="V4" i="18"/>
  <c r="W4" i="18"/>
  <c r="N3" i="18"/>
  <c r="F168" i="18"/>
  <c r="F166" i="18"/>
  <c r="F164" i="18"/>
  <c r="H164" i="18"/>
  <c r="F162" i="18"/>
  <c r="F160" i="18"/>
  <c r="F158" i="18"/>
  <c r="F156" i="18"/>
  <c r="H156" i="18"/>
  <c r="F154" i="18"/>
  <c r="F152" i="18"/>
  <c r="F167" i="18"/>
  <c r="F159" i="18"/>
  <c r="F135" i="18"/>
  <c r="F165" i="18"/>
  <c r="F157" i="18"/>
  <c r="F151" i="18"/>
  <c r="F149" i="18"/>
  <c r="F147" i="18"/>
  <c r="F145" i="18"/>
  <c r="F143" i="18"/>
  <c r="F141" i="18"/>
  <c r="F139" i="18"/>
  <c r="F163" i="18"/>
  <c r="F155" i="18"/>
  <c r="H155" i="18"/>
  <c r="F161" i="18"/>
  <c r="F146" i="18"/>
  <c r="F133" i="18"/>
  <c r="F131" i="18"/>
  <c r="H131" i="18"/>
  <c r="F129" i="18"/>
  <c r="F127" i="18"/>
  <c r="F125" i="18"/>
  <c r="F123" i="18"/>
  <c r="F121" i="18"/>
  <c r="F119" i="18"/>
  <c r="F118" i="18"/>
  <c r="F117" i="18"/>
  <c r="H117" i="18"/>
  <c r="F116" i="18"/>
  <c r="F115" i="18"/>
  <c r="F114" i="18"/>
  <c r="F153" i="18"/>
  <c r="F144" i="18"/>
  <c r="F113" i="18"/>
  <c r="F111" i="18"/>
  <c r="F109" i="18"/>
  <c r="F107" i="18"/>
  <c r="F150" i="18"/>
  <c r="F142" i="18"/>
  <c r="F134" i="18"/>
  <c r="H134" i="18"/>
  <c r="F132" i="18"/>
  <c r="F130" i="18"/>
  <c r="F128" i="18"/>
  <c r="F126" i="18"/>
  <c r="H126" i="18"/>
  <c r="F148" i="18"/>
  <c r="F140" i="18"/>
  <c r="F124" i="18"/>
  <c r="F120" i="18"/>
  <c r="F110" i="18"/>
  <c r="F106" i="18"/>
  <c r="F122" i="18"/>
  <c r="F102" i="18"/>
  <c r="F112" i="18"/>
  <c r="F108" i="18"/>
  <c r="F101" i="18"/>
  <c r="F99" i="18"/>
  <c r="H99" i="18"/>
  <c r="F97" i="18"/>
  <c r="F100" i="18"/>
  <c r="F96" i="18"/>
  <c r="F94" i="18"/>
  <c r="F92" i="18"/>
  <c r="F90" i="18"/>
  <c r="F88" i="18"/>
  <c r="F86" i="18"/>
  <c r="F84" i="18"/>
  <c r="F82" i="18"/>
  <c r="F98" i="18"/>
  <c r="F95" i="18"/>
  <c r="H95" i="18"/>
  <c r="F93" i="18"/>
  <c r="F91" i="18"/>
  <c r="F89" i="18"/>
  <c r="F87" i="18"/>
  <c r="F85" i="18"/>
  <c r="F83" i="18"/>
  <c r="F81" i="18"/>
  <c r="F58" i="18"/>
  <c r="H58" i="18"/>
  <c r="F56" i="18"/>
  <c r="F54" i="18"/>
  <c r="F52" i="18"/>
  <c r="F50" i="18"/>
  <c r="F48" i="18"/>
  <c r="F79" i="18"/>
  <c r="F77" i="18"/>
  <c r="F75" i="18"/>
  <c r="H75" i="18"/>
  <c r="F73" i="18"/>
  <c r="F69" i="18"/>
  <c r="F67" i="18"/>
  <c r="F65" i="18"/>
  <c r="H65" i="18"/>
  <c r="F57" i="18"/>
  <c r="F55" i="18"/>
  <c r="F53" i="18"/>
  <c r="F51" i="18"/>
  <c r="H51" i="18"/>
  <c r="F49" i="18"/>
  <c r="F47" i="18"/>
  <c r="F78" i="18"/>
  <c r="F64" i="18"/>
  <c r="F60" i="18"/>
  <c r="F46" i="18"/>
  <c r="H46" i="18"/>
  <c r="F19" i="18"/>
  <c r="F76" i="18"/>
  <c r="F63" i="18"/>
  <c r="F59" i="18"/>
  <c r="F45" i="18"/>
  <c r="F43" i="18"/>
  <c r="H43" i="18"/>
  <c r="F41" i="18"/>
  <c r="F36" i="18"/>
  <c r="F35" i="18"/>
  <c r="F34" i="18"/>
  <c r="H34" i="18"/>
  <c r="F33" i="18"/>
  <c r="F32" i="18"/>
  <c r="F30" i="18"/>
  <c r="F28" i="18"/>
  <c r="H28" i="18"/>
  <c r="F22" i="18"/>
  <c r="F20" i="18"/>
  <c r="F74" i="18"/>
  <c r="F68" i="18"/>
  <c r="H68" i="18"/>
  <c r="F62" i="18"/>
  <c r="F31" i="18"/>
  <c r="F25" i="18"/>
  <c r="F21" i="18"/>
  <c r="H21" i="18"/>
  <c r="F18" i="18"/>
  <c r="F8" i="18"/>
  <c r="H8" i="18"/>
  <c r="F7" i="18"/>
  <c r="H7" i="18"/>
  <c r="F66" i="18"/>
  <c r="H66" i="18"/>
  <c r="F61" i="18"/>
  <c r="F44" i="18"/>
  <c r="F29" i="18"/>
  <c r="F24" i="18"/>
  <c r="F16" i="18"/>
  <c r="F14" i="18"/>
  <c r="F80" i="18"/>
  <c r="F42" i="18"/>
  <c r="F27" i="18"/>
  <c r="F40" i="18"/>
  <c r="F26" i="18"/>
  <c r="F23" i="18"/>
  <c r="F17" i="18"/>
  <c r="F15" i="18"/>
  <c r="F13" i="18"/>
  <c r="F12" i="18"/>
  <c r="F11" i="18"/>
  <c r="H11" i="18"/>
  <c r="F10" i="18"/>
  <c r="H10" i="18"/>
  <c r="F9" i="18"/>
  <c r="H9" i="18"/>
  <c r="J5" i="18"/>
  <c r="K5" i="18"/>
  <c r="X3" i="18"/>
  <c r="G18" i="18"/>
  <c r="G21" i="18"/>
  <c r="G54" i="18"/>
  <c r="G12" i="18"/>
  <c r="G13" i="18"/>
  <c r="G15" i="18"/>
  <c r="G17" i="18"/>
  <c r="G19" i="18"/>
  <c r="G168" i="18"/>
  <c r="G166" i="18"/>
  <c r="G164" i="18"/>
  <c r="G162" i="18"/>
  <c r="G160" i="18"/>
  <c r="G158" i="18"/>
  <c r="G156" i="18"/>
  <c r="G154" i="18"/>
  <c r="G152" i="18"/>
  <c r="G167" i="18"/>
  <c r="G165" i="18"/>
  <c r="G163" i="18"/>
  <c r="G161" i="18"/>
  <c r="G159" i="18"/>
  <c r="G157" i="18"/>
  <c r="G155" i="18"/>
  <c r="G153" i="18"/>
  <c r="G151" i="18"/>
  <c r="G149" i="18"/>
  <c r="G147" i="18"/>
  <c r="G145" i="18"/>
  <c r="G143" i="18"/>
  <c r="G141" i="18"/>
  <c r="G139" i="18"/>
  <c r="G150" i="18"/>
  <c r="G148" i="18"/>
  <c r="G146" i="18"/>
  <c r="G144" i="18"/>
  <c r="G142" i="18"/>
  <c r="G140" i="18"/>
  <c r="G113" i="18"/>
  <c r="G111" i="18"/>
  <c r="G109" i="18"/>
  <c r="G107" i="18"/>
  <c r="G134" i="18"/>
  <c r="G132" i="18"/>
  <c r="G130" i="18"/>
  <c r="G128" i="18"/>
  <c r="G126" i="18"/>
  <c r="G124" i="18"/>
  <c r="G122" i="18"/>
  <c r="G120" i="18"/>
  <c r="G135" i="18"/>
  <c r="G133" i="18"/>
  <c r="G125" i="18"/>
  <c r="G110" i="18"/>
  <c r="G106" i="18"/>
  <c r="G131" i="18"/>
  <c r="G123" i="18"/>
  <c r="G119" i="18"/>
  <c r="G118" i="18"/>
  <c r="G117" i="18"/>
  <c r="G116" i="18"/>
  <c r="G115" i="18"/>
  <c r="G114" i="18"/>
  <c r="G129" i="18"/>
  <c r="G112" i="18"/>
  <c r="G108" i="18"/>
  <c r="G101" i="18"/>
  <c r="G99" i="18"/>
  <c r="G97" i="18"/>
  <c r="G127" i="18"/>
  <c r="G121" i="18"/>
  <c r="G100" i="18"/>
  <c r="G96" i="18"/>
  <c r="G94" i="18"/>
  <c r="G92" i="18"/>
  <c r="G90" i="18"/>
  <c r="G88" i="18"/>
  <c r="G86" i="18"/>
  <c r="G84" i="18"/>
  <c r="G82" i="18"/>
  <c r="G102" i="18"/>
  <c r="G98" i="18"/>
  <c r="G91" i="18"/>
  <c r="G83" i="18"/>
  <c r="G79" i="18"/>
  <c r="G77" i="18"/>
  <c r="G75" i="18"/>
  <c r="G73" i="18"/>
  <c r="G69" i="18"/>
  <c r="G67" i="18"/>
  <c r="G65" i="18"/>
  <c r="G89" i="18"/>
  <c r="G57" i="18"/>
  <c r="G55" i="18"/>
  <c r="G53" i="18"/>
  <c r="G51" i="18"/>
  <c r="G49" i="18"/>
  <c r="G47" i="18"/>
  <c r="G45" i="18"/>
  <c r="G95" i="18"/>
  <c r="G87" i="18"/>
  <c r="G81" i="18"/>
  <c r="G80" i="18"/>
  <c r="G78" i="18"/>
  <c r="G76" i="18"/>
  <c r="G74" i="18"/>
  <c r="G68" i="18"/>
  <c r="G66" i="18"/>
  <c r="G64" i="18"/>
  <c r="G63" i="18"/>
  <c r="G62" i="18"/>
  <c r="G61" i="18"/>
  <c r="G60" i="18"/>
  <c r="G59" i="18"/>
  <c r="G52" i="18"/>
  <c r="G43" i="18"/>
  <c r="G41" i="18"/>
  <c r="G36" i="18"/>
  <c r="G35" i="18"/>
  <c r="G34" i="18"/>
  <c r="G33" i="18"/>
  <c r="G32" i="18"/>
  <c r="G30" i="18"/>
  <c r="G28" i="18"/>
  <c r="G22" i="18"/>
  <c r="G20" i="18"/>
  <c r="G93" i="18"/>
  <c r="G58" i="18"/>
  <c r="G50" i="18"/>
  <c r="G85" i="18"/>
  <c r="G56" i="18"/>
  <c r="G48" i="18"/>
  <c r="G44" i="18"/>
  <c r="G42" i="18"/>
  <c r="G40" i="18"/>
  <c r="G31" i="18"/>
  <c r="G29" i="18"/>
  <c r="G27" i="18"/>
  <c r="G26" i="18"/>
  <c r="G25" i="18"/>
  <c r="G24" i="18"/>
  <c r="G23" i="18"/>
  <c r="I39" i="18"/>
  <c r="T114" i="18"/>
  <c r="T59" i="18"/>
  <c r="G14" i="18"/>
  <c r="G16" i="18"/>
  <c r="L38" i="18"/>
  <c r="M37" i="18"/>
  <c r="N37" i="18"/>
  <c r="K70" i="18"/>
  <c r="L70" i="18"/>
  <c r="I72" i="18"/>
  <c r="K71" i="18"/>
  <c r="M103" i="18"/>
  <c r="N103" i="18"/>
  <c r="L104" i="18"/>
  <c r="M136" i="18"/>
  <c r="N136" i="18"/>
  <c r="L137" i="18"/>
  <c r="I105" i="18"/>
  <c r="I139" i="18"/>
  <c r="J104" i="17"/>
  <c r="I105" i="17"/>
  <c r="K37" i="17"/>
  <c r="L37" i="17"/>
  <c r="M37" i="17"/>
  <c r="N37" i="17"/>
  <c r="Q10" i="13"/>
  <c r="Q14" i="13"/>
  <c r="Q18" i="13"/>
  <c r="Q38" i="13"/>
  <c r="Q47" i="13"/>
  <c r="Q51" i="13"/>
  <c r="Q55" i="13"/>
  <c r="Q11" i="13"/>
  <c r="Q15" i="13"/>
  <c r="Q19" i="13"/>
  <c r="Q23" i="13"/>
  <c r="Q27" i="13"/>
  <c r="Q31" i="13"/>
  <c r="Q35" i="13"/>
  <c r="Q40" i="13"/>
  <c r="F42" i="13"/>
  <c r="H42" i="13"/>
  <c r="F43" i="13"/>
  <c r="H43" i="13"/>
  <c r="Q44" i="13"/>
  <c r="F46" i="13"/>
  <c r="Q48" i="13"/>
  <c r="Q69" i="13"/>
  <c r="Q24" i="13"/>
  <c r="Q167" i="13"/>
  <c r="Q166" i="13"/>
  <c r="Q163" i="13"/>
  <c r="Q162" i="13"/>
  <c r="Q159" i="13"/>
  <c r="Q158" i="13"/>
  <c r="Q153" i="13"/>
  <c r="Q152" i="13"/>
  <c r="Q143" i="13"/>
  <c r="Q139" i="13"/>
  <c r="Q133" i="13"/>
  <c r="Q129" i="13"/>
  <c r="Q125" i="13"/>
  <c r="Q121" i="13"/>
  <c r="Q112" i="13"/>
  <c r="Q111" i="13"/>
  <c r="Q108" i="13"/>
  <c r="Q107" i="13"/>
  <c r="Q103" i="13"/>
  <c r="Q151" i="13"/>
  <c r="Q150" i="13"/>
  <c r="Q145" i="13"/>
  <c r="Q142" i="13"/>
  <c r="Q138" i="13"/>
  <c r="Q132" i="13"/>
  <c r="Q128" i="13"/>
  <c r="Q124" i="13"/>
  <c r="Q120" i="13"/>
  <c r="Q104" i="13"/>
  <c r="Q102" i="13"/>
  <c r="Q99" i="13"/>
  <c r="Q98" i="13"/>
  <c r="Q95" i="13"/>
  <c r="Q94" i="13"/>
  <c r="Q91" i="13"/>
  <c r="Q90" i="13"/>
  <c r="Q87" i="13"/>
  <c r="Q86" i="13"/>
  <c r="Q83" i="13"/>
  <c r="Q82" i="13"/>
  <c r="Q79" i="13"/>
  <c r="Q78" i="13"/>
  <c r="Q73" i="13"/>
  <c r="Q72" i="13"/>
  <c r="Q66" i="13"/>
  <c r="Q65" i="13"/>
  <c r="Q58" i="13"/>
  <c r="Q54" i="13"/>
  <c r="Q50" i="13"/>
  <c r="Q168" i="13"/>
  <c r="Q165" i="13"/>
  <c r="Q164" i="13"/>
  <c r="Q161" i="13"/>
  <c r="Q160" i="13"/>
  <c r="Q157" i="13"/>
  <c r="Q156" i="13"/>
  <c r="Q149" i="13"/>
  <c r="Q148" i="13"/>
  <c r="Q141" i="13"/>
  <c r="Q137" i="13"/>
  <c r="Q136" i="13"/>
  <c r="Q135" i="13"/>
  <c r="Q134" i="13"/>
  <c r="Q131" i="13"/>
  <c r="Q127" i="13"/>
  <c r="Q123" i="13"/>
  <c r="Q119" i="13"/>
  <c r="Q113" i="13"/>
  <c r="Q110" i="13"/>
  <c r="Q109" i="13"/>
  <c r="Q106" i="13"/>
  <c r="Q105" i="13"/>
  <c r="Q155" i="13"/>
  <c r="Q154" i="13"/>
  <c r="Q147" i="13"/>
  <c r="Q146" i="13"/>
  <c r="Q144" i="13"/>
  <c r="Q140" i="13"/>
  <c r="Q130" i="13"/>
  <c r="Q126" i="13"/>
  <c r="Q122" i="13"/>
  <c r="Q101" i="13"/>
  <c r="Q100" i="13"/>
  <c r="Q97" i="13"/>
  <c r="Q96" i="13"/>
  <c r="Q93" i="13"/>
  <c r="Q92" i="13"/>
  <c r="Q89" i="13"/>
  <c r="Q88" i="13"/>
  <c r="Q85" i="13"/>
  <c r="Q84" i="13"/>
  <c r="Q81" i="13"/>
  <c r="Q80" i="13"/>
  <c r="Q70" i="13"/>
  <c r="Q68" i="13"/>
  <c r="Q67" i="13"/>
  <c r="Q64" i="13"/>
  <c r="Q56" i="13"/>
  <c r="Q52" i="13"/>
  <c r="Q12" i="13"/>
  <c r="Q16" i="13"/>
  <c r="Q20" i="13"/>
  <c r="Q28" i="13"/>
  <c r="Q32" i="13"/>
  <c r="Q36" i="13"/>
  <c r="Q41" i="13"/>
  <c r="Q45" i="13"/>
  <c r="Q49" i="13"/>
  <c r="Q53" i="13"/>
  <c r="Q57" i="13"/>
  <c r="Q71" i="13"/>
  <c r="Q74" i="13"/>
  <c r="Q75" i="13"/>
  <c r="Q76" i="13"/>
  <c r="F165" i="13"/>
  <c r="H165" i="13"/>
  <c r="F161" i="13"/>
  <c r="H161" i="13"/>
  <c r="F157" i="13"/>
  <c r="H157" i="13"/>
  <c r="F149" i="13"/>
  <c r="H149" i="13"/>
  <c r="F145" i="13"/>
  <c r="H145" i="13"/>
  <c r="F142" i="13"/>
  <c r="H142" i="13"/>
  <c r="F141" i="13"/>
  <c r="F135" i="13"/>
  <c r="H135" i="13"/>
  <c r="K135" i="13"/>
  <c r="F132" i="13"/>
  <c r="H132" i="13"/>
  <c r="F131" i="13"/>
  <c r="H131" i="13"/>
  <c r="F128" i="13"/>
  <c r="H128" i="13"/>
  <c r="F127" i="13"/>
  <c r="H127" i="13"/>
  <c r="F124" i="13"/>
  <c r="H124" i="13"/>
  <c r="F123" i="13"/>
  <c r="H123" i="13"/>
  <c r="F120" i="13"/>
  <c r="H120" i="13"/>
  <c r="F119" i="13"/>
  <c r="H119" i="13"/>
  <c r="F115" i="13"/>
  <c r="H115" i="13"/>
  <c r="F114" i="13"/>
  <c r="F110" i="13"/>
  <c r="H110" i="13"/>
  <c r="F106" i="13"/>
  <c r="H106" i="13"/>
  <c r="F102" i="13"/>
  <c r="H102" i="13"/>
  <c r="K102" i="13"/>
  <c r="F98" i="13"/>
  <c r="H98" i="13"/>
  <c r="F94" i="13"/>
  <c r="H94" i="13"/>
  <c r="F90" i="13"/>
  <c r="H90" i="13"/>
  <c r="F86" i="13"/>
  <c r="H86" i="13"/>
  <c r="F82" i="13"/>
  <c r="H82" i="13"/>
  <c r="F168" i="13"/>
  <c r="H168" i="13"/>
  <c r="K168" i="13"/>
  <c r="F164" i="13"/>
  <c r="H164" i="13"/>
  <c r="F160" i="13"/>
  <c r="H160" i="13"/>
  <c r="F156" i="13"/>
  <c r="H156" i="13"/>
  <c r="F155" i="13"/>
  <c r="H155" i="13"/>
  <c r="F148" i="13"/>
  <c r="H148" i="13"/>
  <c r="F147" i="13"/>
  <c r="H147" i="13"/>
  <c r="F134" i="13"/>
  <c r="H134" i="13"/>
  <c r="F116" i="13"/>
  <c r="F113" i="13"/>
  <c r="H113" i="13"/>
  <c r="F109" i="13"/>
  <c r="H109" i="13"/>
  <c r="F101" i="13"/>
  <c r="H101" i="13"/>
  <c r="F97" i="13"/>
  <c r="H97" i="13"/>
  <c r="F93" i="13"/>
  <c r="H93" i="13"/>
  <c r="F89" i="13"/>
  <c r="H89" i="13"/>
  <c r="F85" i="13"/>
  <c r="H85" i="13"/>
  <c r="F81" i="13"/>
  <c r="H81" i="13"/>
  <c r="F76" i="13"/>
  <c r="H76" i="13"/>
  <c r="F69" i="13"/>
  <c r="H69" i="13"/>
  <c r="K69" i="13"/>
  <c r="F68" i="13"/>
  <c r="F64" i="13"/>
  <c r="H64" i="13"/>
  <c r="F60" i="13"/>
  <c r="H60" i="13"/>
  <c r="F57" i="13"/>
  <c r="H57" i="13"/>
  <c r="F56" i="13"/>
  <c r="F53" i="13"/>
  <c r="H53" i="13"/>
  <c r="F52" i="13"/>
  <c r="F167" i="13"/>
  <c r="H167" i="13"/>
  <c r="F163" i="13"/>
  <c r="H163" i="13"/>
  <c r="F159" i="13"/>
  <c r="H159" i="13"/>
  <c r="F154" i="13"/>
  <c r="H154" i="13"/>
  <c r="F153" i="13"/>
  <c r="H153" i="13"/>
  <c r="F146" i="13"/>
  <c r="H146" i="13"/>
  <c r="F144" i="13"/>
  <c r="H144" i="13"/>
  <c r="F143" i="13"/>
  <c r="F140" i="13"/>
  <c r="H140" i="13"/>
  <c r="F139" i="13"/>
  <c r="F133" i="13"/>
  <c r="H133" i="13"/>
  <c r="F130" i="13"/>
  <c r="H130" i="13"/>
  <c r="F129" i="13"/>
  <c r="H129" i="13"/>
  <c r="F126" i="13"/>
  <c r="H126" i="13"/>
  <c r="F125" i="13"/>
  <c r="H125" i="13"/>
  <c r="F122" i="13"/>
  <c r="H122" i="13"/>
  <c r="F121" i="13"/>
  <c r="H121" i="13"/>
  <c r="F117" i="13"/>
  <c r="F112" i="13"/>
  <c r="H112" i="13"/>
  <c r="F108" i="13"/>
  <c r="H108" i="13"/>
  <c r="F100" i="13"/>
  <c r="H100" i="13"/>
  <c r="F96" i="13"/>
  <c r="H96" i="13"/>
  <c r="F92" i="13"/>
  <c r="H92" i="13"/>
  <c r="F88" i="13"/>
  <c r="H88" i="13"/>
  <c r="F84" i="13"/>
  <c r="H84" i="13"/>
  <c r="F80" i="13"/>
  <c r="H80" i="13"/>
  <c r="F166" i="13"/>
  <c r="H166" i="13"/>
  <c r="F162" i="13"/>
  <c r="H162" i="13"/>
  <c r="F158" i="13"/>
  <c r="H158" i="13"/>
  <c r="F152" i="13"/>
  <c r="H152" i="13"/>
  <c r="F151" i="13"/>
  <c r="H151" i="13"/>
  <c r="F150" i="13"/>
  <c r="H150" i="13"/>
  <c r="F118" i="13"/>
  <c r="F111" i="13"/>
  <c r="H111" i="13"/>
  <c r="F107" i="13"/>
  <c r="H107" i="13"/>
  <c r="F99" i="13"/>
  <c r="H99" i="13"/>
  <c r="F95" i="13"/>
  <c r="H95" i="13"/>
  <c r="F91" i="13"/>
  <c r="H91" i="13"/>
  <c r="F87" i="13"/>
  <c r="H87" i="13"/>
  <c r="F83" i="13"/>
  <c r="H83" i="13"/>
  <c r="F79" i="13"/>
  <c r="H79" i="13"/>
  <c r="F78" i="13"/>
  <c r="F73" i="13"/>
  <c r="H73" i="13"/>
  <c r="F66" i="13"/>
  <c r="H66" i="13"/>
  <c r="F62" i="13"/>
  <c r="H62" i="13"/>
  <c r="F59" i="13"/>
  <c r="H59" i="13"/>
  <c r="F58" i="13"/>
  <c r="F55" i="13"/>
  <c r="H55" i="13"/>
  <c r="F54" i="13"/>
  <c r="F51" i="13"/>
  <c r="H51" i="13"/>
  <c r="F50" i="13"/>
  <c r="Q9" i="13"/>
  <c r="Q13" i="13"/>
  <c r="Q17" i="13"/>
  <c r="Q21" i="13"/>
  <c r="Q25" i="13"/>
  <c r="Q29" i="13"/>
  <c r="Q33" i="13"/>
  <c r="Q37" i="13"/>
  <c r="F40" i="13"/>
  <c r="H40" i="13"/>
  <c r="F41" i="13"/>
  <c r="H41" i="13"/>
  <c r="Q42" i="13"/>
  <c r="F44" i="13"/>
  <c r="H44" i="13"/>
  <c r="F45" i="13"/>
  <c r="H45" i="13"/>
  <c r="Q46" i="13"/>
  <c r="F48" i="13"/>
  <c r="F49" i="13"/>
  <c r="H49" i="13"/>
  <c r="F63" i="13"/>
  <c r="H63" i="13"/>
  <c r="Q22" i="13"/>
  <c r="Q26" i="13"/>
  <c r="Q30" i="13"/>
  <c r="Q34" i="13"/>
  <c r="Q39" i="13"/>
  <c r="Q43" i="13"/>
  <c r="H78" i="13"/>
  <c r="N3" i="17"/>
  <c r="M4" i="17"/>
  <c r="N4" i="17"/>
  <c r="Q166" i="17"/>
  <c r="Q164" i="17"/>
  <c r="Q167" i="17"/>
  <c r="Q165" i="17"/>
  <c r="Q151" i="17"/>
  <c r="Q150" i="17"/>
  <c r="Q152" i="17"/>
  <c r="Q148" i="17"/>
  <c r="Q136" i="17"/>
  <c r="Q134" i="17"/>
  <c r="Q127" i="17"/>
  <c r="Q125" i="17"/>
  <c r="Q113" i="17"/>
  <c r="Q111" i="17"/>
  <c r="Q99" i="17"/>
  <c r="Q97" i="17"/>
  <c r="Q110" i="17"/>
  <c r="Q88" i="17"/>
  <c r="Q74" i="17"/>
  <c r="Q72" i="17"/>
  <c r="Q98" i="17"/>
  <c r="Q94" i="17"/>
  <c r="Q81" i="17"/>
  <c r="Q79" i="17"/>
  <c r="Q64" i="17"/>
  <c r="Q92" i="17"/>
  <c r="Q47" i="17"/>
  <c r="Q45" i="17"/>
  <c r="Q33" i="17"/>
  <c r="Q32" i="17"/>
  <c r="Q17" i="17"/>
  <c r="Q15" i="17"/>
  <c r="Q50" i="17"/>
  <c r="Q42" i="17"/>
  <c r="Q21" i="17"/>
  <c r="Q18" i="17"/>
  <c r="Q19" i="17"/>
  <c r="Q16" i="17"/>
  <c r="F168" i="17"/>
  <c r="F166" i="17"/>
  <c r="F164" i="17"/>
  <c r="F162" i="17"/>
  <c r="F160" i="17"/>
  <c r="F158" i="17"/>
  <c r="F156" i="17"/>
  <c r="F154" i="17"/>
  <c r="H154" i="17"/>
  <c r="F167" i="17"/>
  <c r="F159" i="17"/>
  <c r="F152" i="17"/>
  <c r="H152" i="17"/>
  <c r="F165" i="17"/>
  <c r="H165" i="17"/>
  <c r="F157" i="17"/>
  <c r="F151" i="17"/>
  <c r="F149" i="17"/>
  <c r="H149" i="17"/>
  <c r="F147" i="17"/>
  <c r="F145" i="17"/>
  <c r="F143" i="17"/>
  <c r="F141" i="17"/>
  <c r="H141" i="17"/>
  <c r="K141" i="17"/>
  <c r="F139" i="17"/>
  <c r="F163" i="17"/>
  <c r="F155" i="17"/>
  <c r="F134" i="17"/>
  <c r="F132" i="17"/>
  <c r="H132" i="17"/>
  <c r="F161" i="17"/>
  <c r="F148" i="17"/>
  <c r="F140" i="17"/>
  <c r="H140" i="17"/>
  <c r="F133" i="17"/>
  <c r="H133" i="17"/>
  <c r="F153" i="17"/>
  <c r="F146" i="17"/>
  <c r="F135" i="17"/>
  <c r="F130" i="17"/>
  <c r="F128" i="17"/>
  <c r="F126" i="17"/>
  <c r="F124" i="17"/>
  <c r="F122" i="17"/>
  <c r="F144" i="17"/>
  <c r="F129" i="17"/>
  <c r="F123" i="17"/>
  <c r="H123" i="17"/>
  <c r="F112" i="17"/>
  <c r="H112" i="17"/>
  <c r="F110" i="17"/>
  <c r="F108" i="17"/>
  <c r="F106" i="17"/>
  <c r="H106" i="17"/>
  <c r="F102" i="17"/>
  <c r="H102" i="17"/>
  <c r="K102" i="17"/>
  <c r="F100" i="17"/>
  <c r="H100" i="17"/>
  <c r="F127" i="17"/>
  <c r="F121" i="17"/>
  <c r="F119" i="17"/>
  <c r="F118" i="17"/>
  <c r="F117" i="17"/>
  <c r="H117" i="17"/>
  <c r="F116" i="17"/>
  <c r="F115" i="17"/>
  <c r="F114" i="17"/>
  <c r="H114" i="17"/>
  <c r="F150" i="17"/>
  <c r="H150" i="17"/>
  <c r="F125" i="17"/>
  <c r="F113" i="17"/>
  <c r="F111" i="17"/>
  <c r="H111" i="17"/>
  <c r="F109" i="17"/>
  <c r="F107" i="17"/>
  <c r="F101" i="17"/>
  <c r="F99" i="17"/>
  <c r="H99" i="17"/>
  <c r="F97" i="17"/>
  <c r="H97" i="17"/>
  <c r="F95" i="17"/>
  <c r="F93" i="17"/>
  <c r="F91" i="17"/>
  <c r="H91" i="17"/>
  <c r="F89" i="17"/>
  <c r="H89" i="17"/>
  <c r="F131" i="17"/>
  <c r="F96" i="17"/>
  <c r="F92" i="17"/>
  <c r="H92" i="17"/>
  <c r="F88" i="17"/>
  <c r="H88" i="17"/>
  <c r="F86" i="17"/>
  <c r="F84" i="17"/>
  <c r="F82" i="17"/>
  <c r="F80" i="17"/>
  <c r="H80" i="17"/>
  <c r="F78" i="17"/>
  <c r="F76" i="17"/>
  <c r="F74" i="17"/>
  <c r="H74" i="17"/>
  <c r="K74" i="17"/>
  <c r="F68" i="17"/>
  <c r="F66" i="17"/>
  <c r="F64" i="17"/>
  <c r="F63" i="17"/>
  <c r="H63" i="17"/>
  <c r="F62" i="17"/>
  <c r="H62" i="17"/>
  <c r="F98" i="17"/>
  <c r="F94" i="17"/>
  <c r="F90" i="17"/>
  <c r="H90" i="17"/>
  <c r="F142" i="17"/>
  <c r="H142" i="17"/>
  <c r="K142" i="17"/>
  <c r="F81" i="17"/>
  <c r="F73" i="17"/>
  <c r="F67" i="17"/>
  <c r="H67" i="17"/>
  <c r="F58" i="17"/>
  <c r="F56" i="17"/>
  <c r="F54" i="17"/>
  <c r="F52" i="17"/>
  <c r="F50" i="17"/>
  <c r="F48" i="17"/>
  <c r="F46" i="17"/>
  <c r="F44" i="17"/>
  <c r="H44" i="17"/>
  <c r="F42" i="17"/>
  <c r="H42" i="17"/>
  <c r="K42" i="17"/>
  <c r="F40" i="17"/>
  <c r="F120" i="17"/>
  <c r="F87" i="17"/>
  <c r="H87" i="17"/>
  <c r="F79" i="17"/>
  <c r="H79" i="17"/>
  <c r="F85" i="17"/>
  <c r="F77" i="17"/>
  <c r="F57" i="17"/>
  <c r="F55" i="17"/>
  <c r="H55" i="17"/>
  <c r="F53" i="17"/>
  <c r="F51" i="17"/>
  <c r="F49" i="17"/>
  <c r="H49" i="17"/>
  <c r="K49" i="17"/>
  <c r="F47" i="17"/>
  <c r="H47" i="17"/>
  <c r="F45" i="17"/>
  <c r="F43" i="17"/>
  <c r="F41" i="17"/>
  <c r="H41" i="17"/>
  <c r="F36" i="17"/>
  <c r="H36" i="17"/>
  <c r="F35" i="17"/>
  <c r="F34" i="17"/>
  <c r="F33" i="17"/>
  <c r="H33" i="17"/>
  <c r="F32" i="17"/>
  <c r="H32" i="17"/>
  <c r="F30" i="17"/>
  <c r="F65" i="17"/>
  <c r="F28" i="17"/>
  <c r="F22" i="17"/>
  <c r="F20" i="17"/>
  <c r="F61" i="17"/>
  <c r="F17" i="17"/>
  <c r="H17" i="17"/>
  <c r="F15" i="17"/>
  <c r="H15" i="17"/>
  <c r="F13" i="17"/>
  <c r="F12" i="17"/>
  <c r="F11" i="17"/>
  <c r="H11" i="17"/>
  <c r="F10" i="17"/>
  <c r="H10" i="17"/>
  <c r="F9" i="17"/>
  <c r="F75" i="17"/>
  <c r="F69" i="17"/>
  <c r="H69" i="17"/>
  <c r="K69" i="17"/>
  <c r="F59" i="17"/>
  <c r="H59" i="17"/>
  <c r="F19" i="17"/>
  <c r="F16" i="17"/>
  <c r="F83" i="17"/>
  <c r="F60" i="17"/>
  <c r="H60" i="17"/>
  <c r="F31" i="17"/>
  <c r="F29" i="17"/>
  <c r="F27" i="17"/>
  <c r="F26" i="17"/>
  <c r="F25" i="17"/>
  <c r="F24" i="17"/>
  <c r="F23" i="17"/>
  <c r="F21" i="17"/>
  <c r="H21" i="17"/>
  <c r="F18" i="17"/>
  <c r="F8" i="17"/>
  <c r="F7" i="17"/>
  <c r="H7" i="17"/>
  <c r="F14" i="17"/>
  <c r="H14" i="17"/>
  <c r="J5" i="17"/>
  <c r="K5" i="17"/>
  <c r="L5" i="17"/>
  <c r="I6" i="17"/>
  <c r="U4" i="17"/>
  <c r="V4" i="17"/>
  <c r="W4" i="17"/>
  <c r="G50" i="17"/>
  <c r="T114" i="17"/>
  <c r="T59" i="17"/>
  <c r="G14" i="17"/>
  <c r="G16" i="17"/>
  <c r="G19" i="17"/>
  <c r="G44" i="17"/>
  <c r="G52" i="17"/>
  <c r="G108" i="17"/>
  <c r="G20" i="17"/>
  <c r="G28" i="17"/>
  <c r="G42" i="17"/>
  <c r="G58" i="17"/>
  <c r="X3" i="17"/>
  <c r="G7" i="17"/>
  <c r="G8" i="17"/>
  <c r="G18" i="17"/>
  <c r="G21" i="17"/>
  <c r="G23" i="17"/>
  <c r="G24" i="17"/>
  <c r="G25" i="17"/>
  <c r="G26" i="17"/>
  <c r="G27" i="17"/>
  <c r="G29" i="17"/>
  <c r="G31" i="17"/>
  <c r="G46" i="17"/>
  <c r="G54" i="17"/>
  <c r="G168" i="17"/>
  <c r="G166" i="17"/>
  <c r="G164" i="17"/>
  <c r="G162" i="17"/>
  <c r="G160" i="17"/>
  <c r="G158" i="17"/>
  <c r="G156" i="17"/>
  <c r="G154" i="17"/>
  <c r="G167" i="17"/>
  <c r="G165" i="17"/>
  <c r="G163" i="17"/>
  <c r="G161" i="17"/>
  <c r="G159" i="17"/>
  <c r="G157" i="17"/>
  <c r="G155" i="17"/>
  <c r="G153" i="17"/>
  <c r="G151" i="17"/>
  <c r="G149" i="17"/>
  <c r="G147" i="17"/>
  <c r="G145" i="17"/>
  <c r="G143" i="17"/>
  <c r="G141" i="17"/>
  <c r="G139" i="17"/>
  <c r="G150" i="17"/>
  <c r="G148" i="17"/>
  <c r="G146" i="17"/>
  <c r="G144" i="17"/>
  <c r="G142" i="17"/>
  <c r="G140" i="17"/>
  <c r="G152" i="17"/>
  <c r="G135" i="17"/>
  <c r="G130" i="17"/>
  <c r="G128" i="17"/>
  <c r="G126" i="17"/>
  <c r="G132" i="17"/>
  <c r="G134" i="17"/>
  <c r="G131" i="17"/>
  <c r="G129" i="17"/>
  <c r="G127" i="17"/>
  <c r="G125" i="17"/>
  <c r="G123" i="17"/>
  <c r="G121" i="17"/>
  <c r="G119" i="17"/>
  <c r="G118" i="17"/>
  <c r="G117" i="17"/>
  <c r="G116" i="17"/>
  <c r="G115" i="17"/>
  <c r="G114" i="17"/>
  <c r="G122" i="17"/>
  <c r="G113" i="17"/>
  <c r="G111" i="17"/>
  <c r="G109" i="17"/>
  <c r="G107" i="17"/>
  <c r="G101" i="17"/>
  <c r="G99" i="17"/>
  <c r="G97" i="17"/>
  <c r="G95" i="17"/>
  <c r="G93" i="17"/>
  <c r="G91" i="17"/>
  <c r="G89" i="17"/>
  <c r="G120" i="17"/>
  <c r="G106" i="17"/>
  <c r="G100" i="17"/>
  <c r="G88" i="17"/>
  <c r="G86" i="17"/>
  <c r="G84" i="17"/>
  <c r="G82" i="17"/>
  <c r="G80" i="17"/>
  <c r="G78" i="17"/>
  <c r="G76" i="17"/>
  <c r="G74" i="17"/>
  <c r="G68" i="17"/>
  <c r="G66" i="17"/>
  <c r="G112" i="17"/>
  <c r="G98" i="17"/>
  <c r="G94" i="17"/>
  <c r="G90" i="17"/>
  <c r="G133" i="17"/>
  <c r="G124" i="17"/>
  <c r="G110" i="17"/>
  <c r="G87" i="17"/>
  <c r="G85" i="17"/>
  <c r="G83" i="17"/>
  <c r="G81" i="17"/>
  <c r="G79" i="17"/>
  <c r="G77" i="17"/>
  <c r="G75" i="17"/>
  <c r="G73" i="17"/>
  <c r="G69" i="17"/>
  <c r="G67" i="17"/>
  <c r="G65" i="17"/>
  <c r="G64" i="17"/>
  <c r="G63" i="17"/>
  <c r="G62" i="17"/>
  <c r="G96" i="17"/>
  <c r="G57" i="17"/>
  <c r="G55" i="17"/>
  <c r="G53" i="17"/>
  <c r="G51" i="17"/>
  <c r="G49" i="17"/>
  <c r="G47" i="17"/>
  <c r="G45" i="17"/>
  <c r="G43" i="17"/>
  <c r="G41" i="17"/>
  <c r="G36" i="17"/>
  <c r="G35" i="17"/>
  <c r="G34" i="17"/>
  <c r="G33" i="17"/>
  <c r="G32" i="17"/>
  <c r="G30" i="17"/>
  <c r="G92" i="17"/>
  <c r="G61" i="17"/>
  <c r="G60" i="17"/>
  <c r="G59" i="17"/>
  <c r="G22" i="17"/>
  <c r="G9" i="17"/>
  <c r="G10" i="17"/>
  <c r="G11" i="17"/>
  <c r="G12" i="17"/>
  <c r="G13" i="17"/>
  <c r="G15" i="17"/>
  <c r="G17" i="17"/>
  <c r="L38" i="17"/>
  <c r="I39" i="17"/>
  <c r="G40" i="17"/>
  <c r="G48" i="17"/>
  <c r="G56" i="17"/>
  <c r="L104" i="17"/>
  <c r="M103" i="17"/>
  <c r="N103" i="17"/>
  <c r="J71" i="17"/>
  <c r="I72" i="17"/>
  <c r="K104" i="17"/>
  <c r="J105" i="17"/>
  <c r="K105" i="17"/>
  <c r="K137" i="17"/>
  <c r="L137" i="17"/>
  <c r="I138" i="17"/>
  <c r="T4" i="13"/>
  <c r="X3" i="13"/>
  <c r="Y3" i="13"/>
  <c r="I6" i="13"/>
  <c r="J38" i="13"/>
  <c r="K38" i="13"/>
  <c r="L38" i="13"/>
  <c r="L5" i="13"/>
  <c r="U60" i="13"/>
  <c r="V60" i="13"/>
  <c r="T61" i="13"/>
  <c r="H48" i="13"/>
  <c r="H52" i="13"/>
  <c r="H56" i="13"/>
  <c r="H58" i="13"/>
  <c r="H46" i="13"/>
  <c r="H50" i="13"/>
  <c r="H54" i="13"/>
  <c r="H68" i="13"/>
  <c r="J71" i="13"/>
  <c r="I72" i="13"/>
  <c r="I104" i="13"/>
  <c r="K103" i="13"/>
  <c r="L103" i="13"/>
  <c r="V114" i="13"/>
  <c r="H116" i="13"/>
  <c r="H114" i="13"/>
  <c r="H117" i="13"/>
  <c r="H118" i="13"/>
  <c r="J138" i="13"/>
  <c r="K138" i="13"/>
  <c r="T115" i="13"/>
  <c r="K137" i="13"/>
  <c r="L137" i="13"/>
  <c r="H139" i="13"/>
  <c r="H141" i="13"/>
  <c r="H143" i="13"/>
  <c r="Y3" i="12"/>
  <c r="J72" i="19"/>
  <c r="K72" i="19"/>
  <c r="L72" i="19"/>
  <c r="M71" i="19"/>
  <c r="N71" i="19"/>
  <c r="J39" i="19"/>
  <c r="K39" i="19"/>
  <c r="M104" i="19"/>
  <c r="N104" i="19"/>
  <c r="U114" i="19"/>
  <c r="V114" i="19"/>
  <c r="T115" i="19"/>
  <c r="H14" i="19"/>
  <c r="H21" i="19"/>
  <c r="H26" i="19"/>
  <c r="H28" i="19"/>
  <c r="H60" i="19"/>
  <c r="H64" i="19"/>
  <c r="H35" i="19"/>
  <c r="H47" i="19"/>
  <c r="H55" i="19"/>
  <c r="H69" i="19"/>
  <c r="K69" i="19"/>
  <c r="H42" i="19"/>
  <c r="H50" i="19"/>
  <c r="H58" i="19"/>
  <c r="H79" i="19"/>
  <c r="H87" i="19"/>
  <c r="H95" i="19"/>
  <c r="H109" i="19"/>
  <c r="H78" i="19"/>
  <c r="H86" i="19"/>
  <c r="H94" i="19"/>
  <c r="H102" i="19"/>
  <c r="K102" i="19"/>
  <c r="H114" i="19"/>
  <c r="H118" i="19"/>
  <c r="H125" i="19"/>
  <c r="H110" i="19"/>
  <c r="H122" i="19"/>
  <c r="H130" i="19"/>
  <c r="H135" i="19"/>
  <c r="K135" i="19"/>
  <c r="H146" i="19"/>
  <c r="H141" i="19"/>
  <c r="H149" i="19"/>
  <c r="H157" i="19"/>
  <c r="H165" i="19"/>
  <c r="H156" i="19"/>
  <c r="H164" i="19"/>
  <c r="M5" i="19"/>
  <c r="N5" i="19"/>
  <c r="J138" i="19"/>
  <c r="K138" i="19"/>
  <c r="L138" i="19"/>
  <c r="M137" i="19"/>
  <c r="N137" i="19"/>
  <c r="L39" i="19"/>
  <c r="M38" i="19"/>
  <c r="N38" i="19"/>
  <c r="Y3" i="19"/>
  <c r="H16" i="19"/>
  <c r="H23" i="19"/>
  <c r="H27" i="19"/>
  <c r="H61" i="19"/>
  <c r="H66" i="19"/>
  <c r="H41" i="19"/>
  <c r="H49" i="19"/>
  <c r="H57" i="19"/>
  <c r="H34" i="19"/>
  <c r="H44" i="19"/>
  <c r="H52" i="19"/>
  <c r="H73" i="19"/>
  <c r="H81" i="19"/>
  <c r="H89" i="19"/>
  <c r="H97" i="19"/>
  <c r="H113" i="19"/>
  <c r="H80" i="19"/>
  <c r="H88" i="19"/>
  <c r="H96" i="19"/>
  <c r="H106" i="19"/>
  <c r="H115" i="19"/>
  <c r="H119" i="19"/>
  <c r="H127" i="19"/>
  <c r="H112" i="19"/>
  <c r="H124" i="19"/>
  <c r="H132" i="19"/>
  <c r="H140" i="19"/>
  <c r="H148" i="19"/>
  <c r="H143" i="19"/>
  <c r="H151" i="19"/>
  <c r="H159" i="19"/>
  <c r="H167" i="19"/>
  <c r="H158" i="19"/>
  <c r="H166" i="19"/>
  <c r="I106" i="19"/>
  <c r="J105" i="19"/>
  <c r="K105" i="19"/>
  <c r="L105" i="19"/>
  <c r="H24" i="19"/>
  <c r="H29" i="19"/>
  <c r="H62" i="19"/>
  <c r="H68" i="19"/>
  <c r="H43" i="19"/>
  <c r="H51" i="19"/>
  <c r="H65" i="19"/>
  <c r="H36" i="19"/>
  <c r="K36" i="19"/>
  <c r="H46" i="19"/>
  <c r="H54" i="19"/>
  <c r="H75" i="19"/>
  <c r="H83" i="19"/>
  <c r="H91" i="19"/>
  <c r="H99" i="19"/>
  <c r="H74" i="19"/>
  <c r="H82" i="19"/>
  <c r="H90" i="19"/>
  <c r="H98" i="19"/>
  <c r="H107" i="19"/>
  <c r="H116" i="19"/>
  <c r="H121" i="19"/>
  <c r="H129" i="19"/>
  <c r="H134" i="19"/>
  <c r="H126" i="19"/>
  <c r="H131" i="19"/>
  <c r="H142" i="19"/>
  <c r="H150" i="19"/>
  <c r="H145" i="19"/>
  <c r="H153" i="19"/>
  <c r="H161" i="19"/>
  <c r="H152" i="19"/>
  <c r="H160" i="19"/>
  <c r="H168" i="19"/>
  <c r="K168" i="19"/>
  <c r="T6" i="19"/>
  <c r="U5" i="19"/>
  <c r="V5" i="19"/>
  <c r="U59" i="19"/>
  <c r="V59" i="19"/>
  <c r="H13" i="19"/>
  <c r="H18" i="19"/>
  <c r="H25" i="19"/>
  <c r="H31" i="19"/>
  <c r="H22" i="19"/>
  <c r="H59" i="19"/>
  <c r="H63" i="19"/>
  <c r="H33" i="19"/>
  <c r="H45" i="19"/>
  <c r="H53" i="19"/>
  <c r="H67" i="19"/>
  <c r="H40" i="19"/>
  <c r="H48" i="19"/>
  <c r="H56" i="19"/>
  <c r="H77" i="19"/>
  <c r="H85" i="19"/>
  <c r="H93" i="19"/>
  <c r="H101" i="19"/>
  <c r="H76" i="19"/>
  <c r="H84" i="19"/>
  <c r="H92" i="19"/>
  <c r="H100" i="19"/>
  <c r="H111" i="19"/>
  <c r="H117" i="19"/>
  <c r="H123" i="19"/>
  <c r="H108" i="19"/>
  <c r="H120" i="19"/>
  <c r="H128" i="19"/>
  <c r="H133" i="19"/>
  <c r="H144" i="19"/>
  <c r="H139" i="19"/>
  <c r="H147" i="19"/>
  <c r="H155" i="19"/>
  <c r="H163" i="19"/>
  <c r="H154" i="19"/>
  <c r="H162" i="19"/>
  <c r="W5" i="19"/>
  <c r="X4" i="19"/>
  <c r="Y4" i="19"/>
  <c r="I6" i="19"/>
  <c r="H12" i="18"/>
  <c r="H26" i="18"/>
  <c r="H80" i="18"/>
  <c r="H25" i="18"/>
  <c r="H30" i="18"/>
  <c r="H35" i="18"/>
  <c r="H45" i="18"/>
  <c r="H78" i="18"/>
  <c r="H53" i="18"/>
  <c r="H52" i="18"/>
  <c r="H89" i="18"/>
  <c r="H101" i="18"/>
  <c r="H124" i="18"/>
  <c r="H111" i="18"/>
  <c r="H114" i="18"/>
  <c r="H118" i="18"/>
  <c r="H133" i="18"/>
  <c r="H163" i="18"/>
  <c r="H157" i="18"/>
  <c r="K4" i="18"/>
  <c r="L4" i="18"/>
  <c r="M4" i="18"/>
  <c r="N4" i="18"/>
  <c r="I6" i="18"/>
  <c r="J6" i="18"/>
  <c r="K6" i="18"/>
  <c r="H23" i="18"/>
  <c r="H42" i="18"/>
  <c r="H24" i="18"/>
  <c r="H76" i="18"/>
  <c r="H64" i="18"/>
  <c r="H50" i="18"/>
  <c r="H87" i="18"/>
  <c r="H86" i="18"/>
  <c r="H94" i="18"/>
  <c r="H102" i="18"/>
  <c r="K102" i="18"/>
  <c r="H120" i="18"/>
  <c r="H109" i="18"/>
  <c r="H153" i="18"/>
  <c r="H123" i="18"/>
  <c r="H143" i="18"/>
  <c r="H151" i="18"/>
  <c r="H159" i="18"/>
  <c r="X4" i="18"/>
  <c r="Y4" i="18"/>
  <c r="I73" i="18"/>
  <c r="J72" i="18"/>
  <c r="K72" i="18"/>
  <c r="M38" i="18"/>
  <c r="N38" i="18"/>
  <c r="U114" i="18"/>
  <c r="V114" i="18"/>
  <c r="H13" i="18"/>
  <c r="H29" i="18"/>
  <c r="H74" i="18"/>
  <c r="H19" i="18"/>
  <c r="H67" i="18"/>
  <c r="H77" i="18"/>
  <c r="H81" i="18"/>
  <c r="H98" i="18"/>
  <c r="H88" i="18"/>
  <c r="H96" i="18"/>
  <c r="H122" i="18"/>
  <c r="H128" i="18"/>
  <c r="H142" i="18"/>
  <c r="H125" i="18"/>
  <c r="H145" i="18"/>
  <c r="H167" i="18"/>
  <c r="H158" i="18"/>
  <c r="H166" i="18"/>
  <c r="T5" i="18"/>
  <c r="J139" i="18"/>
  <c r="I140" i="18"/>
  <c r="J105" i="18"/>
  <c r="K105" i="18"/>
  <c r="L105" i="18"/>
  <c r="M137" i="18"/>
  <c r="N137" i="18"/>
  <c r="L138" i="18"/>
  <c r="M104" i="18"/>
  <c r="N104" i="18"/>
  <c r="M70" i="18"/>
  <c r="N70" i="18"/>
  <c r="L71" i="18"/>
  <c r="J39" i="18"/>
  <c r="K39" i="18"/>
  <c r="L39" i="18"/>
  <c r="Y3" i="18"/>
  <c r="H15" i="18"/>
  <c r="H40" i="18"/>
  <c r="H14" i="18"/>
  <c r="H44" i="18"/>
  <c r="H31" i="18"/>
  <c r="H20" i="18"/>
  <c r="H32" i="18"/>
  <c r="H36" i="18"/>
  <c r="K36" i="18"/>
  <c r="H59" i="18"/>
  <c r="H47" i="18"/>
  <c r="H55" i="18"/>
  <c r="H69" i="18"/>
  <c r="K69" i="18"/>
  <c r="H79" i="18"/>
  <c r="H54" i="18"/>
  <c r="H83" i="18"/>
  <c r="H91" i="18"/>
  <c r="H82" i="18"/>
  <c r="H90" i="18"/>
  <c r="H100" i="18"/>
  <c r="H108" i="18"/>
  <c r="H106" i="18"/>
  <c r="H140" i="18"/>
  <c r="H130" i="18"/>
  <c r="H150" i="18"/>
  <c r="H113" i="18"/>
  <c r="H115" i="18"/>
  <c r="H119" i="18"/>
  <c r="H127" i="18"/>
  <c r="H146" i="18"/>
  <c r="H139" i="18"/>
  <c r="H147" i="18"/>
  <c r="H165" i="18"/>
  <c r="H152" i="18"/>
  <c r="H160" i="18"/>
  <c r="H168" i="18"/>
  <c r="K168" i="18"/>
  <c r="U59" i="18"/>
  <c r="V59" i="18"/>
  <c r="H17" i="18"/>
  <c r="H27" i="18"/>
  <c r="H16" i="18"/>
  <c r="H61" i="18"/>
  <c r="H18" i="18"/>
  <c r="H62" i="18"/>
  <c r="H22" i="18"/>
  <c r="H33" i="18"/>
  <c r="H41" i="18"/>
  <c r="H63" i="18"/>
  <c r="H60" i="18"/>
  <c r="H49" i="18"/>
  <c r="H57" i="18"/>
  <c r="H73" i="18"/>
  <c r="H48" i="18"/>
  <c r="H56" i="18"/>
  <c r="H85" i="18"/>
  <c r="H93" i="18"/>
  <c r="H84" i="18"/>
  <c r="H92" i="18"/>
  <c r="H97" i="18"/>
  <c r="H112" i="18"/>
  <c r="H110" i="18"/>
  <c r="H148" i="18"/>
  <c r="H132" i="18"/>
  <c r="H107" i="18"/>
  <c r="H144" i="18"/>
  <c r="H116" i="18"/>
  <c r="H121" i="18"/>
  <c r="H129" i="18"/>
  <c r="H161" i="18"/>
  <c r="H141" i="18"/>
  <c r="H149" i="18"/>
  <c r="H135" i="18"/>
  <c r="K135" i="18"/>
  <c r="H154" i="18"/>
  <c r="H162" i="18"/>
  <c r="H50" i="17"/>
  <c r="K71" i="17"/>
  <c r="L71" i="17"/>
  <c r="H23" i="17"/>
  <c r="H27" i="17"/>
  <c r="H57" i="17"/>
  <c r="H118" i="17"/>
  <c r="H110" i="17"/>
  <c r="H128" i="17"/>
  <c r="H153" i="17"/>
  <c r="H161" i="17"/>
  <c r="H145" i="17"/>
  <c r="H157" i="17"/>
  <c r="H167" i="17"/>
  <c r="H160" i="17"/>
  <c r="H168" i="17"/>
  <c r="K168" i="17"/>
  <c r="M71" i="17"/>
  <c r="N71" i="17"/>
  <c r="J39" i="17"/>
  <c r="K39" i="17"/>
  <c r="L39" i="17"/>
  <c r="H28" i="17"/>
  <c r="H144" i="17"/>
  <c r="M5" i="17"/>
  <c r="I106" i="17"/>
  <c r="M38" i="17"/>
  <c r="N38" i="17"/>
  <c r="Y3" i="17"/>
  <c r="J6" i="17"/>
  <c r="K6" i="17"/>
  <c r="L6" i="17"/>
  <c r="H8" i="17"/>
  <c r="H24" i="17"/>
  <c r="H29" i="17"/>
  <c r="H16" i="17"/>
  <c r="H75" i="17"/>
  <c r="H12" i="17"/>
  <c r="H61" i="17"/>
  <c r="H65" i="17"/>
  <c r="H34" i="17"/>
  <c r="H43" i="17"/>
  <c r="H51" i="17"/>
  <c r="H77" i="17"/>
  <c r="H120" i="17"/>
  <c r="H46" i="17"/>
  <c r="H54" i="17"/>
  <c r="H73" i="17"/>
  <c r="K73" i="17"/>
  <c r="H94" i="17"/>
  <c r="H64" i="17"/>
  <c r="H76" i="17"/>
  <c r="H84" i="17"/>
  <c r="H96" i="17"/>
  <c r="H93" i="17"/>
  <c r="H101" i="17"/>
  <c r="H113" i="17"/>
  <c r="H115" i="17"/>
  <c r="H119" i="17"/>
  <c r="H122" i="17"/>
  <c r="H130" i="17"/>
  <c r="H139" i="17"/>
  <c r="H147" i="17"/>
  <c r="H162" i="17"/>
  <c r="J72" i="17"/>
  <c r="K72" i="17"/>
  <c r="L72" i="17"/>
  <c r="H83" i="17"/>
  <c r="H52" i="17"/>
  <c r="H163" i="17"/>
  <c r="M137" i="17"/>
  <c r="N137" i="17"/>
  <c r="U59" i="17"/>
  <c r="V59" i="17"/>
  <c r="T60" i="17"/>
  <c r="T5" i="17"/>
  <c r="H18" i="17"/>
  <c r="H25" i="17"/>
  <c r="H31" i="17"/>
  <c r="H19" i="17"/>
  <c r="H9" i="17"/>
  <c r="H13" i="17"/>
  <c r="H20" i="17"/>
  <c r="H30" i="17"/>
  <c r="H35" i="17"/>
  <c r="H45" i="17"/>
  <c r="H53" i="17"/>
  <c r="H85" i="17"/>
  <c r="H40" i="17"/>
  <c r="H48" i="17"/>
  <c r="H56" i="17"/>
  <c r="H81" i="17"/>
  <c r="H98" i="17"/>
  <c r="H66" i="17"/>
  <c r="H78" i="17"/>
  <c r="H86" i="17"/>
  <c r="H131" i="17"/>
  <c r="H95" i="17"/>
  <c r="H107" i="17"/>
  <c r="H125" i="17"/>
  <c r="H116" i="17"/>
  <c r="H121" i="17"/>
  <c r="H124" i="17"/>
  <c r="H135" i="17"/>
  <c r="K135" i="17"/>
  <c r="H134" i="17"/>
  <c r="H156" i="17"/>
  <c r="H164" i="17"/>
  <c r="J138" i="17"/>
  <c r="K138" i="17"/>
  <c r="L138" i="17"/>
  <c r="H82" i="17"/>
  <c r="L105" i="17"/>
  <c r="M104" i="17"/>
  <c r="N104" i="17"/>
  <c r="U114" i="17"/>
  <c r="V114" i="17"/>
  <c r="X4" i="17"/>
  <c r="Y4" i="17"/>
  <c r="H26" i="17"/>
  <c r="H22" i="17"/>
  <c r="K36" i="17"/>
  <c r="H58" i="17"/>
  <c r="H68" i="17"/>
  <c r="H109" i="17"/>
  <c r="H127" i="17"/>
  <c r="H108" i="17"/>
  <c r="H129" i="17"/>
  <c r="H126" i="17"/>
  <c r="H146" i="17"/>
  <c r="H148" i="17"/>
  <c r="H155" i="17"/>
  <c r="H143" i="17"/>
  <c r="H151" i="17"/>
  <c r="H159" i="17"/>
  <c r="H158" i="17"/>
  <c r="H166" i="17"/>
  <c r="M38" i="13"/>
  <c r="N38" i="13"/>
  <c r="J72" i="13"/>
  <c r="K72" i="13"/>
  <c r="L138" i="13"/>
  <c r="M137" i="13"/>
  <c r="N137" i="13"/>
  <c r="U61" i="13"/>
  <c r="V61" i="13"/>
  <c r="T62" i="13"/>
  <c r="I139" i="13"/>
  <c r="M5" i="13"/>
  <c r="N5" i="13"/>
  <c r="K71" i="13"/>
  <c r="L71" i="13"/>
  <c r="M103" i="13"/>
  <c r="N103" i="13"/>
  <c r="I39" i="13"/>
  <c r="J6" i="13"/>
  <c r="K6" i="13"/>
  <c r="L6" i="13"/>
  <c r="T5" i="13"/>
  <c r="U4" i="13"/>
  <c r="V4" i="13"/>
  <c r="W4" i="13"/>
  <c r="U115" i="13"/>
  <c r="V115" i="13"/>
  <c r="I105" i="13"/>
  <c r="J104" i="13"/>
  <c r="K104" i="13"/>
  <c r="L104" i="13"/>
  <c r="N70" i="12"/>
  <c r="N71" i="12"/>
  <c r="N103" i="12"/>
  <c r="I135" i="12"/>
  <c r="I102" i="12"/>
  <c r="I69" i="12"/>
  <c r="I36" i="12"/>
  <c r="A20" i="12"/>
  <c r="B27" i="10"/>
  <c r="A17" i="8"/>
  <c r="M58" i="10"/>
  <c r="M57" i="10"/>
  <c r="M56" i="10"/>
  <c r="M55" i="10"/>
  <c r="M54" i="10"/>
  <c r="M53" i="10"/>
  <c r="M52" i="10"/>
  <c r="M51" i="10"/>
  <c r="L51" i="10"/>
  <c r="N51" i="10"/>
  <c r="O51" i="10"/>
  <c r="M50" i="10"/>
  <c r="L50" i="10"/>
  <c r="N50" i="10"/>
  <c r="O50" i="10"/>
  <c r="M49" i="10"/>
  <c r="L49" i="10"/>
  <c r="N49" i="10"/>
  <c r="O49" i="10"/>
  <c r="M48" i="10"/>
  <c r="L48" i="10"/>
  <c r="N48" i="10"/>
  <c r="O48" i="10"/>
  <c r="M47" i="10"/>
  <c r="L47" i="10"/>
  <c r="N47" i="10"/>
  <c r="O47" i="10"/>
  <c r="M46" i="10"/>
  <c r="L46" i="10"/>
  <c r="N46" i="10"/>
  <c r="O46" i="10"/>
  <c r="M45" i="10"/>
  <c r="L45" i="10"/>
  <c r="N45" i="10"/>
  <c r="O45" i="10"/>
  <c r="M44" i="10"/>
  <c r="L44" i="10"/>
  <c r="N44" i="10"/>
  <c r="O44" i="10"/>
  <c r="M43" i="10"/>
  <c r="L43" i="10"/>
  <c r="N43" i="10"/>
  <c r="O43" i="10"/>
  <c r="M42" i="10"/>
  <c r="L42" i="10"/>
  <c r="N42" i="10"/>
  <c r="O42" i="10"/>
  <c r="M41" i="10"/>
  <c r="L41" i="10"/>
  <c r="N41" i="10"/>
  <c r="O41" i="10"/>
  <c r="M40" i="10"/>
  <c r="L40" i="10"/>
  <c r="N40" i="10"/>
  <c r="O40" i="10"/>
  <c r="M39" i="10"/>
  <c r="L39" i="10"/>
  <c r="N39" i="10"/>
  <c r="O39" i="10"/>
  <c r="M38" i="10"/>
  <c r="L38" i="10"/>
  <c r="N38" i="10"/>
  <c r="O38" i="10"/>
  <c r="M37" i="10"/>
  <c r="L37" i="10"/>
  <c r="N37" i="10"/>
  <c r="O37" i="10"/>
  <c r="M36" i="10"/>
  <c r="L36" i="10"/>
  <c r="N36" i="10"/>
  <c r="O36" i="10"/>
  <c r="G36" i="10"/>
  <c r="F36" i="10"/>
  <c r="H36" i="10"/>
  <c r="I36" i="10"/>
  <c r="M35" i="10"/>
  <c r="L35" i="10"/>
  <c r="N35" i="10"/>
  <c r="O35" i="10"/>
  <c r="G35" i="10"/>
  <c r="F35" i="10"/>
  <c r="H35" i="10"/>
  <c r="I35" i="10"/>
  <c r="M34" i="10"/>
  <c r="L34" i="10"/>
  <c r="N34" i="10"/>
  <c r="O34" i="10"/>
  <c r="G34" i="10"/>
  <c r="F34" i="10"/>
  <c r="H34" i="10"/>
  <c r="I34" i="10"/>
  <c r="M33" i="10"/>
  <c r="L33" i="10"/>
  <c r="N33" i="10"/>
  <c r="O33" i="10"/>
  <c r="G33" i="10"/>
  <c r="F33" i="10"/>
  <c r="H33" i="10"/>
  <c r="I33" i="10"/>
  <c r="M32" i="10"/>
  <c r="L32" i="10"/>
  <c r="N32" i="10"/>
  <c r="O32" i="10"/>
  <c r="G32" i="10"/>
  <c r="F32" i="10"/>
  <c r="H32" i="10"/>
  <c r="I32" i="10"/>
  <c r="M31" i="10"/>
  <c r="L31" i="10"/>
  <c r="N31" i="10"/>
  <c r="O31" i="10"/>
  <c r="G31" i="10"/>
  <c r="F31" i="10"/>
  <c r="H31" i="10"/>
  <c r="I31" i="10"/>
  <c r="M30" i="10"/>
  <c r="L30" i="10"/>
  <c r="N30" i="10"/>
  <c r="O30" i="10"/>
  <c r="G30" i="10"/>
  <c r="F30" i="10"/>
  <c r="H30" i="10"/>
  <c r="I30" i="10"/>
  <c r="M29" i="10"/>
  <c r="L29" i="10"/>
  <c r="N29" i="10"/>
  <c r="O29" i="10"/>
  <c r="G29" i="10"/>
  <c r="F29" i="10"/>
  <c r="H29" i="10"/>
  <c r="I29" i="10"/>
  <c r="M28" i="10"/>
  <c r="L28" i="10"/>
  <c r="N28" i="10"/>
  <c r="O28" i="10"/>
  <c r="G28" i="10"/>
  <c r="F28" i="10"/>
  <c r="H28" i="10"/>
  <c r="I28" i="10"/>
  <c r="M27" i="10"/>
  <c r="L27" i="10"/>
  <c r="N27" i="10"/>
  <c r="O27" i="10"/>
  <c r="G27" i="10"/>
  <c r="F27" i="10"/>
  <c r="H27" i="10"/>
  <c r="I27" i="10"/>
  <c r="M26" i="10"/>
  <c r="L26" i="10"/>
  <c r="N26" i="10"/>
  <c r="O26" i="10"/>
  <c r="G26" i="10"/>
  <c r="F26" i="10"/>
  <c r="H26" i="10"/>
  <c r="I26" i="10"/>
  <c r="M25" i="10"/>
  <c r="L25" i="10"/>
  <c r="N25" i="10"/>
  <c r="O25" i="10"/>
  <c r="G25" i="10"/>
  <c r="F25" i="10"/>
  <c r="H25" i="10"/>
  <c r="I25" i="10"/>
  <c r="M24" i="10"/>
  <c r="M23" i="10"/>
  <c r="L23" i="10"/>
  <c r="N23" i="10"/>
  <c r="O23" i="10"/>
  <c r="G23" i="10"/>
  <c r="F23" i="10"/>
  <c r="H23" i="10"/>
  <c r="I23" i="10"/>
  <c r="M22" i="10"/>
  <c r="M21" i="10"/>
  <c r="M20" i="10"/>
  <c r="M19" i="10"/>
  <c r="M18" i="10"/>
  <c r="N18" i="10"/>
  <c r="O18" i="10"/>
  <c r="L18" i="10"/>
  <c r="A18" i="10"/>
  <c r="M17" i="10"/>
  <c r="L17" i="10"/>
  <c r="N17" i="10"/>
  <c r="O17" i="10"/>
  <c r="F17" i="10"/>
  <c r="M16" i="10"/>
  <c r="L16" i="10"/>
  <c r="N16" i="10"/>
  <c r="O16" i="10"/>
  <c r="G16" i="10"/>
  <c r="F16" i="10"/>
  <c r="H16" i="10"/>
  <c r="I16" i="10"/>
  <c r="M15" i="10"/>
  <c r="L15" i="10"/>
  <c r="N15" i="10"/>
  <c r="O15" i="10"/>
  <c r="G15" i="10"/>
  <c r="F15" i="10"/>
  <c r="H15" i="10"/>
  <c r="I15" i="10"/>
  <c r="M14" i="10"/>
  <c r="L14" i="10"/>
  <c r="N14" i="10"/>
  <c r="O14" i="10"/>
  <c r="G14" i="10"/>
  <c r="F14" i="10"/>
  <c r="H14" i="10"/>
  <c r="I14" i="10"/>
  <c r="M13" i="10"/>
  <c r="L13" i="10"/>
  <c r="N13" i="10"/>
  <c r="O13" i="10"/>
  <c r="G13" i="10"/>
  <c r="F13" i="10"/>
  <c r="H13" i="10"/>
  <c r="I13" i="10"/>
  <c r="C13" i="10"/>
  <c r="B13" i="10"/>
  <c r="G24" i="10"/>
  <c r="M12" i="10"/>
  <c r="N12" i="10"/>
  <c r="O12" i="10"/>
  <c r="L12" i="10"/>
  <c r="C12" i="10"/>
  <c r="B12" i="10"/>
  <c r="M11" i="10"/>
  <c r="L11" i="10"/>
  <c r="N11" i="10"/>
  <c r="O11" i="10"/>
  <c r="G11" i="10"/>
  <c r="F11" i="10"/>
  <c r="H11" i="10"/>
  <c r="I11" i="10"/>
  <c r="C11" i="10"/>
  <c r="L58" i="10"/>
  <c r="N58" i="10"/>
  <c r="O58" i="10"/>
  <c r="B11" i="10"/>
  <c r="F24" i="10"/>
  <c r="H24" i="10"/>
  <c r="I24" i="10"/>
  <c r="M10" i="10"/>
  <c r="N10" i="10"/>
  <c r="O10" i="10"/>
  <c r="L10" i="10"/>
  <c r="F10" i="10"/>
  <c r="C10" i="10"/>
  <c r="B10" i="10"/>
  <c r="M9" i="10"/>
  <c r="L9" i="10"/>
  <c r="N9" i="10"/>
  <c r="O9" i="10"/>
  <c r="G9" i="10"/>
  <c r="F9" i="10"/>
  <c r="H9" i="10"/>
  <c r="I9" i="10"/>
  <c r="N8" i="10"/>
  <c r="O8" i="10"/>
  <c r="F8" i="10"/>
  <c r="O7" i="10"/>
  <c r="N7" i="10"/>
  <c r="G7" i="10"/>
  <c r="F7" i="10"/>
  <c r="H7" i="10"/>
  <c r="I7" i="10"/>
  <c r="N6" i="10"/>
  <c r="O6" i="10"/>
  <c r="I6" i="10"/>
  <c r="H6" i="10"/>
  <c r="N5" i="10"/>
  <c r="O5" i="10"/>
  <c r="I5" i="10"/>
  <c r="H5" i="10"/>
  <c r="N4" i="10"/>
  <c r="O4" i="10"/>
  <c r="I4" i="10"/>
  <c r="H4" i="10"/>
  <c r="M3" i="10"/>
  <c r="N3" i="10"/>
  <c r="G3" i="10"/>
  <c r="H3" i="10"/>
  <c r="C25" i="1"/>
  <c r="B25" i="1"/>
  <c r="B25" i="5"/>
  <c r="B25" i="8"/>
  <c r="S8" i="8"/>
  <c r="S7" i="8"/>
  <c r="S6" i="8"/>
  <c r="S5" i="8"/>
  <c r="S4" i="8"/>
  <c r="S3" i="8"/>
  <c r="R8" i="8"/>
  <c r="R7" i="8"/>
  <c r="R6" i="8"/>
  <c r="R5" i="8"/>
  <c r="R4" i="8"/>
  <c r="R3" i="8"/>
  <c r="Q3" i="8"/>
  <c r="Q4" i="8"/>
  <c r="Q5" i="8"/>
  <c r="Q6" i="8"/>
  <c r="Q7" i="8"/>
  <c r="Q8" i="8"/>
  <c r="G36" i="8"/>
  <c r="F36" i="8"/>
  <c r="H36" i="8"/>
  <c r="G35" i="8"/>
  <c r="H35" i="8"/>
  <c r="F35" i="8"/>
  <c r="G34" i="8"/>
  <c r="F34" i="8"/>
  <c r="H34" i="8"/>
  <c r="I34" i="8"/>
  <c r="G33" i="8"/>
  <c r="H33" i="8"/>
  <c r="F33" i="8"/>
  <c r="G32" i="8"/>
  <c r="F32" i="8"/>
  <c r="H32" i="8"/>
  <c r="G31" i="8"/>
  <c r="H31" i="8"/>
  <c r="F31" i="8"/>
  <c r="I30" i="8"/>
  <c r="G30" i="8"/>
  <c r="F30" i="8"/>
  <c r="H30" i="8"/>
  <c r="G29" i="8"/>
  <c r="H29" i="8"/>
  <c r="F29" i="8"/>
  <c r="G28" i="8"/>
  <c r="F28" i="8"/>
  <c r="H28" i="8"/>
  <c r="G27" i="8"/>
  <c r="H27" i="8"/>
  <c r="F27" i="8"/>
  <c r="I26" i="8"/>
  <c r="G26" i="8"/>
  <c r="F26" i="8"/>
  <c r="H26" i="8"/>
  <c r="G25" i="8"/>
  <c r="H25" i="8"/>
  <c r="F25" i="8"/>
  <c r="G24" i="8"/>
  <c r="F24" i="8"/>
  <c r="H24" i="8"/>
  <c r="G23" i="8"/>
  <c r="H23" i="8"/>
  <c r="F23" i="8"/>
  <c r="I22" i="8"/>
  <c r="G22" i="8"/>
  <c r="F22" i="8"/>
  <c r="H22" i="8"/>
  <c r="G21" i="8"/>
  <c r="H21" i="8"/>
  <c r="F21" i="8"/>
  <c r="G20" i="8"/>
  <c r="F20" i="8"/>
  <c r="H20" i="8"/>
  <c r="G19" i="8"/>
  <c r="H19" i="8"/>
  <c r="F19" i="8"/>
  <c r="I18" i="8"/>
  <c r="G18" i="8"/>
  <c r="F18" i="8"/>
  <c r="H18" i="8"/>
  <c r="G17" i="8"/>
  <c r="H17" i="8"/>
  <c r="F17" i="8"/>
  <c r="G16" i="8"/>
  <c r="F16" i="8"/>
  <c r="H16" i="8"/>
  <c r="G15" i="8"/>
  <c r="H15" i="8"/>
  <c r="F15" i="8"/>
  <c r="G14" i="8"/>
  <c r="F14" i="8"/>
  <c r="H14" i="8"/>
  <c r="J14" i="8"/>
  <c r="K14" i="8"/>
  <c r="G13" i="8"/>
  <c r="H13" i="8"/>
  <c r="F13" i="8"/>
  <c r="G12" i="8"/>
  <c r="F12" i="8"/>
  <c r="H12" i="8"/>
  <c r="J12" i="8"/>
  <c r="K12" i="8"/>
  <c r="G11" i="8"/>
  <c r="H11" i="8"/>
  <c r="F11" i="8"/>
  <c r="G10" i="8"/>
  <c r="F10" i="8"/>
  <c r="H10" i="8"/>
  <c r="J10" i="8"/>
  <c r="K10" i="8"/>
  <c r="G9" i="8"/>
  <c r="H9" i="8"/>
  <c r="F9" i="8"/>
  <c r="G8" i="8"/>
  <c r="F8" i="8"/>
  <c r="H8" i="8"/>
  <c r="J8" i="8"/>
  <c r="K8" i="8"/>
  <c r="G7" i="8"/>
  <c r="H7" i="8"/>
  <c r="F7" i="8"/>
  <c r="J6" i="8"/>
  <c r="K6" i="8"/>
  <c r="H6" i="8"/>
  <c r="J5" i="8"/>
  <c r="K5" i="8"/>
  <c r="H5" i="8"/>
  <c r="J4" i="8"/>
  <c r="K4" i="8"/>
  <c r="H4" i="8"/>
  <c r="I3" i="8"/>
  <c r="I4" i="8"/>
  <c r="I5" i="8"/>
  <c r="I6" i="8"/>
  <c r="G3" i="8"/>
  <c r="H3" i="8"/>
  <c r="J3" i="8"/>
  <c r="K3" i="8"/>
  <c r="A18" i="8"/>
  <c r="C13" i="8"/>
  <c r="B13" i="8"/>
  <c r="C12" i="8"/>
  <c r="B12" i="8"/>
  <c r="B11" i="8"/>
  <c r="C10" i="8"/>
  <c r="B10" i="8"/>
  <c r="P8" i="8"/>
  <c r="P7" i="8"/>
  <c r="P6" i="8"/>
  <c r="P5" i="8"/>
  <c r="P4" i="8"/>
  <c r="P3" i="8"/>
  <c r="O3" i="8"/>
  <c r="S9" i="7"/>
  <c r="S8" i="7"/>
  <c r="S7" i="7"/>
  <c r="S6" i="7"/>
  <c r="S5" i="7"/>
  <c r="S4" i="7"/>
  <c r="S3" i="7"/>
  <c r="R9" i="7"/>
  <c r="R8" i="7"/>
  <c r="R7" i="7"/>
  <c r="R6" i="7"/>
  <c r="R5" i="7"/>
  <c r="R4" i="7"/>
  <c r="R3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I36" i="7"/>
  <c r="J36" i="7"/>
  <c r="K36" i="7"/>
  <c r="I35" i="7"/>
  <c r="J35" i="7"/>
  <c r="K35" i="7"/>
  <c r="I34" i="7"/>
  <c r="J34" i="7"/>
  <c r="K34" i="7"/>
  <c r="I33" i="7"/>
  <c r="J33" i="7"/>
  <c r="K33" i="7"/>
  <c r="I32" i="7"/>
  <c r="J32" i="7"/>
  <c r="K32" i="7"/>
  <c r="I31" i="7"/>
  <c r="J31" i="7"/>
  <c r="K31" i="7"/>
  <c r="I30" i="7"/>
  <c r="J30" i="7"/>
  <c r="K30" i="7"/>
  <c r="I29" i="7"/>
  <c r="J29" i="7"/>
  <c r="K29" i="7"/>
  <c r="I28" i="7"/>
  <c r="J28" i="7"/>
  <c r="K28" i="7"/>
  <c r="I27" i="7"/>
  <c r="J27" i="7"/>
  <c r="K27" i="7"/>
  <c r="I26" i="7"/>
  <c r="J26" i="7"/>
  <c r="K26" i="7"/>
  <c r="I25" i="7"/>
  <c r="J25" i="7"/>
  <c r="K25" i="7"/>
  <c r="I24" i="7"/>
  <c r="J24" i="7"/>
  <c r="K24" i="7"/>
  <c r="I23" i="7"/>
  <c r="J23" i="7"/>
  <c r="K23" i="7"/>
  <c r="I22" i="7"/>
  <c r="J22" i="7"/>
  <c r="K22" i="7"/>
  <c r="I21" i="7"/>
  <c r="J21" i="7"/>
  <c r="K21" i="7"/>
  <c r="I20" i="7"/>
  <c r="J20" i="7"/>
  <c r="K20" i="7"/>
  <c r="I19" i="7"/>
  <c r="J19" i="7"/>
  <c r="K19" i="7"/>
  <c r="I18" i="7"/>
  <c r="J18" i="7"/>
  <c r="K18" i="7"/>
  <c r="I17" i="7"/>
  <c r="J17" i="7"/>
  <c r="K17" i="7"/>
  <c r="Q58" i="7"/>
  <c r="R58" i="7"/>
  <c r="S58" i="7"/>
  <c r="Q57" i="7"/>
  <c r="R57" i="7"/>
  <c r="S57" i="7"/>
  <c r="Q56" i="7"/>
  <c r="R56" i="7"/>
  <c r="S56" i="7"/>
  <c r="Q55" i="7"/>
  <c r="R55" i="7"/>
  <c r="S55" i="7"/>
  <c r="Q54" i="7"/>
  <c r="R54" i="7"/>
  <c r="S54" i="7"/>
  <c r="Q53" i="7"/>
  <c r="R53" i="7"/>
  <c r="S53" i="7"/>
  <c r="Q52" i="7"/>
  <c r="R52" i="7"/>
  <c r="S52" i="7"/>
  <c r="Q51" i="7"/>
  <c r="R51" i="7"/>
  <c r="S51" i="7"/>
  <c r="Q50" i="7"/>
  <c r="R50" i="7"/>
  <c r="S50" i="7"/>
  <c r="Q49" i="7"/>
  <c r="R49" i="7"/>
  <c r="S49" i="7"/>
  <c r="Q48" i="7"/>
  <c r="R48" i="7"/>
  <c r="S48" i="7"/>
  <c r="Q47" i="7"/>
  <c r="R47" i="7"/>
  <c r="S47" i="7"/>
  <c r="Q46" i="7"/>
  <c r="R46" i="7"/>
  <c r="S46" i="7"/>
  <c r="Q45" i="7"/>
  <c r="R45" i="7"/>
  <c r="S45" i="7"/>
  <c r="Q44" i="7"/>
  <c r="R44" i="7"/>
  <c r="S44" i="7"/>
  <c r="Q43" i="7"/>
  <c r="R43" i="7"/>
  <c r="S43" i="7"/>
  <c r="Q42" i="7"/>
  <c r="R42" i="7"/>
  <c r="S42" i="7"/>
  <c r="Q41" i="7"/>
  <c r="R41" i="7"/>
  <c r="S41" i="7"/>
  <c r="Q40" i="7"/>
  <c r="R40" i="7"/>
  <c r="S40" i="7"/>
  <c r="Q39" i="7"/>
  <c r="R39" i="7"/>
  <c r="S39" i="7"/>
  <c r="Q38" i="7"/>
  <c r="R38" i="7"/>
  <c r="S38" i="7"/>
  <c r="Q37" i="7"/>
  <c r="R37" i="7"/>
  <c r="S37" i="7"/>
  <c r="Q36" i="7"/>
  <c r="R36" i="7"/>
  <c r="S36" i="7"/>
  <c r="Q35" i="7"/>
  <c r="R35" i="7"/>
  <c r="S35" i="7"/>
  <c r="Q34" i="7"/>
  <c r="R34" i="7"/>
  <c r="S34" i="7"/>
  <c r="Q33" i="7"/>
  <c r="R33" i="7"/>
  <c r="S33" i="7"/>
  <c r="Q32" i="7"/>
  <c r="R32" i="7"/>
  <c r="S32" i="7"/>
  <c r="Q31" i="7"/>
  <c r="R31" i="7"/>
  <c r="S31" i="7"/>
  <c r="Q30" i="7"/>
  <c r="R30" i="7"/>
  <c r="S30" i="7"/>
  <c r="Q29" i="7"/>
  <c r="R29" i="7"/>
  <c r="S29" i="7"/>
  <c r="Q28" i="7"/>
  <c r="R28" i="7"/>
  <c r="S28" i="7"/>
  <c r="Q27" i="7"/>
  <c r="R27" i="7"/>
  <c r="S27" i="7"/>
  <c r="Q26" i="7"/>
  <c r="R26" i="7"/>
  <c r="S26" i="7"/>
  <c r="Q25" i="7"/>
  <c r="R25" i="7"/>
  <c r="S25" i="7"/>
  <c r="Q24" i="7"/>
  <c r="R24" i="7"/>
  <c r="S24" i="7"/>
  <c r="Q23" i="7"/>
  <c r="R23" i="7"/>
  <c r="S23" i="7"/>
  <c r="Q22" i="7"/>
  <c r="R22" i="7"/>
  <c r="S22" i="7"/>
  <c r="Q21" i="7"/>
  <c r="R21" i="7"/>
  <c r="S21" i="7"/>
  <c r="Q20" i="7"/>
  <c r="R20" i="7"/>
  <c r="S20" i="7"/>
  <c r="Q19" i="7"/>
  <c r="R19" i="7"/>
  <c r="S19" i="7"/>
  <c r="Q18" i="7"/>
  <c r="R18" i="7"/>
  <c r="S18" i="7"/>
  <c r="Q17" i="7"/>
  <c r="R17" i="7"/>
  <c r="S17" i="7"/>
  <c r="Q16" i="7"/>
  <c r="R16" i="7"/>
  <c r="S16" i="7"/>
  <c r="Q15" i="7"/>
  <c r="R15" i="7"/>
  <c r="S15" i="7"/>
  <c r="Q14" i="7"/>
  <c r="R14" i="7"/>
  <c r="S14" i="7"/>
  <c r="Q13" i="7"/>
  <c r="R13" i="7"/>
  <c r="S13" i="7"/>
  <c r="Q12" i="7"/>
  <c r="R12" i="7"/>
  <c r="S12" i="7"/>
  <c r="Q11" i="7"/>
  <c r="R11" i="7"/>
  <c r="S11" i="7"/>
  <c r="Q3" i="7"/>
  <c r="Q4" i="7"/>
  <c r="Q5" i="7"/>
  <c r="Q6" i="7"/>
  <c r="Q7" i="7"/>
  <c r="Q8" i="7"/>
  <c r="Q9" i="7"/>
  <c r="Q10" i="7"/>
  <c r="R10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J16" i="7"/>
  <c r="B25" i="7"/>
  <c r="A18" i="7"/>
  <c r="A17" i="7"/>
  <c r="C13" i="7"/>
  <c r="O43" i="7"/>
  <c r="B13" i="7"/>
  <c r="G19" i="7"/>
  <c r="C12" i="7"/>
  <c r="B12" i="7"/>
  <c r="G3" i="7"/>
  <c r="H3" i="7"/>
  <c r="C10" i="7"/>
  <c r="C11" i="7"/>
  <c r="B10" i="7"/>
  <c r="B11" i="7"/>
  <c r="P8" i="7"/>
  <c r="P7" i="7"/>
  <c r="P6" i="7"/>
  <c r="H6" i="7"/>
  <c r="P5" i="7"/>
  <c r="H5" i="7"/>
  <c r="P4" i="7"/>
  <c r="H4" i="7"/>
  <c r="O3" i="7"/>
  <c r="P3" i="7"/>
  <c r="G22" i="5"/>
  <c r="G18" i="5"/>
  <c r="A18" i="5"/>
  <c r="A17" i="5"/>
  <c r="C13" i="5"/>
  <c r="B13" i="5"/>
  <c r="G20" i="5"/>
  <c r="G12" i="5"/>
  <c r="C12" i="5"/>
  <c r="M3" i="5"/>
  <c r="N3" i="5"/>
  <c r="B12" i="5"/>
  <c r="G3" i="5"/>
  <c r="H3" i="5"/>
  <c r="G10" i="5"/>
  <c r="C10" i="5"/>
  <c r="C11" i="5"/>
  <c r="B10" i="5"/>
  <c r="B11" i="5"/>
  <c r="N8" i="5"/>
  <c r="O8" i="5"/>
  <c r="G8" i="5"/>
  <c r="N7" i="5"/>
  <c r="O7" i="5"/>
  <c r="N6" i="5"/>
  <c r="O6" i="5"/>
  <c r="H6" i="5"/>
  <c r="I6" i="5"/>
  <c r="N5" i="5"/>
  <c r="O5" i="5"/>
  <c r="H5" i="5"/>
  <c r="I5" i="5"/>
  <c r="N4" i="5"/>
  <c r="O4" i="5"/>
  <c r="H4" i="5"/>
  <c r="I4" i="5"/>
  <c r="B3" i="4"/>
  <c r="B4" i="4"/>
  <c r="B6" i="4"/>
  <c r="M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A18" i="1"/>
  <c r="A17" i="1"/>
  <c r="I3" i="1"/>
  <c r="O3" i="10"/>
  <c r="I3" i="10"/>
  <c r="F12" i="10"/>
  <c r="G17" i="10"/>
  <c r="H17" i="10"/>
  <c r="I17" i="10"/>
  <c r="F18" i="10"/>
  <c r="F19" i="10"/>
  <c r="L19" i="10"/>
  <c r="N19" i="10"/>
  <c r="O19" i="10"/>
  <c r="F20" i="10"/>
  <c r="L20" i="10"/>
  <c r="N20" i="10"/>
  <c r="O20" i="10"/>
  <c r="F21" i="10"/>
  <c r="L21" i="10"/>
  <c r="N21" i="10"/>
  <c r="O21" i="10"/>
  <c r="F22" i="10"/>
  <c r="L22" i="10"/>
  <c r="N22" i="10"/>
  <c r="O22" i="10"/>
  <c r="L24" i="10"/>
  <c r="N24" i="10"/>
  <c r="O24" i="10"/>
  <c r="G8" i="10"/>
  <c r="H8" i="10"/>
  <c r="I8" i="10"/>
  <c r="G10" i="10"/>
  <c r="H10" i="10"/>
  <c r="I10" i="10"/>
  <c r="G12" i="10"/>
  <c r="G18" i="10"/>
  <c r="G19" i="10"/>
  <c r="G20" i="10"/>
  <c r="G21" i="10"/>
  <c r="G22" i="10"/>
  <c r="L52" i="10"/>
  <c r="N52" i="10"/>
  <c r="O52" i="10"/>
  <c r="L53" i="10"/>
  <c r="N53" i="10"/>
  <c r="O53" i="10"/>
  <c r="L54" i="10"/>
  <c r="N54" i="10"/>
  <c r="O54" i="10"/>
  <c r="L55" i="10"/>
  <c r="N55" i="10"/>
  <c r="O55" i="10"/>
  <c r="L56" i="10"/>
  <c r="N56" i="10"/>
  <c r="O56" i="10"/>
  <c r="L57" i="10"/>
  <c r="N57" i="10"/>
  <c r="O57" i="10"/>
  <c r="C25" i="7"/>
  <c r="J7" i="8"/>
  <c r="K7" i="8"/>
  <c r="I7" i="8"/>
  <c r="J9" i="8"/>
  <c r="K9" i="8"/>
  <c r="J11" i="8"/>
  <c r="K11" i="8"/>
  <c r="J13" i="8"/>
  <c r="K13" i="8"/>
  <c r="J15" i="8"/>
  <c r="K15" i="8"/>
  <c r="J17" i="8"/>
  <c r="K17" i="8"/>
  <c r="I17" i="8"/>
  <c r="I8" i="8"/>
  <c r="I9" i="8"/>
  <c r="I10" i="8"/>
  <c r="I11" i="8"/>
  <c r="I12" i="8"/>
  <c r="I13" i="8"/>
  <c r="I14" i="8"/>
  <c r="I15" i="8"/>
  <c r="I16" i="8"/>
  <c r="J16" i="8"/>
  <c r="K16" i="8"/>
  <c r="J21" i="8"/>
  <c r="K21" i="8"/>
  <c r="I21" i="8"/>
  <c r="J24" i="8"/>
  <c r="K24" i="8"/>
  <c r="I25" i="8"/>
  <c r="J25" i="8"/>
  <c r="K25" i="8"/>
  <c r="J29" i="8"/>
  <c r="K29" i="8"/>
  <c r="I29" i="8"/>
  <c r="J32" i="8"/>
  <c r="K32" i="8"/>
  <c r="I33" i="8"/>
  <c r="J33" i="8"/>
  <c r="K33" i="8"/>
  <c r="J18" i="8"/>
  <c r="K18" i="8"/>
  <c r="I19" i="8"/>
  <c r="J19" i="8"/>
  <c r="K19" i="8"/>
  <c r="I20" i="8"/>
  <c r="J20" i="8"/>
  <c r="K20" i="8"/>
  <c r="J22" i="8"/>
  <c r="K22" i="8"/>
  <c r="I23" i="8"/>
  <c r="J23" i="8"/>
  <c r="K23" i="8"/>
  <c r="I24" i="8"/>
  <c r="J26" i="8"/>
  <c r="K26" i="8"/>
  <c r="I27" i="8"/>
  <c r="J27" i="8"/>
  <c r="K27" i="8"/>
  <c r="I28" i="8"/>
  <c r="J28" i="8"/>
  <c r="K28" i="8"/>
  <c r="J30" i="8"/>
  <c r="K30" i="8"/>
  <c r="I31" i="8"/>
  <c r="J31" i="8"/>
  <c r="K31" i="8"/>
  <c r="I32" i="8"/>
  <c r="J34" i="8"/>
  <c r="K34" i="8"/>
  <c r="I35" i="8"/>
  <c r="J35" i="8"/>
  <c r="K35" i="8"/>
  <c r="I36" i="8"/>
  <c r="J36" i="8"/>
  <c r="K36" i="8"/>
  <c r="C11" i="8"/>
  <c r="L35" i="5"/>
  <c r="L32" i="5"/>
  <c r="L24" i="5"/>
  <c r="L36" i="5"/>
  <c r="L16" i="5"/>
  <c r="L10" i="5"/>
  <c r="L34" i="5"/>
  <c r="L26" i="5"/>
  <c r="L30" i="5"/>
  <c r="L19" i="5"/>
  <c r="L28" i="5"/>
  <c r="L9" i="5"/>
  <c r="L21" i="5"/>
  <c r="L14" i="5"/>
  <c r="G24" i="5"/>
  <c r="G17" i="5"/>
  <c r="S10" i="7"/>
  <c r="K16" i="7"/>
  <c r="N27" i="7"/>
  <c r="N22" i="7"/>
  <c r="N29" i="7"/>
  <c r="N18" i="7"/>
  <c r="P18" i="7"/>
  <c r="N23" i="7"/>
  <c r="O24" i="7"/>
  <c r="F17" i="7"/>
  <c r="F36" i="7"/>
  <c r="F34" i="7"/>
  <c r="F32" i="7"/>
  <c r="F30" i="7"/>
  <c r="F28" i="7"/>
  <c r="F26" i="7"/>
  <c r="F23" i="7"/>
  <c r="F22" i="7"/>
  <c r="F20" i="7"/>
  <c r="F18" i="7"/>
  <c r="F15" i="7"/>
  <c r="F13" i="7"/>
  <c r="F12" i="7"/>
  <c r="F11" i="7"/>
  <c r="F10" i="7"/>
  <c r="F9" i="7"/>
  <c r="F35" i="7"/>
  <c r="F33" i="7"/>
  <c r="F31" i="7"/>
  <c r="F29" i="7"/>
  <c r="F21" i="7"/>
  <c r="F8" i="7"/>
  <c r="F25" i="7"/>
  <c r="F24" i="7"/>
  <c r="F16" i="7"/>
  <c r="F7" i="7"/>
  <c r="F14" i="7"/>
  <c r="F19" i="7"/>
  <c r="H19" i="7"/>
  <c r="F27" i="7"/>
  <c r="G21" i="7"/>
  <c r="O36" i="7"/>
  <c r="O35" i="7"/>
  <c r="O34" i="7"/>
  <c r="O33" i="7"/>
  <c r="O32" i="7"/>
  <c r="O31" i="7"/>
  <c r="O30" i="7"/>
  <c r="O29" i="7"/>
  <c r="P29" i="7"/>
  <c r="O28" i="7"/>
  <c r="O27" i="7"/>
  <c r="P27" i="7"/>
  <c r="O26" i="7"/>
  <c r="O25" i="7"/>
  <c r="O23" i="7"/>
  <c r="P23" i="7"/>
  <c r="O16" i="7"/>
  <c r="O15" i="7"/>
  <c r="O14" i="7"/>
  <c r="O13" i="7"/>
  <c r="O11" i="7"/>
  <c r="O9" i="7"/>
  <c r="O56" i="7"/>
  <c r="O52" i="7"/>
  <c r="O48" i="7"/>
  <c r="O44" i="7"/>
  <c r="O40" i="7"/>
  <c r="O50" i="7"/>
  <c r="O57" i="7"/>
  <c r="O53" i="7"/>
  <c r="O49" i="7"/>
  <c r="O45" i="7"/>
  <c r="O41" i="7"/>
  <c r="O37" i="7"/>
  <c r="O22" i="7"/>
  <c r="P22" i="7"/>
  <c r="O20" i="7"/>
  <c r="O18" i="7"/>
  <c r="O17" i="7"/>
  <c r="O12" i="7"/>
  <c r="O10" i="7"/>
  <c r="O58" i="7"/>
  <c r="O54" i="7"/>
  <c r="O46" i="7"/>
  <c r="O42" i="7"/>
  <c r="O38" i="7"/>
  <c r="N15" i="7"/>
  <c r="P15" i="7"/>
  <c r="N58" i="7"/>
  <c r="P58" i="7"/>
  <c r="N57" i="7"/>
  <c r="P57" i="7"/>
  <c r="N56" i="7"/>
  <c r="N55" i="7"/>
  <c r="N54" i="7"/>
  <c r="P54" i="7"/>
  <c r="N53" i="7"/>
  <c r="N52" i="7"/>
  <c r="N51" i="7"/>
  <c r="N50" i="7"/>
  <c r="P50" i="7"/>
  <c r="N49" i="7"/>
  <c r="N48" i="7"/>
  <c r="P48" i="7"/>
  <c r="N47" i="7"/>
  <c r="N46" i="7"/>
  <c r="N45" i="7"/>
  <c r="N44" i="7"/>
  <c r="P44" i="7"/>
  <c r="N43" i="7"/>
  <c r="P43" i="7"/>
  <c r="N42" i="7"/>
  <c r="P42" i="7"/>
  <c r="N41" i="7"/>
  <c r="P41" i="7"/>
  <c r="N40" i="7"/>
  <c r="N39" i="7"/>
  <c r="N38" i="7"/>
  <c r="P38" i="7"/>
  <c r="N37" i="7"/>
  <c r="N17" i="7"/>
  <c r="P17" i="7"/>
  <c r="N21" i="7"/>
  <c r="N19" i="7"/>
  <c r="N16" i="7"/>
  <c r="P16" i="7"/>
  <c r="N14" i="7"/>
  <c r="N36" i="7"/>
  <c r="N34" i="7"/>
  <c r="P34" i="7"/>
  <c r="N32" i="7"/>
  <c r="N30" i="7"/>
  <c r="P30" i="7"/>
  <c r="N28" i="7"/>
  <c r="N26" i="7"/>
  <c r="P26" i="7"/>
  <c r="O21" i="7"/>
  <c r="N35" i="7"/>
  <c r="P35" i="7"/>
  <c r="N20" i="7"/>
  <c r="N33" i="7"/>
  <c r="O51" i="7"/>
  <c r="G36" i="7"/>
  <c r="G35" i="7"/>
  <c r="G34" i="7"/>
  <c r="G33" i="7"/>
  <c r="G32" i="7"/>
  <c r="G31" i="7"/>
  <c r="G30" i="7"/>
  <c r="G29" i="7"/>
  <c r="G28" i="7"/>
  <c r="G27" i="7"/>
  <c r="G26" i="7"/>
  <c r="G25" i="7"/>
  <c r="G23" i="7"/>
  <c r="G16" i="7"/>
  <c r="G15" i="7"/>
  <c r="G14" i="7"/>
  <c r="G13" i="7"/>
  <c r="G11" i="7"/>
  <c r="G9" i="7"/>
  <c r="G7" i="7"/>
  <c r="G22" i="7"/>
  <c r="G20" i="7"/>
  <c r="G18" i="7"/>
  <c r="G17" i="7"/>
  <c r="G12" i="7"/>
  <c r="G10" i="7"/>
  <c r="G24" i="7"/>
  <c r="G8" i="7"/>
  <c r="O39" i="7"/>
  <c r="O55" i="7"/>
  <c r="N9" i="7"/>
  <c r="N10" i="7"/>
  <c r="N11" i="7"/>
  <c r="P11" i="7"/>
  <c r="N12" i="7"/>
  <c r="N13" i="7"/>
  <c r="O19" i="7"/>
  <c r="N24" i="7"/>
  <c r="P24" i="7"/>
  <c r="N25" i="7"/>
  <c r="N31" i="7"/>
  <c r="P31" i="7"/>
  <c r="O47" i="7"/>
  <c r="I3" i="5"/>
  <c r="O3" i="5"/>
  <c r="F17" i="5"/>
  <c r="F35" i="5"/>
  <c r="F33" i="5"/>
  <c r="F31" i="5"/>
  <c r="F29" i="5"/>
  <c r="F27" i="5"/>
  <c r="F25" i="5"/>
  <c r="F24" i="5"/>
  <c r="F8" i="5"/>
  <c r="H8" i="5"/>
  <c r="I8" i="5"/>
  <c r="F7" i="5"/>
  <c r="F21" i="5"/>
  <c r="F19" i="5"/>
  <c r="F16" i="5"/>
  <c r="F14" i="5"/>
  <c r="F36" i="5"/>
  <c r="H36" i="5"/>
  <c r="I36" i="5"/>
  <c r="F34" i="5"/>
  <c r="F32" i="5"/>
  <c r="F30" i="5"/>
  <c r="F28" i="5"/>
  <c r="H28" i="5"/>
  <c r="I28" i="5"/>
  <c r="F26" i="5"/>
  <c r="F23" i="5"/>
  <c r="F22" i="5"/>
  <c r="H22" i="5"/>
  <c r="I22" i="5"/>
  <c r="F20" i="5"/>
  <c r="H20" i="5"/>
  <c r="I20" i="5"/>
  <c r="F18" i="5"/>
  <c r="H18" i="5"/>
  <c r="I18" i="5"/>
  <c r="F15" i="5"/>
  <c r="F13" i="5"/>
  <c r="H13" i="5"/>
  <c r="I13" i="5"/>
  <c r="F12" i="5"/>
  <c r="H12" i="5"/>
  <c r="I12" i="5"/>
  <c r="F11" i="5"/>
  <c r="F10" i="5"/>
  <c r="H10" i="5"/>
  <c r="I10" i="5"/>
  <c r="F9" i="5"/>
  <c r="L25" i="5"/>
  <c r="L27" i="5"/>
  <c r="L29" i="5"/>
  <c r="L31" i="5"/>
  <c r="L33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16" i="5"/>
  <c r="G15" i="5"/>
  <c r="G14" i="5"/>
  <c r="G13" i="5"/>
  <c r="G11" i="5"/>
  <c r="G9" i="5"/>
  <c r="G7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17" i="5"/>
  <c r="L11" i="5"/>
  <c r="L12" i="5"/>
  <c r="L13" i="5"/>
  <c r="L15" i="5"/>
  <c r="L18" i="5"/>
  <c r="G19" i="5"/>
  <c r="L20" i="5"/>
  <c r="G21" i="5"/>
  <c r="L22" i="5"/>
  <c r="L23" i="5"/>
  <c r="B12" i="1"/>
  <c r="O6" i="1"/>
  <c r="B13" i="1"/>
  <c r="N4" i="1"/>
  <c r="O4" i="1"/>
  <c r="N5" i="1"/>
  <c r="O5" i="1"/>
  <c r="N6" i="1"/>
  <c r="N7" i="1"/>
  <c r="O7" i="1"/>
  <c r="N8" i="1"/>
  <c r="O8" i="1"/>
  <c r="N9" i="1"/>
  <c r="N3" i="1"/>
  <c r="L10" i="1"/>
  <c r="N10" i="1"/>
  <c r="O10" i="1"/>
  <c r="L11" i="1"/>
  <c r="N11" i="1"/>
  <c r="O11" i="1"/>
  <c r="L12" i="1"/>
  <c r="N12" i="1"/>
  <c r="O12" i="1"/>
  <c r="L13" i="1"/>
  <c r="N13" i="1"/>
  <c r="O13" i="1"/>
  <c r="L14" i="1"/>
  <c r="N14" i="1"/>
  <c r="O14" i="1"/>
  <c r="L15" i="1"/>
  <c r="N15" i="1"/>
  <c r="O15" i="1"/>
  <c r="L16" i="1"/>
  <c r="N16" i="1"/>
  <c r="O16" i="1"/>
  <c r="L17" i="1"/>
  <c r="N17" i="1"/>
  <c r="O17" i="1"/>
  <c r="L18" i="1"/>
  <c r="N18" i="1"/>
  <c r="O18" i="1"/>
  <c r="L19" i="1"/>
  <c r="N19" i="1"/>
  <c r="O19" i="1"/>
  <c r="L20" i="1"/>
  <c r="N20" i="1"/>
  <c r="O20" i="1"/>
  <c r="L21" i="1"/>
  <c r="N21" i="1"/>
  <c r="O21" i="1"/>
  <c r="L22" i="1"/>
  <c r="N22" i="1"/>
  <c r="O22" i="1"/>
  <c r="L23" i="1"/>
  <c r="N23" i="1"/>
  <c r="O23" i="1"/>
  <c r="L24" i="1"/>
  <c r="N24" i="1"/>
  <c r="O24" i="1"/>
  <c r="L25" i="1"/>
  <c r="N25" i="1"/>
  <c r="O25" i="1"/>
  <c r="L26" i="1"/>
  <c r="N26" i="1"/>
  <c r="O26" i="1"/>
  <c r="L27" i="1"/>
  <c r="N27" i="1"/>
  <c r="O27" i="1"/>
  <c r="L28" i="1"/>
  <c r="N28" i="1"/>
  <c r="O28" i="1"/>
  <c r="L29" i="1"/>
  <c r="N29" i="1"/>
  <c r="O29" i="1"/>
  <c r="L30" i="1"/>
  <c r="N30" i="1"/>
  <c r="O30" i="1"/>
  <c r="L31" i="1"/>
  <c r="N31" i="1"/>
  <c r="O31" i="1"/>
  <c r="L32" i="1"/>
  <c r="N32" i="1"/>
  <c r="O32" i="1"/>
  <c r="L33" i="1"/>
  <c r="N33" i="1"/>
  <c r="O33" i="1"/>
  <c r="L34" i="1"/>
  <c r="N34" i="1"/>
  <c r="O34" i="1"/>
  <c r="L35" i="1"/>
  <c r="N35" i="1"/>
  <c r="O35" i="1"/>
  <c r="L36" i="1"/>
  <c r="N36" i="1"/>
  <c r="O36" i="1"/>
  <c r="L37" i="1"/>
  <c r="N37" i="1"/>
  <c r="O37" i="1"/>
  <c r="L38" i="1"/>
  <c r="N38" i="1"/>
  <c r="O38" i="1"/>
  <c r="L39" i="1"/>
  <c r="N39" i="1"/>
  <c r="O39" i="1"/>
  <c r="L40" i="1"/>
  <c r="N40" i="1"/>
  <c r="O40" i="1"/>
  <c r="L41" i="1"/>
  <c r="N41" i="1"/>
  <c r="O41" i="1"/>
  <c r="L42" i="1"/>
  <c r="N42" i="1"/>
  <c r="O42" i="1"/>
  <c r="L43" i="1"/>
  <c r="N43" i="1"/>
  <c r="O43" i="1"/>
  <c r="L44" i="1"/>
  <c r="N44" i="1"/>
  <c r="O44" i="1"/>
  <c r="L45" i="1"/>
  <c r="N45" i="1"/>
  <c r="O45" i="1"/>
  <c r="L46" i="1"/>
  <c r="N46" i="1"/>
  <c r="O46" i="1"/>
  <c r="L47" i="1"/>
  <c r="N47" i="1"/>
  <c r="O47" i="1"/>
  <c r="L48" i="1"/>
  <c r="N48" i="1"/>
  <c r="O48" i="1"/>
  <c r="L49" i="1"/>
  <c r="N49" i="1"/>
  <c r="O49" i="1"/>
  <c r="L50" i="1"/>
  <c r="N50" i="1"/>
  <c r="O50" i="1"/>
  <c r="L51" i="1"/>
  <c r="N51" i="1"/>
  <c r="O51" i="1"/>
  <c r="L52" i="1"/>
  <c r="N52" i="1"/>
  <c r="O52" i="1"/>
  <c r="L53" i="1"/>
  <c r="N53" i="1"/>
  <c r="O53" i="1"/>
  <c r="L54" i="1"/>
  <c r="N54" i="1"/>
  <c r="O54" i="1"/>
  <c r="L55" i="1"/>
  <c r="N55" i="1"/>
  <c r="O55" i="1"/>
  <c r="L56" i="1"/>
  <c r="N56" i="1"/>
  <c r="O56" i="1"/>
  <c r="L57" i="1"/>
  <c r="N57" i="1"/>
  <c r="O57" i="1"/>
  <c r="L58" i="1"/>
  <c r="N58" i="1"/>
  <c r="O58" i="1"/>
  <c r="G7" i="1"/>
  <c r="G21" i="1"/>
  <c r="H21" i="1"/>
  <c r="I21" i="1"/>
  <c r="G8" i="1"/>
  <c r="H8" i="1"/>
  <c r="I8" i="1"/>
  <c r="L9" i="1"/>
  <c r="M3" i="1"/>
  <c r="G3" i="1"/>
  <c r="O3" i="1"/>
  <c r="H7" i="1"/>
  <c r="I7" i="1"/>
  <c r="H3" i="1"/>
  <c r="H4" i="1"/>
  <c r="I4" i="1"/>
  <c r="H5" i="1"/>
  <c r="I5" i="1"/>
  <c r="H6" i="1"/>
  <c r="I6" i="1"/>
  <c r="B10" i="1"/>
  <c r="B11" i="1"/>
  <c r="F7" i="1"/>
  <c r="F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C10" i="1"/>
  <c r="C12" i="1"/>
  <c r="C13" i="1"/>
  <c r="C11" i="1"/>
  <c r="H18" i="10"/>
  <c r="I18" i="10"/>
  <c r="H22" i="10"/>
  <c r="I22" i="10"/>
  <c r="H20" i="10"/>
  <c r="I20" i="10"/>
  <c r="H12" i="10"/>
  <c r="I12" i="10"/>
  <c r="O59" i="10"/>
  <c r="C23" i="10"/>
  <c r="C24" i="10"/>
  <c r="H21" i="10"/>
  <c r="I21" i="10"/>
  <c r="H19" i="10"/>
  <c r="I19" i="10"/>
  <c r="I37" i="10"/>
  <c r="B23" i="10"/>
  <c r="B24" i="10"/>
  <c r="B25" i="10"/>
  <c r="C25" i="10"/>
  <c r="K37" i="8"/>
  <c r="B23" i="8"/>
  <c r="B24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17" i="8"/>
  <c r="N36" i="8"/>
  <c r="N35" i="8"/>
  <c r="N34" i="8"/>
  <c r="N33" i="8"/>
  <c r="N32" i="8"/>
  <c r="N31" i="8"/>
  <c r="N30" i="8"/>
  <c r="N29" i="8"/>
  <c r="N28" i="8"/>
  <c r="N27" i="8"/>
  <c r="N26" i="8"/>
  <c r="N25" i="8"/>
  <c r="N23" i="8"/>
  <c r="N16" i="8"/>
  <c r="N15" i="8"/>
  <c r="N14" i="8"/>
  <c r="N13" i="8"/>
  <c r="N11" i="8"/>
  <c r="N9" i="8"/>
  <c r="N22" i="8"/>
  <c r="N20" i="8"/>
  <c r="N18" i="8"/>
  <c r="N12" i="8"/>
  <c r="N21" i="8"/>
  <c r="N19" i="8"/>
  <c r="N24" i="8"/>
  <c r="N10" i="8"/>
  <c r="H17" i="5"/>
  <c r="I17" i="5"/>
  <c r="H11" i="5"/>
  <c r="I11" i="5"/>
  <c r="H26" i="5"/>
  <c r="I26" i="5"/>
  <c r="H34" i="5"/>
  <c r="I34" i="5"/>
  <c r="H19" i="5"/>
  <c r="I19" i="5"/>
  <c r="H24" i="5"/>
  <c r="I24" i="5"/>
  <c r="H31" i="5"/>
  <c r="I31" i="5"/>
  <c r="P20" i="7"/>
  <c r="P28" i="7"/>
  <c r="P36" i="7"/>
  <c r="P10" i="7"/>
  <c r="P52" i="7"/>
  <c r="P13" i="7"/>
  <c r="P9" i="7"/>
  <c r="P32" i="7"/>
  <c r="P37" i="7"/>
  <c r="P45" i="7"/>
  <c r="P53" i="7"/>
  <c r="P49" i="7"/>
  <c r="H31" i="7"/>
  <c r="H10" i="7"/>
  <c r="H15" i="7"/>
  <c r="H23" i="7"/>
  <c r="H32" i="7"/>
  <c r="P12" i="7"/>
  <c r="P33" i="7"/>
  <c r="P19" i="7"/>
  <c r="P46" i="7"/>
  <c r="H7" i="7"/>
  <c r="H8" i="7"/>
  <c r="H33" i="7"/>
  <c r="H11" i="7"/>
  <c r="H18" i="7"/>
  <c r="H26" i="7"/>
  <c r="H34" i="7"/>
  <c r="H25" i="7"/>
  <c r="P21" i="7"/>
  <c r="P39" i="7"/>
  <c r="P47" i="7"/>
  <c r="P51" i="7"/>
  <c r="P55" i="7"/>
  <c r="H27" i="7"/>
  <c r="H16" i="7"/>
  <c r="H21" i="7"/>
  <c r="H35" i="7"/>
  <c r="H12" i="7"/>
  <c r="H20" i="7"/>
  <c r="H28" i="7"/>
  <c r="H36" i="7"/>
  <c r="H14" i="7"/>
  <c r="P25" i="7"/>
  <c r="P14" i="7"/>
  <c r="P40" i="7"/>
  <c r="P56" i="7"/>
  <c r="H24" i="7"/>
  <c r="H29" i="7"/>
  <c r="H9" i="7"/>
  <c r="H13" i="7"/>
  <c r="H22" i="7"/>
  <c r="H30" i="7"/>
  <c r="H17" i="7"/>
  <c r="H21" i="5"/>
  <c r="I21" i="5"/>
  <c r="H25" i="5"/>
  <c r="I25" i="5"/>
  <c r="H33" i="5"/>
  <c r="I33" i="5"/>
  <c r="H9" i="5"/>
  <c r="I9" i="5"/>
  <c r="H30" i="5"/>
  <c r="I30" i="5"/>
  <c r="H14" i="5"/>
  <c r="I14" i="5"/>
  <c r="H7" i="5"/>
  <c r="H27" i="5"/>
  <c r="I27" i="5"/>
  <c r="H35" i="5"/>
  <c r="I35" i="5"/>
  <c r="H15" i="5"/>
  <c r="I15" i="5"/>
  <c r="H23" i="5"/>
  <c r="I23" i="5"/>
  <c r="H32" i="5"/>
  <c r="I32" i="5"/>
  <c r="H16" i="5"/>
  <c r="I16" i="5"/>
  <c r="H29" i="5"/>
  <c r="I29" i="5"/>
  <c r="O9" i="1"/>
  <c r="O59" i="1"/>
  <c r="C23" i="1"/>
  <c r="C24" i="1"/>
  <c r="I37" i="1"/>
  <c r="B23" i="1"/>
  <c r="B24" i="1"/>
  <c r="S59" i="7"/>
  <c r="C23" i="7"/>
  <c r="C24" i="7"/>
  <c r="K37" i="7"/>
  <c r="B23" i="7"/>
  <c r="B24" i="7"/>
  <c r="I7" i="5"/>
  <c r="I37" i="5"/>
  <c r="B23" i="5"/>
  <c r="B24" i="5"/>
  <c r="B24" i="12"/>
  <c r="R11" i="17"/>
  <c r="R135" i="13"/>
  <c r="S135" i="13"/>
  <c r="R133" i="13"/>
  <c r="S133" i="13"/>
  <c r="R131" i="13"/>
  <c r="S131" i="13"/>
  <c r="R129" i="13"/>
  <c r="S129" i="13"/>
  <c r="R127" i="13"/>
  <c r="S127" i="13"/>
  <c r="R125" i="13"/>
  <c r="S125" i="13"/>
  <c r="R123" i="13"/>
  <c r="S123" i="13"/>
  <c r="R121" i="13"/>
  <c r="S121" i="13"/>
  <c r="R119" i="13"/>
  <c r="S119" i="13"/>
  <c r="R102" i="13"/>
  <c r="S102" i="13"/>
  <c r="R100" i="13"/>
  <c r="S100" i="13"/>
  <c r="R98" i="13"/>
  <c r="S98" i="13"/>
  <c r="R96" i="13"/>
  <c r="S96" i="13"/>
  <c r="R94" i="13"/>
  <c r="S94" i="13"/>
  <c r="R92" i="13"/>
  <c r="S92" i="13"/>
  <c r="R90" i="13"/>
  <c r="S90" i="13"/>
  <c r="R88" i="13"/>
  <c r="S88" i="13"/>
  <c r="R86" i="13"/>
  <c r="S86" i="13"/>
  <c r="R84" i="13"/>
  <c r="S84" i="13"/>
  <c r="R82" i="13"/>
  <c r="S82" i="13"/>
  <c r="R80" i="13"/>
  <c r="S80" i="13"/>
  <c r="R78" i="13"/>
  <c r="S78" i="13"/>
  <c r="R57" i="13"/>
  <c r="S57" i="13"/>
  <c r="R55" i="13"/>
  <c r="S55" i="13"/>
  <c r="R53" i="13"/>
  <c r="S53" i="13"/>
  <c r="R51" i="13"/>
  <c r="S51" i="13"/>
  <c r="R49" i="13"/>
  <c r="S49" i="13"/>
  <c r="R47" i="13"/>
  <c r="S47" i="13"/>
  <c r="R45" i="13"/>
  <c r="S45" i="13"/>
  <c r="R43" i="13"/>
  <c r="S43" i="13"/>
  <c r="R41" i="13"/>
  <c r="S41" i="13"/>
  <c r="R39" i="13"/>
  <c r="S39" i="13"/>
  <c r="R35" i="13"/>
  <c r="S35" i="13"/>
  <c r="R34" i="13"/>
  <c r="S34" i="13"/>
  <c r="R29" i="13"/>
  <c r="S29" i="13"/>
  <c r="R24" i="13"/>
  <c r="S24" i="13"/>
  <c r="R19" i="13"/>
  <c r="S19" i="13"/>
  <c r="R18" i="13"/>
  <c r="S18" i="13"/>
  <c r="R13" i="13"/>
  <c r="S13" i="13"/>
  <c r="R14" i="13"/>
  <c r="S14" i="13"/>
  <c r="R9" i="13"/>
  <c r="S9" i="13"/>
  <c r="R9" i="18"/>
  <c r="S9" i="18"/>
  <c r="R167" i="13"/>
  <c r="S167" i="13"/>
  <c r="R165" i="13"/>
  <c r="S165" i="13"/>
  <c r="R163" i="13"/>
  <c r="S163" i="13"/>
  <c r="R161" i="13"/>
  <c r="S161" i="13"/>
  <c r="R159" i="13"/>
  <c r="S159" i="13"/>
  <c r="R157" i="13"/>
  <c r="S157" i="13"/>
  <c r="R155" i="13"/>
  <c r="S155" i="13"/>
  <c r="R153" i="13"/>
  <c r="S153" i="13"/>
  <c r="R151" i="13"/>
  <c r="S151" i="13"/>
  <c r="R149" i="13"/>
  <c r="S149" i="13"/>
  <c r="R147" i="13"/>
  <c r="S147" i="13"/>
  <c r="R145" i="13"/>
  <c r="S145" i="13"/>
  <c r="R143" i="13"/>
  <c r="S143" i="13"/>
  <c r="R141" i="13"/>
  <c r="S141" i="13"/>
  <c r="R139" i="13"/>
  <c r="S139" i="13"/>
  <c r="R136" i="13"/>
  <c r="S136" i="13"/>
  <c r="R113" i="13"/>
  <c r="S113" i="13"/>
  <c r="R111" i="13"/>
  <c r="S111" i="13"/>
  <c r="R109" i="13"/>
  <c r="S109" i="13"/>
  <c r="R107" i="13"/>
  <c r="S107" i="13"/>
  <c r="R105" i="13"/>
  <c r="S105" i="13"/>
  <c r="R103" i="13"/>
  <c r="S103" i="13"/>
  <c r="R76" i="13"/>
  <c r="S76" i="13"/>
  <c r="R73" i="13"/>
  <c r="S73" i="13"/>
  <c r="R71" i="13"/>
  <c r="S71" i="13"/>
  <c r="R69" i="13"/>
  <c r="S69" i="13"/>
  <c r="R67" i="13"/>
  <c r="S67" i="13"/>
  <c r="R66" i="13"/>
  <c r="S66" i="13"/>
  <c r="R37" i="13"/>
  <c r="S37" i="13"/>
  <c r="R36" i="13"/>
  <c r="S36" i="13"/>
  <c r="R31" i="13"/>
  <c r="S31" i="13"/>
  <c r="R30" i="13"/>
  <c r="S30" i="13"/>
  <c r="R25" i="13"/>
  <c r="S25" i="13"/>
  <c r="R20" i="13"/>
  <c r="S20" i="13"/>
  <c r="R137" i="13"/>
  <c r="S137" i="13"/>
  <c r="R134" i="13"/>
  <c r="S134" i="13"/>
  <c r="R132" i="13"/>
  <c r="S132" i="13"/>
  <c r="R130" i="13"/>
  <c r="S130" i="13"/>
  <c r="R128" i="13"/>
  <c r="S128" i="13"/>
  <c r="R126" i="13"/>
  <c r="S126" i="13"/>
  <c r="R124" i="13"/>
  <c r="S124" i="13"/>
  <c r="R122" i="13"/>
  <c r="S122" i="13"/>
  <c r="R120" i="13"/>
  <c r="S120" i="13"/>
  <c r="R101" i="13"/>
  <c r="S101" i="13"/>
  <c r="R99" i="13"/>
  <c r="S99" i="13"/>
  <c r="R97" i="13"/>
  <c r="S97" i="13"/>
  <c r="R95" i="13"/>
  <c r="S95" i="13"/>
  <c r="R93" i="13"/>
  <c r="S93" i="13"/>
  <c r="R91" i="13"/>
  <c r="S91" i="13"/>
  <c r="R89" i="13"/>
  <c r="S89" i="13"/>
  <c r="R87" i="13"/>
  <c r="S87" i="13"/>
  <c r="R85" i="13"/>
  <c r="S85" i="13"/>
  <c r="R83" i="13"/>
  <c r="S83" i="13"/>
  <c r="R81" i="13"/>
  <c r="S81" i="13"/>
  <c r="R79" i="13"/>
  <c r="S79" i="13"/>
  <c r="R77" i="13"/>
  <c r="S77" i="13"/>
  <c r="R74" i="13"/>
  <c r="S74" i="13"/>
  <c r="R64" i="13"/>
  <c r="S64" i="13"/>
  <c r="R58" i="13"/>
  <c r="S58" i="13"/>
  <c r="R56" i="13"/>
  <c r="S56" i="13"/>
  <c r="R54" i="13"/>
  <c r="S54" i="13"/>
  <c r="R52" i="13"/>
  <c r="S52" i="13"/>
  <c r="R50" i="13"/>
  <c r="S50" i="13"/>
  <c r="R48" i="13"/>
  <c r="S48" i="13"/>
  <c r="R46" i="13"/>
  <c r="S46" i="13"/>
  <c r="R44" i="13"/>
  <c r="S44" i="13"/>
  <c r="R42" i="13"/>
  <c r="S42" i="13"/>
  <c r="R40" i="13"/>
  <c r="S40" i="13"/>
  <c r="R38" i="13"/>
  <c r="S38" i="13"/>
  <c r="R32" i="13"/>
  <c r="S32" i="13"/>
  <c r="R27" i="13"/>
  <c r="S27" i="13"/>
  <c r="R26" i="13"/>
  <c r="S26" i="13"/>
  <c r="R21" i="13"/>
  <c r="S21" i="13"/>
  <c r="R16" i="13"/>
  <c r="S16" i="13"/>
  <c r="R11" i="13"/>
  <c r="S11" i="13"/>
  <c r="R10" i="13"/>
  <c r="S10" i="13"/>
  <c r="R17" i="17"/>
  <c r="R9" i="17"/>
  <c r="R168" i="13"/>
  <c r="S168" i="13"/>
  <c r="V168" i="13"/>
  <c r="R166" i="13"/>
  <c r="S166" i="13"/>
  <c r="R164" i="13"/>
  <c r="S164" i="13"/>
  <c r="R162" i="13"/>
  <c r="S162" i="13"/>
  <c r="R160" i="13"/>
  <c r="S160" i="13"/>
  <c r="R158" i="13"/>
  <c r="S158" i="13"/>
  <c r="R156" i="13"/>
  <c r="S156" i="13"/>
  <c r="R154" i="13"/>
  <c r="S154" i="13"/>
  <c r="R152" i="13"/>
  <c r="S152" i="13"/>
  <c r="R150" i="13"/>
  <c r="S150" i="13"/>
  <c r="R148" i="13"/>
  <c r="S148" i="13"/>
  <c r="R146" i="13"/>
  <c r="S146" i="13"/>
  <c r="R144" i="13"/>
  <c r="S144" i="13"/>
  <c r="R142" i="13"/>
  <c r="S142" i="13"/>
  <c r="R140" i="13"/>
  <c r="S140" i="13"/>
  <c r="R138" i="13"/>
  <c r="S138" i="13"/>
  <c r="R112" i="13"/>
  <c r="S112" i="13"/>
  <c r="R110" i="13"/>
  <c r="S110" i="13"/>
  <c r="R108" i="13"/>
  <c r="S108" i="13"/>
  <c r="R106" i="13"/>
  <c r="S106" i="13"/>
  <c r="R104" i="13"/>
  <c r="S104" i="13"/>
  <c r="R75" i="13"/>
  <c r="S75" i="13"/>
  <c r="R72" i="13"/>
  <c r="S72" i="13"/>
  <c r="R70" i="13"/>
  <c r="S70" i="13"/>
  <c r="R68" i="13"/>
  <c r="S68" i="13"/>
  <c r="R65" i="13"/>
  <c r="S65" i="13"/>
  <c r="R33" i="13"/>
  <c r="S33" i="13"/>
  <c r="R28" i="13"/>
  <c r="S28" i="13"/>
  <c r="R23" i="13"/>
  <c r="S23" i="13"/>
  <c r="R22" i="13"/>
  <c r="S22" i="13"/>
  <c r="R17" i="13"/>
  <c r="S17" i="13"/>
  <c r="R12" i="13"/>
  <c r="S12" i="13"/>
  <c r="R15" i="13"/>
  <c r="S15" i="13"/>
  <c r="R39" i="18"/>
  <c r="S39" i="18"/>
  <c r="R15" i="19"/>
  <c r="S15" i="19"/>
  <c r="R20" i="19"/>
  <c r="S20" i="19"/>
  <c r="R11" i="19"/>
  <c r="S11" i="19"/>
  <c r="R16" i="19"/>
  <c r="S16" i="19"/>
  <c r="R163" i="19"/>
  <c r="S163" i="19"/>
  <c r="R155" i="19"/>
  <c r="S155" i="19"/>
  <c r="R164" i="19"/>
  <c r="S164" i="19"/>
  <c r="R156" i="19"/>
  <c r="S156" i="19"/>
  <c r="R148" i="19"/>
  <c r="S148" i="19"/>
  <c r="R140" i="19"/>
  <c r="S140" i="19"/>
  <c r="R149" i="19"/>
  <c r="S149" i="19"/>
  <c r="R141" i="19"/>
  <c r="S141" i="19"/>
  <c r="R132" i="19"/>
  <c r="S132" i="19"/>
  <c r="R127" i="19"/>
  <c r="S127" i="19"/>
  <c r="R119" i="19"/>
  <c r="S119" i="19"/>
  <c r="R109" i="19"/>
  <c r="S109" i="19"/>
  <c r="R124" i="19"/>
  <c r="S124" i="19"/>
  <c r="R106" i="19"/>
  <c r="S106" i="19"/>
  <c r="R103" i="19"/>
  <c r="S103" i="19"/>
  <c r="R95" i="19"/>
  <c r="S95" i="19"/>
  <c r="R87" i="19"/>
  <c r="S87" i="19"/>
  <c r="R79" i="19"/>
  <c r="S79" i="19"/>
  <c r="R112" i="19"/>
  <c r="S112" i="19"/>
  <c r="R96" i="19"/>
  <c r="S96" i="19"/>
  <c r="R88" i="19"/>
  <c r="S88" i="19"/>
  <c r="R80" i="19"/>
  <c r="S80" i="19"/>
  <c r="R72" i="19"/>
  <c r="S72" i="19"/>
  <c r="R53" i="19"/>
  <c r="S53" i="19"/>
  <c r="R45" i="19"/>
  <c r="S45" i="19"/>
  <c r="R38" i="19"/>
  <c r="S38" i="19"/>
  <c r="R71" i="19"/>
  <c r="S71" i="19"/>
  <c r="R64" i="19"/>
  <c r="S64" i="19"/>
  <c r="R52" i="19"/>
  <c r="S52" i="19"/>
  <c r="R44" i="19"/>
  <c r="S44" i="19"/>
  <c r="R32" i="19"/>
  <c r="S32" i="19"/>
  <c r="R24" i="19"/>
  <c r="S24" i="19"/>
  <c r="R29" i="19"/>
  <c r="S29" i="19"/>
  <c r="R43" i="18"/>
  <c r="S43" i="18"/>
  <c r="R10" i="18"/>
  <c r="S10" i="18"/>
  <c r="R19" i="18"/>
  <c r="S19" i="18"/>
  <c r="R163" i="18"/>
  <c r="S163" i="18"/>
  <c r="R155" i="18"/>
  <c r="S155" i="18"/>
  <c r="R154" i="18"/>
  <c r="S154" i="18"/>
  <c r="R150" i="18"/>
  <c r="S150" i="18"/>
  <c r="R142" i="18"/>
  <c r="S142" i="18"/>
  <c r="R136" i="18"/>
  <c r="S136" i="18"/>
  <c r="R149" i="18"/>
  <c r="S149" i="18"/>
  <c r="R128" i="18"/>
  <c r="S128" i="18"/>
  <c r="R120" i="18"/>
  <c r="S120" i="18"/>
  <c r="R112" i="18"/>
  <c r="S112" i="18"/>
  <c r="R145" i="18"/>
  <c r="S145" i="18"/>
  <c r="R129" i="18"/>
  <c r="S129" i="18"/>
  <c r="R123" i="18"/>
  <c r="S123" i="18"/>
  <c r="R105" i="18"/>
  <c r="S105" i="18"/>
  <c r="R111" i="18"/>
  <c r="S111" i="18"/>
  <c r="R99" i="18"/>
  <c r="S99" i="18"/>
  <c r="R89" i="18"/>
  <c r="S89" i="18"/>
  <c r="R81" i="18"/>
  <c r="S81" i="18"/>
  <c r="R96" i="18"/>
  <c r="S96" i="18"/>
  <c r="R88" i="18"/>
  <c r="S88" i="18"/>
  <c r="R69" i="18"/>
  <c r="S69" i="18"/>
  <c r="R51" i="18"/>
  <c r="S51" i="18"/>
  <c r="R76" i="18"/>
  <c r="S76" i="18"/>
  <c r="R70" i="18"/>
  <c r="S70" i="18"/>
  <c r="R58" i="18"/>
  <c r="S58" i="18"/>
  <c r="V58" i="18"/>
  <c r="R50" i="18"/>
  <c r="S50" i="18"/>
  <c r="R67" i="18"/>
  <c r="S67" i="18"/>
  <c r="R65" i="18"/>
  <c r="S65" i="18"/>
  <c r="R38" i="18"/>
  <c r="S38" i="18"/>
  <c r="R26" i="18"/>
  <c r="S26" i="18"/>
  <c r="R21" i="18"/>
  <c r="S21" i="18"/>
  <c r="R15" i="17"/>
  <c r="R19" i="19"/>
  <c r="S19" i="19"/>
  <c r="R17" i="19"/>
  <c r="S17" i="19"/>
  <c r="R22" i="19"/>
  <c r="S22" i="19"/>
  <c r="R12" i="19"/>
  <c r="S12" i="19"/>
  <c r="R168" i="19"/>
  <c r="S168" i="19"/>
  <c r="V168" i="19"/>
  <c r="R161" i="19"/>
  <c r="S161" i="19"/>
  <c r="R153" i="19"/>
  <c r="S153" i="19"/>
  <c r="R162" i="19"/>
  <c r="S162" i="19"/>
  <c r="R154" i="19"/>
  <c r="S154" i="19"/>
  <c r="R146" i="19"/>
  <c r="S146" i="19"/>
  <c r="R138" i="19"/>
  <c r="S138" i="19"/>
  <c r="R147" i="19"/>
  <c r="S147" i="19"/>
  <c r="R139" i="19"/>
  <c r="S139" i="19"/>
  <c r="R130" i="19"/>
  <c r="S130" i="19"/>
  <c r="R125" i="19"/>
  <c r="S125" i="19"/>
  <c r="R133" i="19"/>
  <c r="S133" i="19"/>
  <c r="R107" i="19"/>
  <c r="S107" i="19"/>
  <c r="R122" i="19"/>
  <c r="S122" i="19"/>
  <c r="R102" i="19"/>
  <c r="S102" i="19"/>
  <c r="R101" i="19"/>
  <c r="S101" i="19"/>
  <c r="R93" i="19"/>
  <c r="S93" i="19"/>
  <c r="R85" i="19"/>
  <c r="S85" i="19"/>
  <c r="R77" i="19"/>
  <c r="S77" i="19"/>
  <c r="R108" i="19"/>
  <c r="S108" i="19"/>
  <c r="R94" i="19"/>
  <c r="S94" i="19"/>
  <c r="R86" i="19"/>
  <c r="S86" i="19"/>
  <c r="R78" i="19"/>
  <c r="S78" i="19"/>
  <c r="R69" i="19"/>
  <c r="S69" i="19"/>
  <c r="R51" i="19"/>
  <c r="S51" i="19"/>
  <c r="R43" i="19"/>
  <c r="S43" i="19"/>
  <c r="R37" i="19"/>
  <c r="S37" i="19"/>
  <c r="R70" i="19"/>
  <c r="S70" i="19"/>
  <c r="R58" i="19"/>
  <c r="S58" i="19"/>
  <c r="V58" i="19"/>
  <c r="R50" i="19"/>
  <c r="S50" i="19"/>
  <c r="R42" i="19"/>
  <c r="S42" i="19"/>
  <c r="R67" i="19"/>
  <c r="S67" i="19"/>
  <c r="R18" i="19"/>
  <c r="S18" i="19"/>
  <c r="R25" i="19"/>
  <c r="S25" i="19"/>
  <c r="R31" i="19"/>
  <c r="S31" i="19"/>
  <c r="R14" i="18"/>
  <c r="S14" i="18"/>
  <c r="R28" i="18"/>
  <c r="S28" i="18"/>
  <c r="R22" i="18"/>
  <c r="S22" i="18"/>
  <c r="R11" i="18"/>
  <c r="S11" i="18"/>
  <c r="R13" i="18"/>
  <c r="S13" i="18"/>
  <c r="R32" i="18"/>
  <c r="S32" i="18"/>
  <c r="R168" i="18"/>
  <c r="S168" i="18"/>
  <c r="V168" i="18"/>
  <c r="R161" i="18"/>
  <c r="S161" i="18"/>
  <c r="R153" i="18"/>
  <c r="S153" i="18"/>
  <c r="R134" i="18"/>
  <c r="S134" i="18"/>
  <c r="R148" i="18"/>
  <c r="S148" i="18"/>
  <c r="R140" i="18"/>
  <c r="S140" i="18"/>
  <c r="R166" i="18"/>
  <c r="S166" i="18"/>
  <c r="R141" i="18"/>
  <c r="S141" i="18"/>
  <c r="R126" i="18"/>
  <c r="S126" i="18"/>
  <c r="R156" i="18"/>
  <c r="S156" i="18"/>
  <c r="R110" i="18"/>
  <c r="S110" i="18"/>
  <c r="R135" i="18"/>
  <c r="S135" i="18"/>
  <c r="R127" i="18"/>
  <c r="S127" i="18"/>
  <c r="R119" i="18"/>
  <c r="S119" i="18"/>
  <c r="R104" i="18"/>
  <c r="S104" i="18"/>
  <c r="R107" i="18"/>
  <c r="S107" i="18"/>
  <c r="R95" i="18"/>
  <c r="S95" i="18"/>
  <c r="R87" i="18"/>
  <c r="S87" i="18"/>
  <c r="R103" i="18"/>
  <c r="S103" i="18"/>
  <c r="R94" i="18"/>
  <c r="S94" i="18"/>
  <c r="R86" i="18"/>
  <c r="S86" i="18"/>
  <c r="R57" i="18"/>
  <c r="S57" i="18"/>
  <c r="R49" i="18"/>
  <c r="S49" i="18"/>
  <c r="R74" i="18"/>
  <c r="S74" i="18"/>
  <c r="R68" i="18"/>
  <c r="S68" i="18"/>
  <c r="R56" i="18"/>
  <c r="S56" i="18"/>
  <c r="R48" i="18"/>
  <c r="S48" i="18"/>
  <c r="R45" i="18"/>
  <c r="S45" i="18"/>
  <c r="R44" i="18"/>
  <c r="S44" i="18"/>
  <c r="R31" i="18"/>
  <c r="S31" i="18"/>
  <c r="R25" i="18"/>
  <c r="S25" i="18"/>
  <c r="R77" i="18"/>
  <c r="S77" i="18"/>
  <c r="R20" i="18"/>
  <c r="S20" i="18"/>
  <c r="R41" i="18"/>
  <c r="S41" i="18"/>
  <c r="R13" i="17"/>
  <c r="R25" i="17"/>
  <c r="R28" i="19"/>
  <c r="S28" i="19"/>
  <c r="R9" i="19"/>
  <c r="S9" i="19"/>
  <c r="R13" i="19"/>
  <c r="S13" i="19"/>
  <c r="R167" i="19"/>
  <c r="S167" i="19"/>
  <c r="R159" i="19"/>
  <c r="S159" i="19"/>
  <c r="R151" i="19"/>
  <c r="S151" i="19"/>
  <c r="R160" i="19"/>
  <c r="S160" i="19"/>
  <c r="R152" i="19"/>
  <c r="S152" i="19"/>
  <c r="R144" i="19"/>
  <c r="S144" i="19"/>
  <c r="R137" i="19"/>
  <c r="S137" i="19"/>
  <c r="R145" i="19"/>
  <c r="S145" i="19"/>
  <c r="R135" i="19"/>
  <c r="S135" i="19"/>
  <c r="R131" i="19"/>
  <c r="S131" i="19"/>
  <c r="R123" i="19"/>
  <c r="S123" i="19"/>
  <c r="R113" i="19"/>
  <c r="S113" i="19"/>
  <c r="R128" i="19"/>
  <c r="S128" i="19"/>
  <c r="R120" i="19"/>
  <c r="S120" i="19"/>
  <c r="R105" i="19"/>
  <c r="S105" i="19"/>
  <c r="R99" i="19"/>
  <c r="S99" i="19"/>
  <c r="R91" i="19"/>
  <c r="S91" i="19"/>
  <c r="R83" i="19"/>
  <c r="S83" i="19"/>
  <c r="R75" i="19"/>
  <c r="S75" i="19"/>
  <c r="R100" i="19"/>
  <c r="S100" i="19"/>
  <c r="R92" i="19"/>
  <c r="S92" i="19"/>
  <c r="R84" i="19"/>
  <c r="S84" i="19"/>
  <c r="R76" i="19"/>
  <c r="S76" i="19"/>
  <c r="R57" i="19"/>
  <c r="S57" i="19"/>
  <c r="R49" i="19"/>
  <c r="S49" i="19"/>
  <c r="R41" i="19"/>
  <c r="S41" i="19"/>
  <c r="R35" i="19"/>
  <c r="S35" i="19"/>
  <c r="R68" i="19"/>
  <c r="S68" i="19"/>
  <c r="R56" i="19"/>
  <c r="S56" i="19"/>
  <c r="R48" i="19"/>
  <c r="S48" i="19"/>
  <c r="R40" i="19"/>
  <c r="S40" i="19"/>
  <c r="R65" i="19"/>
  <c r="S65" i="19"/>
  <c r="R21" i="19"/>
  <c r="S21" i="19"/>
  <c r="R26" i="19"/>
  <c r="S26" i="19"/>
  <c r="R16" i="18"/>
  <c r="S16" i="18"/>
  <c r="R34" i="18"/>
  <c r="S34" i="18"/>
  <c r="R75" i="18"/>
  <c r="S75" i="18"/>
  <c r="R30" i="18"/>
  <c r="S30" i="18"/>
  <c r="R12" i="18"/>
  <c r="S12" i="18"/>
  <c r="R15" i="18"/>
  <c r="S15" i="18"/>
  <c r="R167" i="18"/>
  <c r="S167" i="18"/>
  <c r="R159" i="18"/>
  <c r="S159" i="18"/>
  <c r="R151" i="18"/>
  <c r="S151" i="18"/>
  <c r="R160" i="18"/>
  <c r="S160" i="18"/>
  <c r="R146" i="18"/>
  <c r="S146" i="18"/>
  <c r="R138" i="18"/>
  <c r="S138" i="18"/>
  <c r="R158" i="18"/>
  <c r="S158" i="18"/>
  <c r="R132" i="18"/>
  <c r="S132" i="18"/>
  <c r="R124" i="18"/>
  <c r="S124" i="18"/>
  <c r="R147" i="18"/>
  <c r="S147" i="18"/>
  <c r="R108" i="18"/>
  <c r="S108" i="18"/>
  <c r="R133" i="18"/>
  <c r="S133" i="18"/>
  <c r="R125" i="18"/>
  <c r="S125" i="18"/>
  <c r="R113" i="18"/>
  <c r="S113" i="18"/>
  <c r="R121" i="18"/>
  <c r="S121" i="18"/>
  <c r="R100" i="18"/>
  <c r="S100" i="18"/>
  <c r="R93" i="18"/>
  <c r="S93" i="18"/>
  <c r="R85" i="18"/>
  <c r="S85" i="18"/>
  <c r="R102" i="18"/>
  <c r="S102" i="18"/>
  <c r="R92" i="18"/>
  <c r="S92" i="18"/>
  <c r="R84" i="18"/>
  <c r="S84" i="18"/>
  <c r="R55" i="18"/>
  <c r="S55" i="18"/>
  <c r="R80" i="18"/>
  <c r="S80" i="18"/>
  <c r="R72" i="18"/>
  <c r="S72" i="18"/>
  <c r="R66" i="18"/>
  <c r="S66" i="18"/>
  <c r="R54" i="18"/>
  <c r="S54" i="18"/>
  <c r="R46" i="18"/>
  <c r="S46" i="18"/>
  <c r="R36" i="18"/>
  <c r="S36" i="18"/>
  <c r="R42" i="18"/>
  <c r="S42" i="18"/>
  <c r="R29" i="18"/>
  <c r="S29" i="18"/>
  <c r="R24" i="18"/>
  <c r="S24" i="18"/>
  <c r="R47" i="18"/>
  <c r="S47" i="18"/>
  <c r="R33" i="18"/>
  <c r="S33" i="18"/>
  <c r="R10" i="17"/>
  <c r="R30" i="19"/>
  <c r="S30" i="19"/>
  <c r="R10" i="19"/>
  <c r="S10" i="19"/>
  <c r="R14" i="19"/>
  <c r="S14" i="19"/>
  <c r="R165" i="19"/>
  <c r="S165" i="19"/>
  <c r="R157" i="19"/>
  <c r="S157" i="19"/>
  <c r="R166" i="19"/>
  <c r="S166" i="19"/>
  <c r="R158" i="19"/>
  <c r="S158" i="19"/>
  <c r="R150" i="19"/>
  <c r="S150" i="19"/>
  <c r="R142" i="19"/>
  <c r="S142" i="19"/>
  <c r="R136" i="19"/>
  <c r="S136" i="19"/>
  <c r="R143" i="19"/>
  <c r="S143" i="19"/>
  <c r="R134" i="19"/>
  <c r="S134" i="19"/>
  <c r="R129" i="19"/>
  <c r="S129" i="19"/>
  <c r="R121" i="19"/>
  <c r="S121" i="19"/>
  <c r="R111" i="19"/>
  <c r="S111" i="19"/>
  <c r="R126" i="19"/>
  <c r="S126" i="19"/>
  <c r="R110" i="19"/>
  <c r="S110" i="19"/>
  <c r="R104" i="19"/>
  <c r="S104" i="19"/>
  <c r="R97" i="19"/>
  <c r="S97" i="19"/>
  <c r="R89" i="19"/>
  <c r="S89" i="19"/>
  <c r="R81" i="19"/>
  <c r="S81" i="19"/>
  <c r="R73" i="19"/>
  <c r="S73" i="19"/>
  <c r="R98" i="19"/>
  <c r="S98" i="19"/>
  <c r="R90" i="19"/>
  <c r="S90" i="19"/>
  <c r="R82" i="19"/>
  <c r="S82" i="19"/>
  <c r="R74" i="19"/>
  <c r="S74" i="19"/>
  <c r="R55" i="19"/>
  <c r="S55" i="19"/>
  <c r="R47" i="19"/>
  <c r="S47" i="19"/>
  <c r="R39" i="19"/>
  <c r="S39" i="19"/>
  <c r="R33" i="19"/>
  <c r="S33" i="19"/>
  <c r="R66" i="19"/>
  <c r="S66" i="19"/>
  <c r="R54" i="19"/>
  <c r="S54" i="19"/>
  <c r="R46" i="19"/>
  <c r="S46" i="19"/>
  <c r="R34" i="19"/>
  <c r="S34" i="19"/>
  <c r="R36" i="19"/>
  <c r="S36" i="19"/>
  <c r="R23" i="19"/>
  <c r="S23" i="19"/>
  <c r="R27" i="19"/>
  <c r="S27" i="19"/>
  <c r="R37" i="18"/>
  <c r="S37" i="18"/>
  <c r="R18" i="18"/>
  <c r="S18" i="18"/>
  <c r="R35" i="18"/>
  <c r="S35" i="18"/>
  <c r="R17" i="18"/>
  <c r="S17" i="18"/>
  <c r="R165" i="18"/>
  <c r="S165" i="18"/>
  <c r="R157" i="18"/>
  <c r="S157" i="18"/>
  <c r="R162" i="18"/>
  <c r="S162" i="18"/>
  <c r="R152" i="18"/>
  <c r="S152" i="18"/>
  <c r="R144" i="18"/>
  <c r="S144" i="18"/>
  <c r="R137" i="18"/>
  <c r="S137" i="18"/>
  <c r="R164" i="18"/>
  <c r="S164" i="18"/>
  <c r="R130" i="18"/>
  <c r="S130" i="18"/>
  <c r="R122" i="18"/>
  <c r="S122" i="18"/>
  <c r="R139" i="18"/>
  <c r="S139" i="18"/>
  <c r="R106" i="18"/>
  <c r="S106" i="18"/>
  <c r="R131" i="18"/>
  <c r="S131" i="18"/>
  <c r="R143" i="18"/>
  <c r="S143" i="18"/>
  <c r="R109" i="18"/>
  <c r="S109" i="18"/>
  <c r="R101" i="18"/>
  <c r="S101" i="18"/>
  <c r="R98" i="18"/>
  <c r="S98" i="18"/>
  <c r="R91" i="18"/>
  <c r="S91" i="18"/>
  <c r="R83" i="18"/>
  <c r="S83" i="18"/>
  <c r="R97" i="18"/>
  <c r="S97" i="18"/>
  <c r="R90" i="18"/>
  <c r="S90" i="18"/>
  <c r="R82" i="18"/>
  <c r="S82" i="18"/>
  <c r="R53" i="18"/>
  <c r="S53" i="18"/>
  <c r="R78" i="18"/>
  <c r="S78" i="18"/>
  <c r="R71" i="18"/>
  <c r="S71" i="18"/>
  <c r="R64" i="18"/>
  <c r="S64" i="18"/>
  <c r="R52" i="18"/>
  <c r="S52" i="18"/>
  <c r="R73" i="18"/>
  <c r="S73" i="18"/>
  <c r="R79" i="18"/>
  <c r="S79" i="18"/>
  <c r="R40" i="18"/>
  <c r="S40" i="18"/>
  <c r="R27" i="18"/>
  <c r="S27" i="18"/>
  <c r="R23" i="18"/>
  <c r="S23" i="18"/>
  <c r="R12" i="17"/>
  <c r="R165" i="17"/>
  <c r="R157" i="17"/>
  <c r="R154" i="17"/>
  <c r="R146" i="17"/>
  <c r="R138" i="17"/>
  <c r="R133" i="17"/>
  <c r="R156" i="17"/>
  <c r="R137" i="17"/>
  <c r="R125" i="17"/>
  <c r="R135" i="17"/>
  <c r="R111" i="17"/>
  <c r="S111" i="17"/>
  <c r="V111" i="17"/>
  <c r="R104" i="17"/>
  <c r="R130" i="17"/>
  <c r="R124" i="17"/>
  <c r="R106" i="17"/>
  <c r="R94" i="17"/>
  <c r="R95" i="17"/>
  <c r="R102" i="17"/>
  <c r="R81" i="17"/>
  <c r="S81" i="17"/>
  <c r="V81" i="17"/>
  <c r="R73" i="17"/>
  <c r="R97" i="17"/>
  <c r="S97" i="17"/>
  <c r="V97" i="17"/>
  <c r="R84" i="17"/>
  <c r="R53" i="17"/>
  <c r="R37" i="17"/>
  <c r="R80" i="17"/>
  <c r="R66" i="17"/>
  <c r="R31" i="17"/>
  <c r="R163" i="17"/>
  <c r="R155" i="17"/>
  <c r="R152" i="17"/>
  <c r="R144" i="17"/>
  <c r="R166" i="17"/>
  <c r="R164" i="17"/>
  <c r="R150" i="17"/>
  <c r="R131" i="17"/>
  <c r="R123" i="17"/>
  <c r="R132" i="17"/>
  <c r="R109" i="17"/>
  <c r="R103" i="17"/>
  <c r="R120" i="17"/>
  <c r="R112" i="17"/>
  <c r="R100" i="17"/>
  <c r="R92" i="17"/>
  <c r="S92" i="17"/>
  <c r="V92" i="17"/>
  <c r="R91" i="17"/>
  <c r="R87" i="17"/>
  <c r="R79" i="17"/>
  <c r="R67" i="17"/>
  <c r="R93" i="17"/>
  <c r="R76" i="17"/>
  <c r="R51" i="17"/>
  <c r="R43" i="17"/>
  <c r="R35" i="17"/>
  <c r="R68" i="17"/>
  <c r="R72" i="17"/>
  <c r="R58" i="17"/>
  <c r="R50" i="17"/>
  <c r="R42" i="17"/>
  <c r="S42" i="17"/>
  <c r="V42" i="17"/>
  <c r="R29" i="17"/>
  <c r="R20" i="17"/>
  <c r="R33" i="17"/>
  <c r="R14" i="17"/>
  <c r="R168" i="17"/>
  <c r="R161" i="17"/>
  <c r="R153" i="17"/>
  <c r="R160" i="17"/>
  <c r="R142" i="17"/>
  <c r="R158" i="17"/>
  <c r="R143" i="17"/>
  <c r="R149" i="17"/>
  <c r="R129" i="17"/>
  <c r="R147" i="17"/>
  <c r="R122" i="17"/>
  <c r="R107" i="17"/>
  <c r="R101" i="17"/>
  <c r="R134" i="17"/>
  <c r="R110" i="17"/>
  <c r="S110" i="17"/>
  <c r="V110" i="17"/>
  <c r="R98" i="17"/>
  <c r="R90" i="17"/>
  <c r="R126" i="17"/>
  <c r="R85" i="17"/>
  <c r="R77" i="17"/>
  <c r="R65" i="17"/>
  <c r="R89" i="17"/>
  <c r="R57" i="17"/>
  <c r="R49" i="17"/>
  <c r="R41" i="17"/>
  <c r="R34" i="17"/>
  <c r="R36" i="17"/>
  <c r="R71" i="17"/>
  <c r="R56" i="17"/>
  <c r="R48" i="17"/>
  <c r="R40" i="17"/>
  <c r="R22" i="17"/>
  <c r="R16" i="17"/>
  <c r="S16" i="17"/>
  <c r="V16" i="17"/>
  <c r="R18" i="17"/>
  <c r="R26" i="17"/>
  <c r="R74" i="17"/>
  <c r="R52" i="17"/>
  <c r="R86" i="17"/>
  <c r="R19" i="17"/>
  <c r="S19" i="17"/>
  <c r="V19" i="17"/>
  <c r="R23" i="17"/>
  <c r="R78" i="17"/>
  <c r="R167" i="17"/>
  <c r="R159" i="17"/>
  <c r="R162" i="17"/>
  <c r="R148" i="17"/>
  <c r="S148" i="17"/>
  <c r="V148" i="17"/>
  <c r="R140" i="17"/>
  <c r="R151" i="17"/>
  <c r="S151" i="17"/>
  <c r="V151" i="17"/>
  <c r="R136" i="17"/>
  <c r="R141" i="17"/>
  <c r="R127" i="17"/>
  <c r="R139" i="17"/>
  <c r="R113" i="17"/>
  <c r="R105" i="17"/>
  <c r="R99" i="17"/>
  <c r="R128" i="17"/>
  <c r="R108" i="17"/>
  <c r="R96" i="17"/>
  <c r="R121" i="17"/>
  <c r="R119" i="17"/>
  <c r="R83" i="17"/>
  <c r="R75" i="17"/>
  <c r="R145" i="17"/>
  <c r="R69" i="17"/>
  <c r="R55" i="17"/>
  <c r="R47" i="17"/>
  <c r="S47" i="17"/>
  <c r="V47" i="17"/>
  <c r="R39" i="17"/>
  <c r="R82" i="17"/>
  <c r="R88" i="17"/>
  <c r="R70" i="17"/>
  <c r="R54" i="17"/>
  <c r="R46" i="17"/>
  <c r="R38" i="17"/>
  <c r="R28" i="17"/>
  <c r="R64" i="17"/>
  <c r="R21" i="17"/>
  <c r="S21" i="17"/>
  <c r="V21" i="17"/>
  <c r="R27" i="17"/>
  <c r="R45" i="17"/>
  <c r="S45" i="17"/>
  <c r="V45" i="17"/>
  <c r="R44" i="17"/>
  <c r="R30" i="17"/>
  <c r="R32" i="17"/>
  <c r="R24" i="17"/>
  <c r="O55" i="8"/>
  <c r="P55" i="8"/>
  <c r="O51" i="8"/>
  <c r="P51" i="8"/>
  <c r="O47" i="8"/>
  <c r="P47" i="8"/>
  <c r="O43" i="8"/>
  <c r="P43" i="8"/>
  <c r="O39" i="8"/>
  <c r="P39" i="8"/>
  <c r="O17" i="8"/>
  <c r="P17" i="8"/>
  <c r="O12" i="8"/>
  <c r="P12" i="8"/>
  <c r="M55" i="5"/>
  <c r="N55" i="5"/>
  <c r="O55" i="5"/>
  <c r="M47" i="5"/>
  <c r="N47" i="5"/>
  <c r="O47" i="5"/>
  <c r="M39" i="5"/>
  <c r="N39" i="5"/>
  <c r="O39" i="5"/>
  <c r="M31" i="5"/>
  <c r="N31" i="5"/>
  <c r="O31" i="5"/>
  <c r="M23" i="5"/>
  <c r="N23" i="5"/>
  <c r="O23" i="5"/>
  <c r="M15" i="5"/>
  <c r="N15" i="5"/>
  <c r="O15" i="5"/>
  <c r="O21" i="8"/>
  <c r="P21" i="8"/>
  <c r="O13" i="8"/>
  <c r="P13" i="8"/>
  <c r="O23" i="8"/>
  <c r="P23" i="8"/>
  <c r="O28" i="8"/>
  <c r="P28" i="8"/>
  <c r="O32" i="8"/>
  <c r="P32" i="8"/>
  <c r="M24" i="5"/>
  <c r="N24" i="5"/>
  <c r="O24" i="5"/>
  <c r="M40" i="5"/>
  <c r="N40" i="5"/>
  <c r="O40" i="5"/>
  <c r="M56" i="5"/>
  <c r="N56" i="5"/>
  <c r="O56" i="5"/>
  <c r="M17" i="5"/>
  <c r="N17" i="5"/>
  <c r="O17" i="5"/>
  <c r="M25" i="5"/>
  <c r="N25" i="5"/>
  <c r="O25" i="5"/>
  <c r="M41" i="5"/>
  <c r="N41" i="5"/>
  <c r="O41" i="5"/>
  <c r="O58" i="8"/>
  <c r="P58" i="8"/>
  <c r="O54" i="8"/>
  <c r="P54" i="8"/>
  <c r="O50" i="8"/>
  <c r="P50" i="8"/>
  <c r="O46" i="8"/>
  <c r="P46" i="8"/>
  <c r="O42" i="8"/>
  <c r="P42" i="8"/>
  <c r="O38" i="8"/>
  <c r="P38" i="8"/>
  <c r="M54" i="5"/>
  <c r="N54" i="5"/>
  <c r="O54" i="5"/>
  <c r="M46" i="5"/>
  <c r="N46" i="5"/>
  <c r="O46" i="5"/>
  <c r="M38" i="5"/>
  <c r="N38" i="5"/>
  <c r="O38" i="5"/>
  <c r="M30" i="5"/>
  <c r="N30" i="5"/>
  <c r="O30" i="5"/>
  <c r="M22" i="5"/>
  <c r="N22" i="5"/>
  <c r="O22" i="5"/>
  <c r="M14" i="5"/>
  <c r="N14" i="5"/>
  <c r="O14" i="5"/>
  <c r="M57" i="5"/>
  <c r="N57" i="5"/>
  <c r="O57" i="5"/>
  <c r="O18" i="8"/>
  <c r="P18" i="8"/>
  <c r="O22" i="8"/>
  <c r="P22" i="8"/>
  <c r="O14" i="8"/>
  <c r="P14" i="8"/>
  <c r="O25" i="8"/>
  <c r="P25" i="8"/>
  <c r="O29" i="8"/>
  <c r="P29" i="8"/>
  <c r="O33" i="8"/>
  <c r="P33" i="8"/>
  <c r="M12" i="5"/>
  <c r="N12" i="5"/>
  <c r="O12" i="5"/>
  <c r="M28" i="5"/>
  <c r="N28" i="5"/>
  <c r="O28" i="5"/>
  <c r="M44" i="5"/>
  <c r="N44" i="5"/>
  <c r="O44" i="5"/>
  <c r="M21" i="5"/>
  <c r="N21" i="5"/>
  <c r="O21" i="5"/>
  <c r="M29" i="5"/>
  <c r="N29" i="5"/>
  <c r="O29" i="5"/>
  <c r="M45" i="5"/>
  <c r="N45" i="5"/>
  <c r="O45" i="5"/>
  <c r="B7" i="4"/>
  <c r="O57" i="8"/>
  <c r="P57" i="8"/>
  <c r="O53" i="8"/>
  <c r="P53" i="8"/>
  <c r="O49" i="8"/>
  <c r="P49" i="8"/>
  <c r="O45" i="8"/>
  <c r="P45" i="8"/>
  <c r="O41" i="8"/>
  <c r="P41" i="8"/>
  <c r="O37" i="8"/>
  <c r="P37" i="8"/>
  <c r="O36" i="8"/>
  <c r="P36" i="8"/>
  <c r="O9" i="8"/>
  <c r="P9" i="8"/>
  <c r="M51" i="5"/>
  <c r="N51" i="5"/>
  <c r="O51" i="5"/>
  <c r="M43" i="5"/>
  <c r="N43" i="5"/>
  <c r="O43" i="5"/>
  <c r="M35" i="5"/>
  <c r="N35" i="5"/>
  <c r="O35" i="5"/>
  <c r="M27" i="5"/>
  <c r="N27" i="5"/>
  <c r="O27" i="5"/>
  <c r="M19" i="5"/>
  <c r="N19" i="5"/>
  <c r="O19" i="5"/>
  <c r="M11" i="5"/>
  <c r="N11" i="5"/>
  <c r="O11" i="5"/>
  <c r="O19" i="8"/>
  <c r="P19" i="8"/>
  <c r="O24" i="8"/>
  <c r="P24" i="8"/>
  <c r="O15" i="8"/>
  <c r="P15" i="8"/>
  <c r="O26" i="8"/>
  <c r="P26" i="8"/>
  <c r="O30" i="8"/>
  <c r="P30" i="8"/>
  <c r="O34" i="8"/>
  <c r="P34" i="8"/>
  <c r="M16" i="5"/>
  <c r="N16" i="5"/>
  <c r="O16" i="5"/>
  <c r="M32" i="5"/>
  <c r="N32" i="5"/>
  <c r="O32" i="5"/>
  <c r="M48" i="5"/>
  <c r="N48" i="5"/>
  <c r="O48" i="5"/>
  <c r="M9" i="5"/>
  <c r="N9" i="5"/>
  <c r="M33" i="5"/>
  <c r="N33" i="5"/>
  <c r="O33" i="5"/>
  <c r="M49" i="5"/>
  <c r="N49" i="5"/>
  <c r="O49" i="5"/>
  <c r="O56" i="8"/>
  <c r="P56" i="8"/>
  <c r="O52" i="8"/>
  <c r="P52" i="8"/>
  <c r="O48" i="8"/>
  <c r="P48" i="8"/>
  <c r="O44" i="8"/>
  <c r="P44" i="8"/>
  <c r="O40" i="8"/>
  <c r="P40" i="8"/>
  <c r="M58" i="5"/>
  <c r="N58" i="5"/>
  <c r="O58" i="5"/>
  <c r="M50" i="5"/>
  <c r="N50" i="5"/>
  <c r="O50" i="5"/>
  <c r="M42" i="5"/>
  <c r="N42" i="5"/>
  <c r="O42" i="5"/>
  <c r="M34" i="5"/>
  <c r="N34" i="5"/>
  <c r="O34" i="5"/>
  <c r="M26" i="5"/>
  <c r="N26" i="5"/>
  <c r="O26" i="5"/>
  <c r="M18" i="5"/>
  <c r="N18" i="5"/>
  <c r="O18" i="5"/>
  <c r="M10" i="5"/>
  <c r="N10" i="5"/>
  <c r="O10" i="5"/>
  <c r="O10" i="8"/>
  <c r="P10" i="8"/>
  <c r="O20" i="8"/>
  <c r="P20" i="8"/>
  <c r="O11" i="8"/>
  <c r="P11" i="8"/>
  <c r="O16" i="8"/>
  <c r="P16" i="8"/>
  <c r="O27" i="8"/>
  <c r="P27" i="8"/>
  <c r="O31" i="8"/>
  <c r="P31" i="8"/>
  <c r="O35" i="8"/>
  <c r="P35" i="8"/>
  <c r="M20" i="5"/>
  <c r="N20" i="5"/>
  <c r="O20" i="5"/>
  <c r="M36" i="5"/>
  <c r="N36" i="5"/>
  <c r="O36" i="5"/>
  <c r="M52" i="5"/>
  <c r="N52" i="5"/>
  <c r="O52" i="5"/>
  <c r="M13" i="5"/>
  <c r="N13" i="5"/>
  <c r="O13" i="5"/>
  <c r="M37" i="5"/>
  <c r="N37" i="5"/>
  <c r="O37" i="5"/>
  <c r="M53" i="5"/>
  <c r="N53" i="5"/>
  <c r="O53" i="5"/>
  <c r="M105" i="19"/>
  <c r="N105" i="19"/>
  <c r="M138" i="19"/>
  <c r="N138" i="19"/>
  <c r="M72" i="19"/>
  <c r="N72" i="19"/>
  <c r="T60" i="19"/>
  <c r="U6" i="19"/>
  <c r="V6" i="19"/>
  <c r="J106" i="19"/>
  <c r="I107" i="19"/>
  <c r="U115" i="19"/>
  <c r="V115" i="19"/>
  <c r="I7" i="19"/>
  <c r="J6" i="19"/>
  <c r="K6" i="19"/>
  <c r="L6" i="19"/>
  <c r="W6" i="19"/>
  <c r="X5" i="19"/>
  <c r="Y5" i="19"/>
  <c r="V113" i="19"/>
  <c r="K106" i="19"/>
  <c r="L106" i="19"/>
  <c r="M39" i="19"/>
  <c r="N39" i="19"/>
  <c r="I139" i="19"/>
  <c r="I40" i="19"/>
  <c r="I73" i="19"/>
  <c r="L5" i="18"/>
  <c r="M5" i="18"/>
  <c r="N5" i="18"/>
  <c r="J140" i="18"/>
  <c r="I141" i="18"/>
  <c r="M71" i="18"/>
  <c r="N71" i="18"/>
  <c r="L72" i="18"/>
  <c r="M138" i="18"/>
  <c r="N138" i="18"/>
  <c r="V113" i="18"/>
  <c r="M39" i="18"/>
  <c r="N39" i="18"/>
  <c r="M105" i="18"/>
  <c r="N105" i="18"/>
  <c r="T115" i="18"/>
  <c r="I7" i="18"/>
  <c r="T60" i="18"/>
  <c r="K139" i="18"/>
  <c r="L139" i="18"/>
  <c r="K140" i="18"/>
  <c r="I40" i="18"/>
  <c r="I106" i="18"/>
  <c r="U5" i="18"/>
  <c r="V5" i="18"/>
  <c r="W5" i="18"/>
  <c r="I74" i="18"/>
  <c r="J73" i="18"/>
  <c r="K73" i="18"/>
  <c r="I139" i="17"/>
  <c r="I7" i="17"/>
  <c r="M138" i="17"/>
  <c r="N138" i="17"/>
  <c r="M72" i="17"/>
  <c r="N72" i="17"/>
  <c r="M6" i="17"/>
  <c r="M39" i="17"/>
  <c r="N39" i="17"/>
  <c r="J139" i="17"/>
  <c r="K139" i="17"/>
  <c r="L139" i="17"/>
  <c r="M139" i="17"/>
  <c r="U60" i="17"/>
  <c r="V60" i="17"/>
  <c r="J106" i="17"/>
  <c r="K106" i="17"/>
  <c r="L106" i="17"/>
  <c r="I107" i="17"/>
  <c r="I40" i="17"/>
  <c r="M105" i="17"/>
  <c r="N105" i="17"/>
  <c r="I73" i="17"/>
  <c r="N5" i="17"/>
  <c r="J7" i="17"/>
  <c r="I8" i="17"/>
  <c r="T115" i="17"/>
  <c r="U5" i="17"/>
  <c r="V5" i="17"/>
  <c r="W5" i="17"/>
  <c r="M6" i="13"/>
  <c r="N6" i="13"/>
  <c r="M104" i="13"/>
  <c r="N104" i="13"/>
  <c r="L105" i="13"/>
  <c r="J105" i="13"/>
  <c r="K105" i="13"/>
  <c r="I106" i="13"/>
  <c r="U5" i="13"/>
  <c r="V5" i="13"/>
  <c r="I7" i="13"/>
  <c r="M71" i="13"/>
  <c r="N71" i="13"/>
  <c r="L72" i="13"/>
  <c r="I73" i="13"/>
  <c r="U62" i="13"/>
  <c r="V62" i="13"/>
  <c r="T116" i="13"/>
  <c r="X4" i="13"/>
  <c r="Y4" i="13"/>
  <c r="W5" i="13"/>
  <c r="J39" i="13"/>
  <c r="K39" i="13"/>
  <c r="L39" i="13"/>
  <c r="J139" i="13"/>
  <c r="K139" i="13"/>
  <c r="L139" i="13"/>
  <c r="I140" i="13"/>
  <c r="M138" i="13"/>
  <c r="N138" i="13"/>
  <c r="N5" i="12"/>
  <c r="N137" i="12"/>
  <c r="N104" i="12"/>
  <c r="N38" i="12"/>
  <c r="N72" i="12"/>
  <c r="N136" i="12"/>
  <c r="N4" i="12"/>
  <c r="N37" i="12"/>
  <c r="Q11" i="8"/>
  <c r="R11" i="8"/>
  <c r="S11" i="8"/>
  <c r="Q31" i="8"/>
  <c r="R31" i="8"/>
  <c r="S31" i="8"/>
  <c r="Q20" i="8"/>
  <c r="R20" i="8"/>
  <c r="S20" i="8"/>
  <c r="Q52" i="8"/>
  <c r="R52" i="8"/>
  <c r="S52" i="8"/>
  <c r="Q30" i="8"/>
  <c r="R30" i="8"/>
  <c r="S30" i="8"/>
  <c r="Q19" i="8"/>
  <c r="R19" i="8"/>
  <c r="S19" i="8"/>
  <c r="Q36" i="8"/>
  <c r="R36" i="8"/>
  <c r="S36" i="8"/>
  <c r="Q49" i="8"/>
  <c r="R49" i="8"/>
  <c r="S49" i="8"/>
  <c r="Q29" i="8"/>
  <c r="R29" i="8"/>
  <c r="S29" i="8"/>
  <c r="Q18" i="8"/>
  <c r="R18" i="8"/>
  <c r="S18" i="8"/>
  <c r="Q38" i="8"/>
  <c r="R38" i="8"/>
  <c r="S38" i="8"/>
  <c r="Q54" i="8"/>
  <c r="R54" i="8"/>
  <c r="S54" i="8"/>
  <c r="Q28" i="8"/>
  <c r="R28" i="8"/>
  <c r="S28" i="8"/>
  <c r="Q39" i="8"/>
  <c r="R39" i="8"/>
  <c r="S39" i="8"/>
  <c r="Q55" i="8"/>
  <c r="R55" i="8"/>
  <c r="S55" i="8"/>
  <c r="Q27" i="8"/>
  <c r="R27" i="8"/>
  <c r="S27" i="8"/>
  <c r="Q40" i="8"/>
  <c r="R40" i="8"/>
  <c r="S40" i="8"/>
  <c r="Q26" i="8"/>
  <c r="R26" i="8"/>
  <c r="S26" i="8"/>
  <c r="Q37" i="8"/>
  <c r="R37" i="8"/>
  <c r="S37" i="8"/>
  <c r="Q53" i="8"/>
  <c r="R53" i="8"/>
  <c r="S53" i="8"/>
  <c r="Q25" i="8"/>
  <c r="R25" i="8"/>
  <c r="S25" i="8"/>
  <c r="Q42" i="8"/>
  <c r="R42" i="8"/>
  <c r="S42" i="8"/>
  <c r="Q58" i="8"/>
  <c r="R58" i="8"/>
  <c r="S58" i="8"/>
  <c r="Q23" i="8"/>
  <c r="R23" i="8"/>
  <c r="S23" i="8"/>
  <c r="Q43" i="8"/>
  <c r="R43" i="8"/>
  <c r="S43" i="8"/>
  <c r="Q56" i="8"/>
  <c r="R56" i="8"/>
  <c r="S56" i="8"/>
  <c r="Q16" i="8"/>
  <c r="R16" i="8"/>
  <c r="S16" i="8"/>
  <c r="Q44" i="8"/>
  <c r="R44" i="8"/>
  <c r="S44" i="8"/>
  <c r="Q15" i="8"/>
  <c r="R15" i="8"/>
  <c r="S15" i="8"/>
  <c r="Q41" i="8"/>
  <c r="R41" i="8"/>
  <c r="S41" i="8"/>
  <c r="Q57" i="8"/>
  <c r="R57" i="8"/>
  <c r="S57" i="8"/>
  <c r="Q14" i="8"/>
  <c r="R14" i="8"/>
  <c r="S14" i="8"/>
  <c r="Q46" i="8"/>
  <c r="R46" i="8"/>
  <c r="S46" i="8"/>
  <c r="Q13" i="8"/>
  <c r="R13" i="8"/>
  <c r="S13" i="8"/>
  <c r="R12" i="8"/>
  <c r="S12" i="8"/>
  <c r="Q12" i="8"/>
  <c r="Q47" i="8"/>
  <c r="R47" i="8"/>
  <c r="S47" i="8"/>
  <c r="V113" i="13"/>
  <c r="V58" i="13"/>
  <c r="Q35" i="8"/>
  <c r="R35" i="8"/>
  <c r="S35" i="8"/>
  <c r="Q48" i="8"/>
  <c r="R48" i="8"/>
  <c r="S48" i="8"/>
  <c r="C25" i="5"/>
  <c r="O9" i="5"/>
  <c r="O59" i="5"/>
  <c r="C23" i="5"/>
  <c r="C24" i="5"/>
  <c r="Q34" i="8"/>
  <c r="R34" i="8"/>
  <c r="S34" i="8"/>
  <c r="Q24" i="8"/>
  <c r="R24" i="8"/>
  <c r="S24" i="8"/>
  <c r="Q9" i="8"/>
  <c r="Q10" i="8"/>
  <c r="R10" i="8"/>
  <c r="S10" i="8"/>
  <c r="R9" i="8"/>
  <c r="Q45" i="8"/>
  <c r="R45" i="8"/>
  <c r="S45" i="8"/>
  <c r="Q33" i="8"/>
  <c r="R33" i="8"/>
  <c r="S33" i="8"/>
  <c r="Q22" i="8"/>
  <c r="R22" i="8"/>
  <c r="S22" i="8"/>
  <c r="Q50" i="8"/>
  <c r="R50" i="8"/>
  <c r="S50" i="8"/>
  <c r="Q32" i="8"/>
  <c r="R32" i="8"/>
  <c r="S32" i="8"/>
  <c r="Q21" i="8"/>
  <c r="R21" i="8"/>
  <c r="S21" i="8"/>
  <c r="Q17" i="8"/>
  <c r="R17" i="8"/>
  <c r="S17" i="8"/>
  <c r="Q51" i="8"/>
  <c r="R51" i="8"/>
  <c r="S51" i="8"/>
  <c r="M106" i="19"/>
  <c r="N106" i="19"/>
  <c r="J139" i="19"/>
  <c r="K139" i="19"/>
  <c r="L139" i="19"/>
  <c r="I140" i="19"/>
  <c r="M6" i="19"/>
  <c r="T7" i="19"/>
  <c r="J107" i="19"/>
  <c r="K107" i="19"/>
  <c r="L107" i="19"/>
  <c r="J73" i="19"/>
  <c r="K73" i="19"/>
  <c r="L73" i="19"/>
  <c r="J7" i="19"/>
  <c r="K7" i="19"/>
  <c r="L7" i="19"/>
  <c r="U60" i="19"/>
  <c r="V60" i="19"/>
  <c r="T61" i="19"/>
  <c r="J40" i="19"/>
  <c r="K40" i="19"/>
  <c r="L40" i="19"/>
  <c r="I41" i="19"/>
  <c r="X6" i="19"/>
  <c r="T116" i="19"/>
  <c r="L6" i="18"/>
  <c r="M6" i="18"/>
  <c r="N6" i="18"/>
  <c r="L140" i="18"/>
  <c r="M139" i="18"/>
  <c r="N139" i="18"/>
  <c r="X5" i="18"/>
  <c r="I41" i="18"/>
  <c r="J40" i="18"/>
  <c r="K40" i="18"/>
  <c r="L40" i="18"/>
  <c r="T6" i="18"/>
  <c r="J7" i="18"/>
  <c r="K7" i="18"/>
  <c r="U115" i="18"/>
  <c r="V115" i="18"/>
  <c r="J74" i="18"/>
  <c r="K74" i="18"/>
  <c r="U60" i="18"/>
  <c r="V60" i="18"/>
  <c r="I107" i="18"/>
  <c r="J106" i="18"/>
  <c r="K106" i="18"/>
  <c r="L106" i="18"/>
  <c r="M72" i="18"/>
  <c r="N72" i="18"/>
  <c r="L73" i="18"/>
  <c r="I142" i="18"/>
  <c r="J141" i="18"/>
  <c r="K141" i="18"/>
  <c r="K7" i="17"/>
  <c r="L7" i="17"/>
  <c r="J8" i="17"/>
  <c r="K8" i="17"/>
  <c r="N139" i="17"/>
  <c r="M106" i="17"/>
  <c r="N106" i="17"/>
  <c r="I140" i="17"/>
  <c r="X5" i="17"/>
  <c r="T6" i="17"/>
  <c r="J40" i="17"/>
  <c r="K40" i="17"/>
  <c r="L40" i="17"/>
  <c r="I41" i="17"/>
  <c r="T61" i="17"/>
  <c r="N6" i="17"/>
  <c r="J107" i="17"/>
  <c r="K107" i="17"/>
  <c r="U115" i="17"/>
  <c r="V115" i="17"/>
  <c r="T116" i="17"/>
  <c r="J73" i="17"/>
  <c r="L73" i="17"/>
  <c r="M139" i="13"/>
  <c r="N139" i="13"/>
  <c r="M39" i="13"/>
  <c r="N39" i="13"/>
  <c r="U116" i="13"/>
  <c r="V116" i="13"/>
  <c r="I74" i="13"/>
  <c r="J73" i="13"/>
  <c r="K73" i="13"/>
  <c r="L73" i="13"/>
  <c r="M105" i="13"/>
  <c r="N105" i="13"/>
  <c r="I40" i="13"/>
  <c r="T63" i="13"/>
  <c r="M72" i="13"/>
  <c r="N72" i="13"/>
  <c r="T6" i="13"/>
  <c r="J106" i="13"/>
  <c r="K106" i="13"/>
  <c r="L106" i="13"/>
  <c r="J140" i="13"/>
  <c r="K140" i="13"/>
  <c r="L140" i="13"/>
  <c r="X5" i="13"/>
  <c r="Y5" i="13"/>
  <c r="J7" i="13"/>
  <c r="K7" i="13"/>
  <c r="L7" i="13"/>
  <c r="N138" i="12"/>
  <c r="N73" i="12"/>
  <c r="N39" i="12"/>
  <c r="N105" i="12"/>
  <c r="Y5" i="12"/>
  <c r="Y4" i="12"/>
  <c r="C25" i="8"/>
  <c r="S9" i="8"/>
  <c r="S59" i="8"/>
  <c r="C23" i="8"/>
  <c r="C24" i="8"/>
  <c r="M7" i="19"/>
  <c r="N7" i="19"/>
  <c r="M107" i="19"/>
  <c r="N107" i="19"/>
  <c r="M40" i="19"/>
  <c r="N40" i="19"/>
  <c r="J140" i="19"/>
  <c r="K140" i="19"/>
  <c r="L140" i="19"/>
  <c r="U61" i="19"/>
  <c r="V61" i="19"/>
  <c r="T62" i="19"/>
  <c r="M73" i="19"/>
  <c r="N73" i="19"/>
  <c r="U7" i="19"/>
  <c r="V7" i="19"/>
  <c r="W7" i="19"/>
  <c r="T8" i="19"/>
  <c r="M139" i="19"/>
  <c r="N139" i="19"/>
  <c r="I42" i="19"/>
  <c r="J41" i="19"/>
  <c r="K41" i="19"/>
  <c r="L41" i="19"/>
  <c r="U116" i="19"/>
  <c r="V116" i="19"/>
  <c r="T117" i="19"/>
  <c r="I8" i="19"/>
  <c r="I108" i="19"/>
  <c r="Y6" i="19"/>
  <c r="I74" i="19"/>
  <c r="N6" i="19"/>
  <c r="L7" i="18"/>
  <c r="M7" i="18"/>
  <c r="T116" i="18"/>
  <c r="U116" i="18"/>
  <c r="V116" i="18"/>
  <c r="T61" i="18"/>
  <c r="U61" i="18"/>
  <c r="V61" i="18"/>
  <c r="J142" i="18"/>
  <c r="K142" i="18"/>
  <c r="J107" i="18"/>
  <c r="K107" i="18"/>
  <c r="L107" i="18"/>
  <c r="L74" i="18"/>
  <c r="M73" i="18"/>
  <c r="N73" i="18"/>
  <c r="I75" i="18"/>
  <c r="U6" i="18"/>
  <c r="V6" i="18"/>
  <c r="W6" i="18"/>
  <c r="Y5" i="18"/>
  <c r="M106" i="18"/>
  <c r="N106" i="18"/>
  <c r="M40" i="18"/>
  <c r="N40" i="18"/>
  <c r="I8" i="18"/>
  <c r="J41" i="18"/>
  <c r="K41" i="18"/>
  <c r="L41" i="18"/>
  <c r="M140" i="18"/>
  <c r="N140" i="18"/>
  <c r="L141" i="18"/>
  <c r="U116" i="17"/>
  <c r="V116" i="17"/>
  <c r="T117" i="17"/>
  <c r="Y5" i="17"/>
  <c r="J41" i="17"/>
  <c r="K41" i="17"/>
  <c r="L41" i="17"/>
  <c r="M41" i="17"/>
  <c r="M40" i="17"/>
  <c r="N40" i="17"/>
  <c r="J140" i="17"/>
  <c r="K140" i="17"/>
  <c r="L140" i="17"/>
  <c r="U61" i="17"/>
  <c r="V61" i="17"/>
  <c r="I9" i="17"/>
  <c r="I74" i="17"/>
  <c r="I108" i="17"/>
  <c r="U6" i="17"/>
  <c r="V6" i="17"/>
  <c r="W6" i="17"/>
  <c r="M106" i="13"/>
  <c r="N106" i="13"/>
  <c r="M140" i="13"/>
  <c r="N140" i="13"/>
  <c r="I75" i="13"/>
  <c r="J74" i="13"/>
  <c r="K74" i="13"/>
  <c r="L74" i="13"/>
  <c r="I141" i="13"/>
  <c r="M73" i="13"/>
  <c r="N73" i="13"/>
  <c r="T117" i="13"/>
  <c r="T7" i="13"/>
  <c r="U6" i="13"/>
  <c r="V6" i="13"/>
  <c r="W6" i="13"/>
  <c r="M7" i="13"/>
  <c r="J40" i="13"/>
  <c r="K40" i="13"/>
  <c r="L40" i="13"/>
  <c r="I8" i="13"/>
  <c r="I107" i="13"/>
  <c r="U63" i="13"/>
  <c r="V63" i="13"/>
  <c r="N6" i="12"/>
  <c r="N7" i="12"/>
  <c r="N74" i="12"/>
  <c r="N106" i="12"/>
  <c r="N40" i="12"/>
  <c r="M41" i="19"/>
  <c r="N41" i="19"/>
  <c r="U117" i="19"/>
  <c r="V117" i="19"/>
  <c r="T118" i="19"/>
  <c r="M140" i="19"/>
  <c r="N140" i="19"/>
  <c r="I141" i="19"/>
  <c r="J108" i="19"/>
  <c r="K108" i="19"/>
  <c r="L108" i="19"/>
  <c r="I109" i="19"/>
  <c r="U8" i="19"/>
  <c r="V8" i="19"/>
  <c r="W8" i="19"/>
  <c r="T9" i="19"/>
  <c r="U62" i="19"/>
  <c r="V62" i="19"/>
  <c r="T63" i="19"/>
  <c r="J74" i="19"/>
  <c r="K74" i="19"/>
  <c r="L74" i="19"/>
  <c r="J8" i="19"/>
  <c r="K8" i="19"/>
  <c r="L8" i="19"/>
  <c r="J42" i="19"/>
  <c r="K42" i="19"/>
  <c r="L42" i="19"/>
  <c r="I43" i="19"/>
  <c r="X7" i="19"/>
  <c r="I143" i="18"/>
  <c r="T7" i="18"/>
  <c r="T62" i="18"/>
  <c r="U62" i="18"/>
  <c r="N7" i="18"/>
  <c r="I42" i="18"/>
  <c r="M107" i="18"/>
  <c r="N107" i="18"/>
  <c r="T117" i="18"/>
  <c r="J75" i="18"/>
  <c r="K75" i="18"/>
  <c r="L75" i="18"/>
  <c r="M41" i="18"/>
  <c r="N41" i="18"/>
  <c r="L142" i="18"/>
  <c r="M141" i="18"/>
  <c r="N141" i="18"/>
  <c r="J8" i="18"/>
  <c r="K8" i="18"/>
  <c r="L8" i="18"/>
  <c r="I108" i="18"/>
  <c r="U7" i="18"/>
  <c r="V7" i="18"/>
  <c r="W7" i="18"/>
  <c r="X6" i="18"/>
  <c r="M74" i="18"/>
  <c r="N74" i="18"/>
  <c r="J143" i="18"/>
  <c r="K143" i="18"/>
  <c r="N7" i="13"/>
  <c r="N41" i="17"/>
  <c r="I141" i="17"/>
  <c r="J9" i="17"/>
  <c r="K9" i="17"/>
  <c r="J108" i="17"/>
  <c r="K108" i="17"/>
  <c r="I109" i="17"/>
  <c r="M140" i="17"/>
  <c r="N140" i="17"/>
  <c r="U117" i="17"/>
  <c r="V117" i="17"/>
  <c r="J74" i="17"/>
  <c r="X6" i="17"/>
  <c r="T7" i="17"/>
  <c r="T62" i="17"/>
  <c r="I42" i="17"/>
  <c r="U7" i="13"/>
  <c r="V7" i="13"/>
  <c r="J107" i="13"/>
  <c r="K107" i="13"/>
  <c r="L107" i="13"/>
  <c r="I108" i="13"/>
  <c r="U117" i="13"/>
  <c r="V117" i="13"/>
  <c r="T118" i="13"/>
  <c r="J141" i="13"/>
  <c r="K141" i="13"/>
  <c r="L141" i="13"/>
  <c r="I142" i="13"/>
  <c r="J8" i="13"/>
  <c r="K8" i="13"/>
  <c r="L8" i="13"/>
  <c r="I9" i="13"/>
  <c r="M74" i="13"/>
  <c r="N74" i="13"/>
  <c r="J75" i="13"/>
  <c r="K75" i="13"/>
  <c r="L75" i="13"/>
  <c r="M40" i="13"/>
  <c r="N40" i="13"/>
  <c r="T64" i="13"/>
  <c r="I41" i="13"/>
  <c r="X6" i="13"/>
  <c r="Y6" i="13"/>
  <c r="W7" i="13"/>
  <c r="N107" i="12"/>
  <c r="N41" i="12"/>
  <c r="N75" i="12"/>
  <c r="N8" i="12"/>
  <c r="Y7" i="12"/>
  <c r="Y6" i="12"/>
  <c r="X8" i="19"/>
  <c r="Y8" i="19"/>
  <c r="M42" i="19"/>
  <c r="N42" i="19"/>
  <c r="J43" i="19"/>
  <c r="K43" i="19"/>
  <c r="L43" i="19"/>
  <c r="M74" i="19"/>
  <c r="N74" i="19"/>
  <c r="U9" i="19"/>
  <c r="V9" i="19"/>
  <c r="W9" i="19"/>
  <c r="T10" i="19"/>
  <c r="I75" i="19"/>
  <c r="J141" i="19"/>
  <c r="K141" i="19"/>
  <c r="L141" i="19"/>
  <c r="U118" i="19"/>
  <c r="V118" i="19"/>
  <c r="T119" i="19"/>
  <c r="M8" i="19"/>
  <c r="U63" i="19"/>
  <c r="V63" i="19"/>
  <c r="T64" i="19"/>
  <c r="I110" i="19"/>
  <c r="J109" i="19"/>
  <c r="K109" i="19"/>
  <c r="L109" i="19"/>
  <c r="Y7" i="19"/>
  <c r="I9" i="19"/>
  <c r="M108" i="19"/>
  <c r="N108" i="19"/>
  <c r="I144" i="18"/>
  <c r="I9" i="18"/>
  <c r="V62" i="18"/>
  <c r="T63" i="18"/>
  <c r="U63" i="18"/>
  <c r="X7" i="18"/>
  <c r="Y7" i="18"/>
  <c r="I109" i="18"/>
  <c r="J108" i="18"/>
  <c r="K108" i="18"/>
  <c r="L108" i="18"/>
  <c r="M142" i="18"/>
  <c r="N142" i="18"/>
  <c r="L143" i="18"/>
  <c r="I76" i="18"/>
  <c r="J42" i="18"/>
  <c r="K42" i="18"/>
  <c r="L42" i="18"/>
  <c r="M75" i="18"/>
  <c r="N75" i="18"/>
  <c r="T8" i="18"/>
  <c r="M8" i="18"/>
  <c r="U117" i="18"/>
  <c r="V117" i="18"/>
  <c r="J144" i="18"/>
  <c r="K144" i="18"/>
  <c r="Y6" i="18"/>
  <c r="J9" i="18"/>
  <c r="K9" i="18"/>
  <c r="L9" i="18"/>
  <c r="I75" i="17"/>
  <c r="T118" i="17"/>
  <c r="Y6" i="17"/>
  <c r="U7" i="17"/>
  <c r="V7" i="17"/>
  <c r="W7" i="17"/>
  <c r="J75" i="17"/>
  <c r="K75" i="17"/>
  <c r="J42" i="17"/>
  <c r="U118" i="17"/>
  <c r="V118" i="17"/>
  <c r="J109" i="17"/>
  <c r="K109" i="17"/>
  <c r="J141" i="17"/>
  <c r="L141" i="17"/>
  <c r="U62" i="17"/>
  <c r="V62" i="17"/>
  <c r="T63" i="17"/>
  <c r="I10" i="17"/>
  <c r="M75" i="13"/>
  <c r="N75" i="13"/>
  <c r="X7" i="13"/>
  <c r="Y7" i="13"/>
  <c r="M141" i="13"/>
  <c r="N141" i="13"/>
  <c r="M107" i="13"/>
  <c r="N107" i="13"/>
  <c r="J142" i="13"/>
  <c r="K142" i="13"/>
  <c r="L142" i="13"/>
  <c r="J41" i="13"/>
  <c r="K41" i="13"/>
  <c r="L41" i="13"/>
  <c r="J9" i="13"/>
  <c r="K9" i="13"/>
  <c r="L9" i="13"/>
  <c r="U118" i="13"/>
  <c r="V118" i="13"/>
  <c r="J108" i="13"/>
  <c r="K108" i="13"/>
  <c r="L108" i="13"/>
  <c r="U64" i="13"/>
  <c r="V64" i="13"/>
  <c r="I76" i="13"/>
  <c r="M8" i="13"/>
  <c r="T8" i="13"/>
  <c r="N139" i="12"/>
  <c r="N9" i="12"/>
  <c r="N76" i="12"/>
  <c r="N108" i="12"/>
  <c r="N42" i="12"/>
  <c r="Y8" i="12"/>
  <c r="X9" i="19"/>
  <c r="J110" i="19"/>
  <c r="K110" i="19"/>
  <c r="L110" i="19"/>
  <c r="I111" i="19"/>
  <c r="N8" i="19"/>
  <c r="M141" i="19"/>
  <c r="N141" i="19"/>
  <c r="U64" i="19"/>
  <c r="V64" i="19"/>
  <c r="I76" i="19"/>
  <c r="J75" i="19"/>
  <c r="K75" i="19"/>
  <c r="L75" i="19"/>
  <c r="M109" i="19"/>
  <c r="N109" i="19"/>
  <c r="U10" i="19"/>
  <c r="V10" i="19"/>
  <c r="W10" i="19"/>
  <c r="U119" i="19"/>
  <c r="V119" i="19"/>
  <c r="M43" i="19"/>
  <c r="N43" i="19"/>
  <c r="J9" i="19"/>
  <c r="K9" i="19"/>
  <c r="L9" i="19"/>
  <c r="I142" i="19"/>
  <c r="I44" i="19"/>
  <c r="V63" i="18"/>
  <c r="T64" i="18"/>
  <c r="U64" i="18"/>
  <c r="V64" i="18"/>
  <c r="M9" i="18"/>
  <c r="N9" i="18"/>
  <c r="I145" i="18"/>
  <c r="M42" i="18"/>
  <c r="N42" i="18"/>
  <c r="N8" i="18"/>
  <c r="L144" i="18"/>
  <c r="M143" i="18"/>
  <c r="N143" i="18"/>
  <c r="I10" i="18"/>
  <c r="T118" i="18"/>
  <c r="U8" i="18"/>
  <c r="V8" i="18"/>
  <c r="W8" i="18"/>
  <c r="I43" i="18"/>
  <c r="M108" i="18"/>
  <c r="N108" i="18"/>
  <c r="J76" i="18"/>
  <c r="K76" i="18"/>
  <c r="L76" i="18"/>
  <c r="J109" i="18"/>
  <c r="K109" i="18"/>
  <c r="L109" i="18"/>
  <c r="I43" i="17"/>
  <c r="N8" i="13"/>
  <c r="U63" i="17"/>
  <c r="V63" i="17"/>
  <c r="M141" i="17"/>
  <c r="N141" i="17"/>
  <c r="X7" i="17"/>
  <c r="J43" i="17"/>
  <c r="K43" i="17"/>
  <c r="J10" i="17"/>
  <c r="K10" i="17"/>
  <c r="I110" i="17"/>
  <c r="I76" i="17"/>
  <c r="I142" i="17"/>
  <c r="T119" i="17"/>
  <c r="T8" i="17"/>
  <c r="M108" i="13"/>
  <c r="N108" i="13"/>
  <c r="M142" i="13"/>
  <c r="N142" i="13"/>
  <c r="T65" i="13"/>
  <c r="T119" i="13"/>
  <c r="I42" i="13"/>
  <c r="T9" i="13"/>
  <c r="U8" i="13"/>
  <c r="V8" i="13"/>
  <c r="W8" i="13"/>
  <c r="M41" i="13"/>
  <c r="N41" i="13"/>
  <c r="M9" i="13"/>
  <c r="N9" i="13"/>
  <c r="J76" i="13"/>
  <c r="K76" i="13"/>
  <c r="L76" i="13"/>
  <c r="I109" i="13"/>
  <c r="I10" i="13"/>
  <c r="I143" i="13"/>
  <c r="N140" i="12"/>
  <c r="N43" i="12"/>
  <c r="N77" i="12"/>
  <c r="N109" i="12"/>
  <c r="X10" i="19"/>
  <c r="Y10" i="19"/>
  <c r="M110" i="19"/>
  <c r="N110" i="19"/>
  <c r="J142" i="19"/>
  <c r="K142" i="19"/>
  <c r="L142" i="19"/>
  <c r="J76" i="19"/>
  <c r="K76" i="19"/>
  <c r="L76" i="19"/>
  <c r="J111" i="19"/>
  <c r="K111" i="19"/>
  <c r="L111" i="19"/>
  <c r="M9" i="19"/>
  <c r="I10" i="19"/>
  <c r="T120" i="19"/>
  <c r="T65" i="19"/>
  <c r="Y9" i="19"/>
  <c r="J44" i="19"/>
  <c r="K44" i="19"/>
  <c r="L44" i="19"/>
  <c r="I45" i="19"/>
  <c r="T11" i="19"/>
  <c r="M75" i="19"/>
  <c r="N75" i="19"/>
  <c r="I77" i="18"/>
  <c r="J77" i="18"/>
  <c r="K77" i="18"/>
  <c r="L77" i="18"/>
  <c r="T9" i="18"/>
  <c r="U9" i="18"/>
  <c r="V9" i="18"/>
  <c r="W9" i="18"/>
  <c r="M109" i="18"/>
  <c r="N109" i="18"/>
  <c r="M144" i="18"/>
  <c r="N144" i="18"/>
  <c r="J145" i="18"/>
  <c r="K145" i="18"/>
  <c r="L145" i="18"/>
  <c r="J43" i="18"/>
  <c r="K43" i="18"/>
  <c r="L43" i="18"/>
  <c r="I110" i="18"/>
  <c r="X8" i="18"/>
  <c r="T65" i="18"/>
  <c r="J10" i="18"/>
  <c r="K10" i="18"/>
  <c r="L10" i="18"/>
  <c r="M76" i="18"/>
  <c r="N76" i="18"/>
  <c r="U118" i="18"/>
  <c r="V118" i="18"/>
  <c r="I11" i="17"/>
  <c r="T64" i="17"/>
  <c r="J11" i="17"/>
  <c r="K11" i="17"/>
  <c r="U8" i="17"/>
  <c r="V8" i="17"/>
  <c r="W8" i="17"/>
  <c r="I143" i="17"/>
  <c r="J142" i="17"/>
  <c r="L142" i="17"/>
  <c r="J76" i="17"/>
  <c r="K76" i="17"/>
  <c r="U119" i="17"/>
  <c r="T120" i="17"/>
  <c r="Y7" i="17"/>
  <c r="J110" i="17"/>
  <c r="K110" i="17"/>
  <c r="I111" i="17"/>
  <c r="I44" i="17"/>
  <c r="U64" i="17"/>
  <c r="J109" i="13"/>
  <c r="K109" i="13"/>
  <c r="L109" i="13"/>
  <c r="I110" i="13"/>
  <c r="U9" i="13"/>
  <c r="V9" i="13"/>
  <c r="W9" i="13"/>
  <c r="I77" i="13"/>
  <c r="J42" i="13"/>
  <c r="K42" i="13"/>
  <c r="L42" i="13"/>
  <c r="J143" i="13"/>
  <c r="K143" i="13"/>
  <c r="L143" i="13"/>
  <c r="T120" i="13"/>
  <c r="U119" i="13"/>
  <c r="V119" i="13"/>
  <c r="M76" i="13"/>
  <c r="N76" i="13"/>
  <c r="J10" i="13"/>
  <c r="K10" i="13"/>
  <c r="L10" i="13"/>
  <c r="X8" i="13"/>
  <c r="Y8" i="13"/>
  <c r="U65" i="13"/>
  <c r="V65" i="13"/>
  <c r="N141" i="12"/>
  <c r="N44" i="12"/>
  <c r="N110" i="12"/>
  <c r="N78" i="12"/>
  <c r="N11" i="12"/>
  <c r="N10" i="12"/>
  <c r="M76" i="19"/>
  <c r="N76" i="19"/>
  <c r="J45" i="19"/>
  <c r="K45" i="19"/>
  <c r="L45" i="19"/>
  <c r="U65" i="19"/>
  <c r="V65" i="19"/>
  <c r="T66" i="19"/>
  <c r="M111" i="19"/>
  <c r="N111" i="19"/>
  <c r="U120" i="19"/>
  <c r="V120" i="19"/>
  <c r="T121" i="19"/>
  <c r="M142" i="19"/>
  <c r="N142" i="19"/>
  <c r="M44" i="19"/>
  <c r="N44" i="19"/>
  <c r="N9" i="19"/>
  <c r="I77" i="19"/>
  <c r="U11" i="19"/>
  <c r="V11" i="19"/>
  <c r="W11" i="19"/>
  <c r="T12" i="19"/>
  <c r="J10" i="19"/>
  <c r="K10" i="19"/>
  <c r="L10" i="19"/>
  <c r="I112" i="19"/>
  <c r="I143" i="19"/>
  <c r="I44" i="18"/>
  <c r="T119" i="18"/>
  <c r="U119" i="18"/>
  <c r="M145" i="18"/>
  <c r="N145" i="18"/>
  <c r="X9" i="18"/>
  <c r="Y9" i="18"/>
  <c r="M10" i="18"/>
  <c r="N10" i="18"/>
  <c r="M77" i="18"/>
  <c r="N77" i="18"/>
  <c r="I11" i="18"/>
  <c r="J110" i="18"/>
  <c r="K110" i="18"/>
  <c r="L110" i="18"/>
  <c r="I146" i="18"/>
  <c r="I78" i="18"/>
  <c r="T10" i="18"/>
  <c r="U65" i="18"/>
  <c r="V65" i="18"/>
  <c r="M43" i="18"/>
  <c r="N43" i="18"/>
  <c r="Y8" i="18"/>
  <c r="J44" i="18"/>
  <c r="K44" i="18"/>
  <c r="L44" i="18"/>
  <c r="T65" i="17"/>
  <c r="U65" i="17"/>
  <c r="U120" i="17"/>
  <c r="X8" i="17"/>
  <c r="J111" i="17"/>
  <c r="K111" i="17"/>
  <c r="M142" i="17"/>
  <c r="N142" i="17"/>
  <c r="I12" i="17"/>
  <c r="J44" i="17"/>
  <c r="K44" i="17"/>
  <c r="T9" i="17"/>
  <c r="I77" i="17"/>
  <c r="J143" i="17"/>
  <c r="K143" i="17"/>
  <c r="X9" i="13"/>
  <c r="M143" i="13"/>
  <c r="N143" i="13"/>
  <c r="T66" i="13"/>
  <c r="I11" i="13"/>
  <c r="I43" i="13"/>
  <c r="T10" i="13"/>
  <c r="U120" i="13"/>
  <c r="V120" i="13"/>
  <c r="M42" i="13"/>
  <c r="N42" i="13"/>
  <c r="J110" i="13"/>
  <c r="K110" i="13"/>
  <c r="L110" i="13"/>
  <c r="M10" i="13"/>
  <c r="I144" i="13"/>
  <c r="I78" i="13"/>
  <c r="J77" i="13"/>
  <c r="K77" i="13"/>
  <c r="L77" i="13"/>
  <c r="M109" i="13"/>
  <c r="N109" i="13"/>
  <c r="N142" i="12"/>
  <c r="N111" i="12"/>
  <c r="N79" i="12"/>
  <c r="N45" i="12"/>
  <c r="Y10" i="12"/>
  <c r="Y9" i="12"/>
  <c r="J143" i="19"/>
  <c r="K143" i="19"/>
  <c r="L143" i="19"/>
  <c r="U12" i="19"/>
  <c r="V12" i="19"/>
  <c r="W12" i="19"/>
  <c r="J112" i="19"/>
  <c r="K112" i="19"/>
  <c r="L112" i="19"/>
  <c r="X11" i="19"/>
  <c r="Y11" i="19"/>
  <c r="I46" i="19"/>
  <c r="M10" i="19"/>
  <c r="N10" i="19"/>
  <c r="J77" i="19"/>
  <c r="K77" i="19"/>
  <c r="L77" i="19"/>
  <c r="T122" i="19"/>
  <c r="U121" i="19"/>
  <c r="V121" i="19"/>
  <c r="U66" i="19"/>
  <c r="V66" i="19"/>
  <c r="I11" i="19"/>
  <c r="M45" i="19"/>
  <c r="N45" i="19"/>
  <c r="I45" i="18"/>
  <c r="V119" i="18"/>
  <c r="T120" i="18"/>
  <c r="U120" i="18"/>
  <c r="V120" i="18"/>
  <c r="M44" i="18"/>
  <c r="N44" i="18"/>
  <c r="M110" i="18"/>
  <c r="N110" i="18"/>
  <c r="T66" i="18"/>
  <c r="J146" i="18"/>
  <c r="K146" i="18"/>
  <c r="L146" i="18"/>
  <c r="I46" i="18"/>
  <c r="J45" i="18"/>
  <c r="K45" i="18"/>
  <c r="L45" i="18"/>
  <c r="U10" i="18"/>
  <c r="V10" i="18"/>
  <c r="W10" i="18"/>
  <c r="I111" i="18"/>
  <c r="J78" i="18"/>
  <c r="K78" i="18"/>
  <c r="L78" i="18"/>
  <c r="J11" i="18"/>
  <c r="K11" i="18"/>
  <c r="L11" i="18"/>
  <c r="N10" i="13"/>
  <c r="Y9" i="13"/>
  <c r="J12" i="17"/>
  <c r="K12" i="17"/>
  <c r="I112" i="17"/>
  <c r="U9" i="17"/>
  <c r="J77" i="17"/>
  <c r="K77" i="17"/>
  <c r="T121" i="17"/>
  <c r="I144" i="17"/>
  <c r="I45" i="17"/>
  <c r="Y8" i="17"/>
  <c r="T66" i="17"/>
  <c r="M110" i="13"/>
  <c r="N110" i="13"/>
  <c r="U10" i="13"/>
  <c r="V10" i="13"/>
  <c r="W10" i="13"/>
  <c r="M77" i="13"/>
  <c r="N77" i="13"/>
  <c r="J43" i="13"/>
  <c r="K43" i="13"/>
  <c r="L43" i="13"/>
  <c r="J11" i="13"/>
  <c r="K11" i="13"/>
  <c r="L11" i="13"/>
  <c r="J78" i="13"/>
  <c r="K78" i="13"/>
  <c r="L78" i="13"/>
  <c r="J144" i="13"/>
  <c r="K144" i="13"/>
  <c r="L144" i="13"/>
  <c r="I111" i="13"/>
  <c r="T121" i="13"/>
  <c r="U66" i="13"/>
  <c r="V66" i="13"/>
  <c r="N80" i="12"/>
  <c r="N112" i="12"/>
  <c r="N46" i="12"/>
  <c r="N13" i="12"/>
  <c r="N12" i="12"/>
  <c r="T67" i="19"/>
  <c r="I78" i="19"/>
  <c r="T13" i="19"/>
  <c r="X12" i="19"/>
  <c r="Y12" i="19"/>
  <c r="I12" i="19"/>
  <c r="J11" i="19"/>
  <c r="K11" i="19"/>
  <c r="L11" i="19"/>
  <c r="U122" i="19"/>
  <c r="V122" i="19"/>
  <c r="T123" i="19"/>
  <c r="I113" i="19"/>
  <c r="I144" i="19"/>
  <c r="M77" i="19"/>
  <c r="N77" i="19"/>
  <c r="J46" i="19"/>
  <c r="K46" i="19"/>
  <c r="L46" i="19"/>
  <c r="M112" i="19"/>
  <c r="N112" i="19"/>
  <c r="M143" i="19"/>
  <c r="N143" i="19"/>
  <c r="I12" i="18"/>
  <c r="J12" i="18"/>
  <c r="K12" i="18"/>
  <c r="L12" i="18"/>
  <c r="T121" i="18"/>
  <c r="U121" i="18"/>
  <c r="T11" i="18"/>
  <c r="U11" i="18"/>
  <c r="M45" i="18"/>
  <c r="N45" i="18"/>
  <c r="M146" i="18"/>
  <c r="N146" i="18"/>
  <c r="M78" i="18"/>
  <c r="N78" i="18"/>
  <c r="M11" i="18"/>
  <c r="N11" i="18"/>
  <c r="X10" i="18"/>
  <c r="I147" i="18"/>
  <c r="J111" i="18"/>
  <c r="K111" i="18"/>
  <c r="L111" i="18"/>
  <c r="J46" i="18"/>
  <c r="K46" i="18"/>
  <c r="L46" i="18"/>
  <c r="I79" i="18"/>
  <c r="U66" i="18"/>
  <c r="V66" i="18"/>
  <c r="I13" i="17"/>
  <c r="U66" i="17"/>
  <c r="T67" i="17"/>
  <c r="J144" i="17"/>
  <c r="K144" i="17"/>
  <c r="J112" i="17"/>
  <c r="K112" i="17"/>
  <c r="U121" i="17"/>
  <c r="I78" i="17"/>
  <c r="J13" i="17"/>
  <c r="K13" i="17"/>
  <c r="J45" i="17"/>
  <c r="K45" i="17"/>
  <c r="T10" i="17"/>
  <c r="M78" i="13"/>
  <c r="N78" i="13"/>
  <c r="M43" i="13"/>
  <c r="N43" i="13"/>
  <c r="X10" i="13"/>
  <c r="J111" i="13"/>
  <c r="K111" i="13"/>
  <c r="L111" i="13"/>
  <c r="I79" i="13"/>
  <c r="I44" i="13"/>
  <c r="T11" i="13"/>
  <c r="M11" i="13"/>
  <c r="T122" i="13"/>
  <c r="U121" i="13"/>
  <c r="V121" i="13"/>
  <c r="M144" i="13"/>
  <c r="N144" i="13"/>
  <c r="T67" i="13"/>
  <c r="I145" i="13"/>
  <c r="I12" i="13"/>
  <c r="N143" i="12"/>
  <c r="N113" i="12"/>
  <c r="N47" i="12"/>
  <c r="N81" i="12"/>
  <c r="I47" i="19"/>
  <c r="I145" i="19"/>
  <c r="J144" i="19"/>
  <c r="K144" i="19"/>
  <c r="L144" i="19"/>
  <c r="M11" i="19"/>
  <c r="N11" i="19"/>
  <c r="U13" i="19"/>
  <c r="V13" i="19"/>
  <c r="W13" i="19"/>
  <c r="M46" i="19"/>
  <c r="N46" i="19"/>
  <c r="I114" i="19"/>
  <c r="J113" i="19"/>
  <c r="K113" i="19"/>
  <c r="L113" i="19"/>
  <c r="I13" i="19"/>
  <c r="J12" i="19"/>
  <c r="K12" i="19"/>
  <c r="L12" i="19"/>
  <c r="I79" i="19"/>
  <c r="J78" i="19"/>
  <c r="K78" i="19"/>
  <c r="L78" i="19"/>
  <c r="U123" i="19"/>
  <c r="V123" i="19"/>
  <c r="U67" i="19"/>
  <c r="V67" i="19"/>
  <c r="I47" i="18"/>
  <c r="V11" i="18"/>
  <c r="W11" i="18"/>
  <c r="X11" i="18"/>
  <c r="Y11" i="18"/>
  <c r="T12" i="18"/>
  <c r="U12" i="18"/>
  <c r="V12" i="18"/>
  <c r="V121" i="18"/>
  <c r="T122" i="18"/>
  <c r="U122" i="18"/>
  <c r="V122" i="18"/>
  <c r="M46" i="18"/>
  <c r="N46" i="18"/>
  <c r="M12" i="18"/>
  <c r="N12" i="18"/>
  <c r="I48" i="18"/>
  <c r="J47" i="18"/>
  <c r="K47" i="18"/>
  <c r="L47" i="18"/>
  <c r="M111" i="18"/>
  <c r="N111" i="18"/>
  <c r="J79" i="18"/>
  <c r="K79" i="18"/>
  <c r="L79" i="18"/>
  <c r="I112" i="18"/>
  <c r="Y10" i="18"/>
  <c r="T67" i="18"/>
  <c r="I13" i="18"/>
  <c r="J147" i="18"/>
  <c r="K147" i="18"/>
  <c r="L147" i="18"/>
  <c r="I46" i="17"/>
  <c r="I113" i="17"/>
  <c r="Y10" i="13"/>
  <c r="N11" i="13"/>
  <c r="T122" i="17"/>
  <c r="I145" i="17"/>
  <c r="U10" i="17"/>
  <c r="I14" i="17"/>
  <c r="J113" i="17"/>
  <c r="K113" i="17"/>
  <c r="T68" i="17"/>
  <c r="U67" i="17"/>
  <c r="J46" i="17"/>
  <c r="K46" i="17"/>
  <c r="I47" i="17"/>
  <c r="J78" i="17"/>
  <c r="K78" i="17"/>
  <c r="M111" i="13"/>
  <c r="N111" i="13"/>
  <c r="J145" i="13"/>
  <c r="K145" i="13"/>
  <c r="L145" i="13"/>
  <c r="U11" i="13"/>
  <c r="V11" i="13"/>
  <c r="W11" i="13"/>
  <c r="I112" i="13"/>
  <c r="T123" i="13"/>
  <c r="U122" i="13"/>
  <c r="V122" i="13"/>
  <c r="I45" i="13"/>
  <c r="J44" i="13"/>
  <c r="K44" i="13"/>
  <c r="L44" i="13"/>
  <c r="J12" i="13"/>
  <c r="K12" i="13"/>
  <c r="L12" i="13"/>
  <c r="U67" i="13"/>
  <c r="V67" i="13"/>
  <c r="I80" i="13"/>
  <c r="J79" i="13"/>
  <c r="K79" i="13"/>
  <c r="L79" i="13"/>
  <c r="N48" i="12"/>
  <c r="N114" i="12"/>
  <c r="N15" i="12"/>
  <c r="N82" i="12"/>
  <c r="N14" i="12"/>
  <c r="Y12" i="12"/>
  <c r="Y11" i="12"/>
  <c r="M12" i="19"/>
  <c r="N12" i="19"/>
  <c r="T124" i="19"/>
  <c r="I14" i="19"/>
  <c r="J13" i="19"/>
  <c r="K13" i="19"/>
  <c r="L13" i="19"/>
  <c r="T68" i="19"/>
  <c r="M78" i="19"/>
  <c r="N78" i="19"/>
  <c r="M113" i="19"/>
  <c r="N113" i="19"/>
  <c r="T14" i="19"/>
  <c r="M144" i="19"/>
  <c r="N144" i="19"/>
  <c r="I80" i="19"/>
  <c r="J79" i="19"/>
  <c r="K79" i="19"/>
  <c r="L79" i="19"/>
  <c r="I115" i="19"/>
  <c r="J114" i="19"/>
  <c r="K114" i="19"/>
  <c r="L114" i="19"/>
  <c r="X13" i="19"/>
  <c r="Y13" i="19"/>
  <c r="J145" i="19"/>
  <c r="K145" i="19"/>
  <c r="L145" i="19"/>
  <c r="J47" i="19"/>
  <c r="K47" i="19"/>
  <c r="L47" i="19"/>
  <c r="W12" i="18"/>
  <c r="X12" i="18"/>
  <c r="Y12" i="18"/>
  <c r="I148" i="18"/>
  <c r="I80" i="18"/>
  <c r="J80" i="18"/>
  <c r="K80" i="18"/>
  <c r="L80" i="18"/>
  <c r="M47" i="18"/>
  <c r="N47" i="18"/>
  <c r="T123" i="18"/>
  <c r="U67" i="18"/>
  <c r="V67" i="18"/>
  <c r="M79" i="18"/>
  <c r="N79" i="18"/>
  <c r="T13" i="18"/>
  <c r="M147" i="18"/>
  <c r="N147" i="18"/>
  <c r="J148" i="18"/>
  <c r="K148" i="18"/>
  <c r="L148" i="18"/>
  <c r="J13" i="18"/>
  <c r="K13" i="18"/>
  <c r="L13" i="18"/>
  <c r="J112" i="18"/>
  <c r="K112" i="18"/>
  <c r="L112" i="18"/>
  <c r="J48" i="18"/>
  <c r="K48" i="18"/>
  <c r="L48" i="18"/>
  <c r="T11" i="17"/>
  <c r="U68" i="17"/>
  <c r="U11" i="17"/>
  <c r="J47" i="17"/>
  <c r="K47" i="17"/>
  <c r="I79" i="17"/>
  <c r="I114" i="17"/>
  <c r="J145" i="17"/>
  <c r="K145" i="17"/>
  <c r="J14" i="17"/>
  <c r="K14" i="17"/>
  <c r="U122" i="17"/>
  <c r="J80" i="13"/>
  <c r="K80" i="13"/>
  <c r="U123" i="13"/>
  <c r="V123" i="13"/>
  <c r="M145" i="13"/>
  <c r="N145" i="13"/>
  <c r="T68" i="13"/>
  <c r="M44" i="13"/>
  <c r="N44" i="13"/>
  <c r="I113" i="13"/>
  <c r="J112" i="13"/>
  <c r="K112" i="13"/>
  <c r="L112" i="13"/>
  <c r="I146" i="13"/>
  <c r="X11" i="13"/>
  <c r="M12" i="13"/>
  <c r="J45" i="13"/>
  <c r="K45" i="13"/>
  <c r="L45" i="13"/>
  <c r="M79" i="13"/>
  <c r="N79" i="13"/>
  <c r="L80" i="13"/>
  <c r="I13" i="13"/>
  <c r="T12" i="13"/>
  <c r="N144" i="12"/>
  <c r="N115" i="12"/>
  <c r="N83" i="12"/>
  <c r="N16" i="12"/>
  <c r="N49" i="12"/>
  <c r="M13" i="19"/>
  <c r="N13" i="19"/>
  <c r="M79" i="19"/>
  <c r="N79" i="19"/>
  <c r="M145" i="19"/>
  <c r="N145" i="19"/>
  <c r="M114" i="19"/>
  <c r="N114" i="19"/>
  <c r="J115" i="19"/>
  <c r="K115" i="19"/>
  <c r="L115" i="19"/>
  <c r="J14" i="19"/>
  <c r="K14" i="19"/>
  <c r="L14" i="19"/>
  <c r="M47" i="19"/>
  <c r="N47" i="19"/>
  <c r="U14" i="19"/>
  <c r="V14" i="19"/>
  <c r="W14" i="19"/>
  <c r="U124" i="19"/>
  <c r="V124" i="19"/>
  <c r="T125" i="19"/>
  <c r="I48" i="19"/>
  <c r="I81" i="19"/>
  <c r="J80" i="19"/>
  <c r="K80" i="19"/>
  <c r="L80" i="19"/>
  <c r="T69" i="19"/>
  <c r="U68" i="19"/>
  <c r="V68" i="19"/>
  <c r="I146" i="19"/>
  <c r="I49" i="18"/>
  <c r="M148" i="18"/>
  <c r="N148" i="18"/>
  <c r="M80" i="18"/>
  <c r="N80" i="18"/>
  <c r="M48" i="18"/>
  <c r="N48" i="18"/>
  <c r="M112" i="18"/>
  <c r="N112" i="18"/>
  <c r="U13" i="18"/>
  <c r="V13" i="18"/>
  <c r="W13" i="18"/>
  <c r="I113" i="18"/>
  <c r="I81" i="18"/>
  <c r="U123" i="18"/>
  <c r="V123" i="18"/>
  <c r="M13" i="18"/>
  <c r="N13" i="18"/>
  <c r="J49" i="18"/>
  <c r="K49" i="18"/>
  <c r="L49" i="18"/>
  <c r="I14" i="18"/>
  <c r="I149" i="18"/>
  <c r="T68" i="18"/>
  <c r="T12" i="17"/>
  <c r="N12" i="13"/>
  <c r="Y11" i="13"/>
  <c r="T69" i="17"/>
  <c r="J114" i="17"/>
  <c r="K114" i="17"/>
  <c r="I115" i="17"/>
  <c r="U12" i="17"/>
  <c r="I15" i="17"/>
  <c r="I146" i="17"/>
  <c r="T123" i="17"/>
  <c r="J79" i="17"/>
  <c r="K79" i="17"/>
  <c r="I48" i="17"/>
  <c r="M45" i="13"/>
  <c r="N45" i="13"/>
  <c r="M112" i="13"/>
  <c r="N112" i="13"/>
  <c r="L113" i="13"/>
  <c r="U68" i="13"/>
  <c r="V68" i="13"/>
  <c r="T124" i="13"/>
  <c r="M80" i="13"/>
  <c r="N80" i="13"/>
  <c r="I147" i="13"/>
  <c r="J146" i="13"/>
  <c r="K146" i="13"/>
  <c r="L146" i="13"/>
  <c r="T13" i="13"/>
  <c r="U12" i="13"/>
  <c r="V12" i="13"/>
  <c r="W12" i="13"/>
  <c r="I114" i="13"/>
  <c r="J113" i="13"/>
  <c r="K113" i="13"/>
  <c r="I14" i="13"/>
  <c r="J13" i="13"/>
  <c r="K13" i="13"/>
  <c r="L13" i="13"/>
  <c r="I46" i="13"/>
  <c r="I81" i="13"/>
  <c r="N145" i="12"/>
  <c r="N17" i="12"/>
  <c r="N116" i="12"/>
  <c r="N50" i="12"/>
  <c r="N84" i="12"/>
  <c r="Y13" i="12"/>
  <c r="M14" i="19"/>
  <c r="N14" i="19"/>
  <c r="X14" i="19"/>
  <c r="Y14" i="19"/>
  <c r="M115" i="19"/>
  <c r="N115" i="19"/>
  <c r="M80" i="19"/>
  <c r="N80" i="19"/>
  <c r="J48" i="19"/>
  <c r="K48" i="19"/>
  <c r="L48" i="19"/>
  <c r="T15" i="19"/>
  <c r="I15" i="19"/>
  <c r="I82" i="19"/>
  <c r="J81" i="19"/>
  <c r="K81" i="19"/>
  <c r="L81" i="19"/>
  <c r="U69" i="19"/>
  <c r="V69" i="19"/>
  <c r="T70" i="19"/>
  <c r="T126" i="19"/>
  <c r="U125" i="19"/>
  <c r="V125" i="19"/>
  <c r="J146" i="19"/>
  <c r="K146" i="19"/>
  <c r="L146" i="19"/>
  <c r="I116" i="19"/>
  <c r="T14" i="18"/>
  <c r="U14" i="18"/>
  <c r="V14" i="18"/>
  <c r="W14" i="18"/>
  <c r="M49" i="18"/>
  <c r="N49" i="18"/>
  <c r="J113" i="18"/>
  <c r="K113" i="18"/>
  <c r="L113" i="18"/>
  <c r="J81" i="18"/>
  <c r="K81" i="18"/>
  <c r="L81" i="18"/>
  <c r="I82" i="18"/>
  <c r="J14" i="18"/>
  <c r="K14" i="18"/>
  <c r="L14" i="18"/>
  <c r="X13" i="18"/>
  <c r="Y13" i="18"/>
  <c r="J149" i="18"/>
  <c r="K149" i="18"/>
  <c r="L149" i="18"/>
  <c r="U68" i="18"/>
  <c r="V68" i="18"/>
  <c r="I50" i="18"/>
  <c r="T124" i="18"/>
  <c r="U123" i="17"/>
  <c r="J146" i="17"/>
  <c r="K146" i="17"/>
  <c r="J115" i="17"/>
  <c r="K115" i="17"/>
  <c r="J15" i="17"/>
  <c r="K15" i="17"/>
  <c r="J48" i="17"/>
  <c r="K48" i="17"/>
  <c r="I80" i="17"/>
  <c r="T13" i="17"/>
  <c r="U69" i="17"/>
  <c r="J14" i="13"/>
  <c r="K14" i="13"/>
  <c r="I15" i="13"/>
  <c r="M113" i="13"/>
  <c r="N113" i="13"/>
  <c r="J81" i="13"/>
  <c r="K81" i="13"/>
  <c r="L81" i="13"/>
  <c r="M146" i="13"/>
  <c r="N146" i="13"/>
  <c r="U124" i="13"/>
  <c r="V124" i="13"/>
  <c r="U13" i="13"/>
  <c r="V13" i="13"/>
  <c r="W13" i="13"/>
  <c r="J114" i="13"/>
  <c r="K114" i="13"/>
  <c r="L114" i="13"/>
  <c r="I115" i="13"/>
  <c r="J147" i="13"/>
  <c r="K147" i="13"/>
  <c r="L147" i="13"/>
  <c r="J46" i="13"/>
  <c r="K46" i="13"/>
  <c r="L46" i="13"/>
  <c r="L14" i="13"/>
  <c r="M13" i="13"/>
  <c r="N13" i="13"/>
  <c r="X12" i="13"/>
  <c r="T69" i="13"/>
  <c r="N85" i="12"/>
  <c r="N117" i="12"/>
  <c r="N51" i="12"/>
  <c r="N18" i="12"/>
  <c r="M81" i="19"/>
  <c r="N81" i="19"/>
  <c r="J15" i="19"/>
  <c r="K15" i="19"/>
  <c r="L15" i="19"/>
  <c r="I147" i="19"/>
  <c r="U15" i="19"/>
  <c r="V15" i="19"/>
  <c r="W15" i="19"/>
  <c r="T16" i="19"/>
  <c r="M146" i="19"/>
  <c r="N146" i="19"/>
  <c r="U70" i="19"/>
  <c r="V70" i="19"/>
  <c r="I49" i="19"/>
  <c r="J116" i="19"/>
  <c r="K116" i="19"/>
  <c r="L116" i="19"/>
  <c r="U126" i="19"/>
  <c r="V126" i="19"/>
  <c r="T127" i="19"/>
  <c r="J82" i="19"/>
  <c r="K82" i="19"/>
  <c r="L82" i="19"/>
  <c r="M48" i="19"/>
  <c r="N48" i="19"/>
  <c r="T15" i="18"/>
  <c r="U15" i="18"/>
  <c r="V15" i="18"/>
  <c r="W15" i="18"/>
  <c r="X14" i="18"/>
  <c r="Y14" i="18"/>
  <c r="M149" i="18"/>
  <c r="N149" i="18"/>
  <c r="J50" i="18"/>
  <c r="K50" i="18"/>
  <c r="L50" i="18"/>
  <c r="I150" i="18"/>
  <c r="I15" i="18"/>
  <c r="I114" i="18"/>
  <c r="U124" i="18"/>
  <c r="V124" i="18"/>
  <c r="M14" i="18"/>
  <c r="N14" i="18"/>
  <c r="J82" i="18"/>
  <c r="K82" i="18"/>
  <c r="L82" i="18"/>
  <c r="M113" i="18"/>
  <c r="N113" i="18"/>
  <c r="T69" i="18"/>
  <c r="M81" i="18"/>
  <c r="N81" i="18"/>
  <c r="I49" i="17"/>
  <c r="I116" i="17"/>
  <c r="Y12" i="13"/>
  <c r="J49" i="17"/>
  <c r="J116" i="17"/>
  <c r="K116" i="17"/>
  <c r="I117" i="17"/>
  <c r="T70" i="17"/>
  <c r="I16" i="17"/>
  <c r="T124" i="17"/>
  <c r="U13" i="17"/>
  <c r="J80" i="17"/>
  <c r="K80" i="17"/>
  <c r="I147" i="17"/>
  <c r="M114" i="13"/>
  <c r="N114" i="13"/>
  <c r="X13" i="13"/>
  <c r="Y13" i="13"/>
  <c r="M147" i="13"/>
  <c r="N147" i="13"/>
  <c r="U69" i="13"/>
  <c r="V69" i="13"/>
  <c r="M14" i="13"/>
  <c r="N14" i="13"/>
  <c r="I148" i="13"/>
  <c r="T14" i="13"/>
  <c r="M81" i="13"/>
  <c r="N81" i="13"/>
  <c r="J15" i="13"/>
  <c r="K15" i="13"/>
  <c r="L15" i="13"/>
  <c r="M46" i="13"/>
  <c r="N46" i="13"/>
  <c r="J115" i="13"/>
  <c r="K115" i="13"/>
  <c r="L115" i="13"/>
  <c r="I116" i="13"/>
  <c r="I47" i="13"/>
  <c r="T125" i="13"/>
  <c r="I82" i="13"/>
  <c r="N146" i="12"/>
  <c r="N52" i="12"/>
  <c r="N118" i="12"/>
  <c r="N19" i="12"/>
  <c r="N86" i="12"/>
  <c r="Y14" i="12"/>
  <c r="M82" i="19"/>
  <c r="N82" i="19"/>
  <c r="M15" i="19"/>
  <c r="N15" i="19"/>
  <c r="U16" i="19"/>
  <c r="V16" i="19"/>
  <c r="W16" i="19"/>
  <c r="M116" i="19"/>
  <c r="N116" i="19"/>
  <c r="T71" i="19"/>
  <c r="X15" i="19"/>
  <c r="Y15" i="19"/>
  <c r="T128" i="19"/>
  <c r="U127" i="19"/>
  <c r="V127" i="19"/>
  <c r="I50" i="19"/>
  <c r="J49" i="19"/>
  <c r="K49" i="19"/>
  <c r="L49" i="19"/>
  <c r="I16" i="19"/>
  <c r="I83" i="19"/>
  <c r="I117" i="19"/>
  <c r="J147" i="19"/>
  <c r="K147" i="19"/>
  <c r="L147" i="19"/>
  <c r="I83" i="18"/>
  <c r="I51" i="18"/>
  <c r="M82" i="18"/>
  <c r="N82" i="18"/>
  <c r="X15" i="18"/>
  <c r="Y15" i="18"/>
  <c r="J150" i="18"/>
  <c r="K150" i="18"/>
  <c r="L150" i="18"/>
  <c r="U69" i="18"/>
  <c r="V69" i="18"/>
  <c r="J83" i="18"/>
  <c r="K83" i="18"/>
  <c r="L83" i="18"/>
  <c r="J15" i="18"/>
  <c r="K15" i="18"/>
  <c r="L15" i="18"/>
  <c r="T16" i="18"/>
  <c r="T125" i="18"/>
  <c r="J51" i="18"/>
  <c r="K51" i="18"/>
  <c r="L51" i="18"/>
  <c r="J114" i="18"/>
  <c r="K114" i="18"/>
  <c r="L114" i="18"/>
  <c r="M50" i="18"/>
  <c r="N50" i="18"/>
  <c r="T14" i="17"/>
  <c r="I50" i="17"/>
  <c r="I81" i="17"/>
  <c r="J147" i="17"/>
  <c r="K147" i="17"/>
  <c r="I17" i="17"/>
  <c r="J16" i="17"/>
  <c r="K16" i="17"/>
  <c r="J117" i="17"/>
  <c r="K117" i="17"/>
  <c r="I118" i="17"/>
  <c r="U14" i="17"/>
  <c r="U124" i="17"/>
  <c r="U70" i="17"/>
  <c r="M115" i="13"/>
  <c r="N115" i="13"/>
  <c r="M15" i="13"/>
  <c r="N15" i="13"/>
  <c r="U14" i="13"/>
  <c r="V14" i="13"/>
  <c r="W14" i="13"/>
  <c r="J82" i="13"/>
  <c r="K82" i="13"/>
  <c r="L82" i="13"/>
  <c r="I16" i="13"/>
  <c r="I149" i="13"/>
  <c r="J148" i="13"/>
  <c r="K148" i="13"/>
  <c r="L148" i="13"/>
  <c r="T70" i="13"/>
  <c r="J116" i="13"/>
  <c r="K116" i="13"/>
  <c r="L116" i="13"/>
  <c r="I117" i="13"/>
  <c r="U125" i="13"/>
  <c r="V125" i="13"/>
  <c r="J47" i="13"/>
  <c r="K47" i="13"/>
  <c r="L47" i="13"/>
  <c r="N147" i="12"/>
  <c r="N20" i="12"/>
  <c r="N119" i="12"/>
  <c r="N87" i="12"/>
  <c r="N53" i="12"/>
  <c r="Y15" i="12"/>
  <c r="I148" i="19"/>
  <c r="I17" i="19"/>
  <c r="J16" i="19"/>
  <c r="K16" i="19"/>
  <c r="L16" i="19"/>
  <c r="U128" i="19"/>
  <c r="V128" i="19"/>
  <c r="M147" i="19"/>
  <c r="N147" i="19"/>
  <c r="M49" i="19"/>
  <c r="N49" i="19"/>
  <c r="J117" i="19"/>
  <c r="K117" i="19"/>
  <c r="L117" i="19"/>
  <c r="J50" i="19"/>
  <c r="K50" i="19"/>
  <c r="L50" i="19"/>
  <c r="I51" i="19"/>
  <c r="X16" i="19"/>
  <c r="Y16" i="19"/>
  <c r="J83" i="19"/>
  <c r="K83" i="19"/>
  <c r="L83" i="19"/>
  <c r="U71" i="19"/>
  <c r="V71" i="19"/>
  <c r="T17" i="19"/>
  <c r="I151" i="18"/>
  <c r="I152" i="18"/>
  <c r="T70" i="18"/>
  <c r="U70" i="18"/>
  <c r="V70" i="18"/>
  <c r="M83" i="18"/>
  <c r="N83" i="18"/>
  <c r="M51" i="18"/>
  <c r="N51" i="18"/>
  <c r="I52" i="18"/>
  <c r="I16" i="18"/>
  <c r="I115" i="18"/>
  <c r="U125" i="18"/>
  <c r="V125" i="18"/>
  <c r="I84" i="18"/>
  <c r="M150" i="18"/>
  <c r="N150" i="18"/>
  <c r="M15" i="18"/>
  <c r="N15" i="18"/>
  <c r="M114" i="18"/>
  <c r="N114" i="18"/>
  <c r="U16" i="18"/>
  <c r="V16" i="18"/>
  <c r="W16" i="18"/>
  <c r="J151" i="18"/>
  <c r="K151" i="18"/>
  <c r="L151" i="18"/>
  <c r="T71" i="17"/>
  <c r="U71" i="17"/>
  <c r="T125" i="17"/>
  <c r="U125" i="17"/>
  <c r="J17" i="17"/>
  <c r="K17" i="17"/>
  <c r="J118" i="17"/>
  <c r="K118" i="17"/>
  <c r="J81" i="17"/>
  <c r="K81" i="17"/>
  <c r="T15" i="17"/>
  <c r="I148" i="17"/>
  <c r="J50" i="17"/>
  <c r="K50" i="17"/>
  <c r="M116" i="13"/>
  <c r="N116" i="13"/>
  <c r="M82" i="13"/>
  <c r="N82" i="13"/>
  <c r="T126" i="13"/>
  <c r="M148" i="13"/>
  <c r="N148" i="13"/>
  <c r="I83" i="13"/>
  <c r="J117" i="13"/>
  <c r="K117" i="13"/>
  <c r="L117" i="13"/>
  <c r="I118" i="13"/>
  <c r="X14" i="13"/>
  <c r="U70" i="13"/>
  <c r="V70" i="13"/>
  <c r="M47" i="13"/>
  <c r="N47" i="13"/>
  <c r="J149" i="13"/>
  <c r="K149" i="13"/>
  <c r="L149" i="13"/>
  <c r="I48" i="13"/>
  <c r="J16" i="13"/>
  <c r="K16" i="13"/>
  <c r="L16" i="13"/>
  <c r="T15" i="13"/>
  <c r="N21" i="12"/>
  <c r="N54" i="12"/>
  <c r="N88" i="12"/>
  <c r="N120" i="12"/>
  <c r="Y16" i="12"/>
  <c r="M50" i="19"/>
  <c r="N50" i="19"/>
  <c r="U17" i="19"/>
  <c r="V17" i="19"/>
  <c r="W17" i="19"/>
  <c r="T18" i="19"/>
  <c r="I84" i="19"/>
  <c r="M117" i="19"/>
  <c r="N117" i="19"/>
  <c r="M16" i="19"/>
  <c r="N16" i="19"/>
  <c r="T72" i="19"/>
  <c r="I118" i="19"/>
  <c r="J17" i="19"/>
  <c r="K17" i="19"/>
  <c r="L17" i="19"/>
  <c r="M83" i="19"/>
  <c r="N83" i="19"/>
  <c r="I52" i="19"/>
  <c r="J51" i="19"/>
  <c r="K51" i="19"/>
  <c r="L51" i="19"/>
  <c r="T129" i="19"/>
  <c r="J148" i="19"/>
  <c r="K148" i="19"/>
  <c r="L148" i="19"/>
  <c r="T17" i="18"/>
  <c r="U17" i="18"/>
  <c r="V17" i="18"/>
  <c r="W17" i="18"/>
  <c r="T71" i="18"/>
  <c r="U71" i="18"/>
  <c r="V71" i="18"/>
  <c r="M151" i="18"/>
  <c r="N151" i="18"/>
  <c r="T126" i="18"/>
  <c r="J152" i="18"/>
  <c r="K152" i="18"/>
  <c r="L152" i="18"/>
  <c r="X16" i="18"/>
  <c r="Y16" i="18"/>
  <c r="J115" i="18"/>
  <c r="K115" i="18"/>
  <c r="L115" i="18"/>
  <c r="J84" i="18"/>
  <c r="K84" i="18"/>
  <c r="L84" i="18"/>
  <c r="J16" i="18"/>
  <c r="K16" i="18"/>
  <c r="L16" i="18"/>
  <c r="J52" i="18"/>
  <c r="K52" i="18"/>
  <c r="L52" i="18"/>
  <c r="I53" i="18"/>
  <c r="T72" i="17"/>
  <c r="I82" i="17"/>
  <c r="I83" i="17"/>
  <c r="I51" i="17"/>
  <c r="I119" i="17"/>
  <c r="Y14" i="13"/>
  <c r="J51" i="17"/>
  <c r="K51" i="17"/>
  <c r="I18" i="17"/>
  <c r="J148" i="17"/>
  <c r="K148" i="17"/>
  <c r="J119" i="17"/>
  <c r="K119" i="17"/>
  <c r="U72" i="17"/>
  <c r="U15" i="17"/>
  <c r="J82" i="17"/>
  <c r="K82" i="17"/>
  <c r="T126" i="17"/>
  <c r="M149" i="13"/>
  <c r="N149" i="13"/>
  <c r="M117" i="13"/>
  <c r="N117" i="13"/>
  <c r="J48" i="13"/>
  <c r="K48" i="13"/>
  <c r="L48" i="13"/>
  <c r="M16" i="13"/>
  <c r="N16" i="13"/>
  <c r="J83" i="13"/>
  <c r="K83" i="13"/>
  <c r="L83" i="13"/>
  <c r="U15" i="13"/>
  <c r="V15" i="13"/>
  <c r="W15" i="13"/>
  <c r="J118" i="13"/>
  <c r="K118" i="13"/>
  <c r="L118" i="13"/>
  <c r="I119" i="13"/>
  <c r="I17" i="13"/>
  <c r="I150" i="13"/>
  <c r="T71" i="13"/>
  <c r="T127" i="13"/>
  <c r="U126" i="13"/>
  <c r="V126" i="13"/>
  <c r="N148" i="12"/>
  <c r="N89" i="12"/>
  <c r="N55" i="12"/>
  <c r="N121" i="12"/>
  <c r="N22" i="12"/>
  <c r="M51" i="19"/>
  <c r="N51" i="19"/>
  <c r="M17" i="19"/>
  <c r="N17" i="19"/>
  <c r="M148" i="19"/>
  <c r="N148" i="19"/>
  <c r="J52" i="19"/>
  <c r="K52" i="19"/>
  <c r="L52" i="19"/>
  <c r="I53" i="19"/>
  <c r="U18" i="19"/>
  <c r="V18" i="19"/>
  <c r="W18" i="19"/>
  <c r="T19" i="19"/>
  <c r="I149" i="19"/>
  <c r="J118" i="19"/>
  <c r="K118" i="19"/>
  <c r="L118" i="19"/>
  <c r="X17" i="19"/>
  <c r="Y17" i="19"/>
  <c r="U129" i="19"/>
  <c r="V129" i="19"/>
  <c r="U72" i="19"/>
  <c r="V72" i="19"/>
  <c r="I18" i="19"/>
  <c r="J84" i="19"/>
  <c r="K84" i="19"/>
  <c r="L84" i="19"/>
  <c r="I116" i="18"/>
  <c r="T72" i="18"/>
  <c r="U72" i="18"/>
  <c r="V72" i="18"/>
  <c r="I17" i="18"/>
  <c r="J17" i="18"/>
  <c r="K17" i="18"/>
  <c r="L17" i="18"/>
  <c r="T18" i="18"/>
  <c r="U18" i="18"/>
  <c r="V18" i="18"/>
  <c r="W18" i="18"/>
  <c r="M152" i="18"/>
  <c r="N152" i="18"/>
  <c r="X17" i="18"/>
  <c r="Y17" i="18"/>
  <c r="J53" i="18"/>
  <c r="K53" i="18"/>
  <c r="L53" i="18"/>
  <c r="M84" i="18"/>
  <c r="N84" i="18"/>
  <c r="J116" i="18"/>
  <c r="K116" i="18"/>
  <c r="L116" i="18"/>
  <c r="I117" i="18"/>
  <c r="M52" i="18"/>
  <c r="N52" i="18"/>
  <c r="I85" i="18"/>
  <c r="M115" i="18"/>
  <c r="N115" i="18"/>
  <c r="I153" i="18"/>
  <c r="M16" i="18"/>
  <c r="N16" i="18"/>
  <c r="U126" i="18"/>
  <c r="V126" i="18"/>
  <c r="T16" i="17"/>
  <c r="J83" i="17"/>
  <c r="K83" i="17"/>
  <c r="U16" i="17"/>
  <c r="I52" i="17"/>
  <c r="U126" i="17"/>
  <c r="T127" i="17"/>
  <c r="I120" i="17"/>
  <c r="I149" i="17"/>
  <c r="T73" i="17"/>
  <c r="J18" i="17"/>
  <c r="K18" i="17"/>
  <c r="X15" i="13"/>
  <c r="Y15" i="13"/>
  <c r="M118" i="13"/>
  <c r="N118" i="13"/>
  <c r="J17" i="13"/>
  <c r="K17" i="13"/>
  <c r="L17" i="13"/>
  <c r="T16" i="13"/>
  <c r="I151" i="13"/>
  <c r="J150" i="13"/>
  <c r="K150" i="13"/>
  <c r="L150" i="13"/>
  <c r="M83" i="13"/>
  <c r="N83" i="13"/>
  <c r="T128" i="13"/>
  <c r="U127" i="13"/>
  <c r="V127" i="13"/>
  <c r="J119" i="13"/>
  <c r="K119" i="13"/>
  <c r="L119" i="13"/>
  <c r="M48" i="13"/>
  <c r="N48" i="13"/>
  <c r="T72" i="13"/>
  <c r="U71" i="13"/>
  <c r="V71" i="13"/>
  <c r="I84" i="13"/>
  <c r="I49" i="13"/>
  <c r="N122" i="12"/>
  <c r="N56" i="12"/>
  <c r="N23" i="12"/>
  <c r="N90" i="12"/>
  <c r="Y17" i="12"/>
  <c r="X18" i="19"/>
  <c r="Y18" i="19"/>
  <c r="M52" i="19"/>
  <c r="N52" i="19"/>
  <c r="J18" i="19"/>
  <c r="K18" i="19"/>
  <c r="L18" i="19"/>
  <c r="T130" i="19"/>
  <c r="I119" i="19"/>
  <c r="J53" i="19"/>
  <c r="K53" i="19"/>
  <c r="L53" i="19"/>
  <c r="M84" i="19"/>
  <c r="N84" i="19"/>
  <c r="T73" i="19"/>
  <c r="I150" i="19"/>
  <c r="J149" i="19"/>
  <c r="K149" i="19"/>
  <c r="L149" i="19"/>
  <c r="T20" i="19"/>
  <c r="U19" i="19"/>
  <c r="V19" i="19"/>
  <c r="W19" i="19"/>
  <c r="I85" i="19"/>
  <c r="M118" i="19"/>
  <c r="N118" i="19"/>
  <c r="M53" i="18"/>
  <c r="N53" i="18"/>
  <c r="X18" i="18"/>
  <c r="Y18" i="18"/>
  <c r="J117" i="18"/>
  <c r="K117" i="18"/>
  <c r="I118" i="18"/>
  <c r="M17" i="18"/>
  <c r="N17" i="18"/>
  <c r="J85" i="18"/>
  <c r="K85" i="18"/>
  <c r="L85" i="18"/>
  <c r="T73" i="18"/>
  <c r="I54" i="18"/>
  <c r="T19" i="18"/>
  <c r="J153" i="18"/>
  <c r="K153" i="18"/>
  <c r="L153" i="18"/>
  <c r="T127" i="18"/>
  <c r="M116" i="18"/>
  <c r="N116" i="18"/>
  <c r="L117" i="18"/>
  <c r="I18" i="18"/>
  <c r="U73" i="17"/>
  <c r="J149" i="17"/>
  <c r="K149" i="17"/>
  <c r="U127" i="17"/>
  <c r="I84" i="17"/>
  <c r="J120" i="17"/>
  <c r="K120" i="17"/>
  <c r="I19" i="17"/>
  <c r="J52" i="17"/>
  <c r="K52" i="17"/>
  <c r="I53" i="17"/>
  <c r="T17" i="17"/>
  <c r="M119" i="13"/>
  <c r="N119" i="13"/>
  <c r="J84" i="13"/>
  <c r="K84" i="13"/>
  <c r="L84" i="13"/>
  <c r="U128" i="13"/>
  <c r="V128" i="13"/>
  <c r="J151" i="13"/>
  <c r="K151" i="13"/>
  <c r="L151" i="13"/>
  <c r="I120" i="13"/>
  <c r="T17" i="13"/>
  <c r="U16" i="13"/>
  <c r="V16" i="13"/>
  <c r="W16" i="13"/>
  <c r="T73" i="13"/>
  <c r="U72" i="13"/>
  <c r="V72" i="13"/>
  <c r="M17" i="13"/>
  <c r="N17" i="13"/>
  <c r="I50" i="13"/>
  <c r="J49" i="13"/>
  <c r="K49" i="13"/>
  <c r="L49" i="13"/>
  <c r="M150" i="13"/>
  <c r="N150" i="13"/>
  <c r="I18" i="13"/>
  <c r="N149" i="12"/>
  <c r="N24" i="12"/>
  <c r="N57" i="12"/>
  <c r="N91" i="12"/>
  <c r="N123" i="12"/>
  <c r="M53" i="19"/>
  <c r="N53" i="19"/>
  <c r="X19" i="19"/>
  <c r="Y19" i="19"/>
  <c r="M149" i="19"/>
  <c r="N149" i="19"/>
  <c r="U130" i="19"/>
  <c r="V130" i="19"/>
  <c r="U20" i="19"/>
  <c r="V20" i="19"/>
  <c r="W20" i="19"/>
  <c r="J85" i="19"/>
  <c r="K85" i="19"/>
  <c r="L85" i="19"/>
  <c r="J150" i="19"/>
  <c r="K150" i="19"/>
  <c r="L150" i="19"/>
  <c r="M18" i="19"/>
  <c r="N18" i="19"/>
  <c r="J119" i="19"/>
  <c r="K119" i="19"/>
  <c r="L119" i="19"/>
  <c r="U73" i="19"/>
  <c r="V73" i="19"/>
  <c r="I54" i="19"/>
  <c r="I19" i="19"/>
  <c r="I86" i="18"/>
  <c r="M153" i="18"/>
  <c r="N153" i="18"/>
  <c r="U73" i="18"/>
  <c r="V73" i="18"/>
  <c r="M117" i="18"/>
  <c r="N117" i="18"/>
  <c r="I154" i="18"/>
  <c r="J86" i="18"/>
  <c r="K86" i="18"/>
  <c r="L86" i="18"/>
  <c r="J118" i="18"/>
  <c r="K118" i="18"/>
  <c r="L118" i="18"/>
  <c r="U127" i="18"/>
  <c r="V127" i="18"/>
  <c r="J54" i="18"/>
  <c r="K54" i="18"/>
  <c r="L54" i="18"/>
  <c r="J18" i="18"/>
  <c r="K18" i="18"/>
  <c r="L18" i="18"/>
  <c r="U19" i="18"/>
  <c r="V19" i="18"/>
  <c r="W19" i="18"/>
  <c r="M85" i="18"/>
  <c r="N85" i="18"/>
  <c r="I150" i="17"/>
  <c r="J84" i="17"/>
  <c r="K84" i="17"/>
  <c r="T74" i="17"/>
  <c r="J53" i="17"/>
  <c r="K53" i="17"/>
  <c r="I121" i="17"/>
  <c r="J19" i="17"/>
  <c r="K19" i="17"/>
  <c r="U17" i="17"/>
  <c r="T18" i="17"/>
  <c r="T128" i="17"/>
  <c r="J150" i="17"/>
  <c r="K150" i="17"/>
  <c r="I151" i="17"/>
  <c r="M151" i="13"/>
  <c r="N151" i="13"/>
  <c r="J18" i="13"/>
  <c r="K18" i="13"/>
  <c r="L18" i="13"/>
  <c r="I19" i="13"/>
  <c r="X16" i="13"/>
  <c r="Y16" i="13"/>
  <c r="I152" i="13"/>
  <c r="I85" i="13"/>
  <c r="J50" i="13"/>
  <c r="K50" i="13"/>
  <c r="L50" i="13"/>
  <c r="U73" i="13"/>
  <c r="V73" i="13"/>
  <c r="T74" i="13"/>
  <c r="M84" i="13"/>
  <c r="N84" i="13"/>
  <c r="U17" i="13"/>
  <c r="V17" i="13"/>
  <c r="W17" i="13"/>
  <c r="M49" i="13"/>
  <c r="N49" i="13"/>
  <c r="J120" i="13"/>
  <c r="K120" i="13"/>
  <c r="L120" i="13"/>
  <c r="T129" i="13"/>
  <c r="N58" i="12"/>
  <c r="N92" i="12"/>
  <c r="N25" i="12"/>
  <c r="N124" i="12"/>
  <c r="Y18" i="12"/>
  <c r="M150" i="19"/>
  <c r="N150" i="19"/>
  <c r="X20" i="19"/>
  <c r="Y20" i="19"/>
  <c r="M85" i="19"/>
  <c r="N85" i="19"/>
  <c r="T74" i="19"/>
  <c r="I86" i="19"/>
  <c r="T131" i="19"/>
  <c r="J19" i="19"/>
  <c r="K19" i="19"/>
  <c r="L19" i="19"/>
  <c r="M119" i="19"/>
  <c r="N119" i="19"/>
  <c r="J54" i="19"/>
  <c r="K54" i="19"/>
  <c r="L54" i="19"/>
  <c r="I55" i="19"/>
  <c r="I120" i="19"/>
  <c r="I151" i="19"/>
  <c r="T21" i="19"/>
  <c r="T74" i="18"/>
  <c r="U74" i="18"/>
  <c r="V74" i="18"/>
  <c r="T20" i="18"/>
  <c r="U20" i="18"/>
  <c r="V20" i="18"/>
  <c r="W20" i="18"/>
  <c r="M118" i="18"/>
  <c r="N118" i="18"/>
  <c r="M54" i="18"/>
  <c r="N54" i="18"/>
  <c r="M86" i="18"/>
  <c r="N86" i="18"/>
  <c r="I19" i="18"/>
  <c r="T128" i="18"/>
  <c r="I87" i="18"/>
  <c r="X19" i="18"/>
  <c r="Y19" i="18"/>
  <c r="I55" i="18"/>
  <c r="I119" i="18"/>
  <c r="I155" i="18"/>
  <c r="J154" i="18"/>
  <c r="K154" i="18"/>
  <c r="L154" i="18"/>
  <c r="M18" i="18"/>
  <c r="N18" i="18"/>
  <c r="I20" i="17"/>
  <c r="I54" i="17"/>
  <c r="J121" i="17"/>
  <c r="K121" i="17"/>
  <c r="I152" i="17"/>
  <c r="J151" i="17"/>
  <c r="K151" i="17"/>
  <c r="U128" i="17"/>
  <c r="T129" i="17"/>
  <c r="I85" i="17"/>
  <c r="U18" i="17"/>
  <c r="U74" i="17"/>
  <c r="T75" i="17"/>
  <c r="X17" i="13"/>
  <c r="Y17" i="13"/>
  <c r="U74" i="13"/>
  <c r="V74" i="13"/>
  <c r="J85" i="13"/>
  <c r="K85" i="13"/>
  <c r="L85" i="13"/>
  <c r="J19" i="13"/>
  <c r="K19" i="13"/>
  <c r="L19" i="13"/>
  <c r="I121" i="13"/>
  <c r="T18" i="13"/>
  <c r="J152" i="13"/>
  <c r="K152" i="13"/>
  <c r="L152" i="13"/>
  <c r="M18" i="13"/>
  <c r="N18" i="13"/>
  <c r="M120" i="13"/>
  <c r="N120" i="13"/>
  <c r="U129" i="13"/>
  <c r="V129" i="13"/>
  <c r="M50" i="13"/>
  <c r="N50" i="13"/>
  <c r="I51" i="13"/>
  <c r="N150" i="12"/>
  <c r="N26" i="12"/>
  <c r="N59" i="12"/>
  <c r="N125" i="12"/>
  <c r="N93" i="12"/>
  <c r="J55" i="19"/>
  <c r="K55" i="19"/>
  <c r="L55" i="19"/>
  <c r="M19" i="19"/>
  <c r="N19" i="19"/>
  <c r="U74" i="19"/>
  <c r="V74" i="19"/>
  <c r="T75" i="19"/>
  <c r="I121" i="19"/>
  <c r="J120" i="19"/>
  <c r="K120" i="19"/>
  <c r="L120" i="19"/>
  <c r="U21" i="19"/>
  <c r="V21" i="19"/>
  <c r="W21" i="19"/>
  <c r="M54" i="19"/>
  <c r="N54" i="19"/>
  <c r="I20" i="19"/>
  <c r="J86" i="19"/>
  <c r="K86" i="19"/>
  <c r="L86" i="19"/>
  <c r="I152" i="19"/>
  <c r="J151" i="19"/>
  <c r="K151" i="19"/>
  <c r="L151" i="19"/>
  <c r="U131" i="19"/>
  <c r="V131" i="19"/>
  <c r="T132" i="19"/>
  <c r="T75" i="18"/>
  <c r="U75" i="18"/>
  <c r="V75" i="18"/>
  <c r="T21" i="18"/>
  <c r="X20" i="18"/>
  <c r="Y20" i="18"/>
  <c r="J119" i="18"/>
  <c r="K119" i="18"/>
  <c r="L119" i="18"/>
  <c r="I120" i="18"/>
  <c r="U21" i="18"/>
  <c r="V21" i="18"/>
  <c r="W21" i="18"/>
  <c r="J55" i="18"/>
  <c r="K55" i="18"/>
  <c r="L55" i="18"/>
  <c r="U128" i="18"/>
  <c r="V128" i="18"/>
  <c r="M154" i="18"/>
  <c r="N154" i="18"/>
  <c r="J19" i="18"/>
  <c r="K19" i="18"/>
  <c r="L19" i="18"/>
  <c r="J87" i="18"/>
  <c r="K87" i="18"/>
  <c r="L87" i="18"/>
  <c r="I88" i="18"/>
  <c r="J155" i="18"/>
  <c r="K155" i="18"/>
  <c r="L155" i="18"/>
  <c r="U75" i="17"/>
  <c r="I122" i="17"/>
  <c r="T19" i="17"/>
  <c r="U129" i="17"/>
  <c r="J54" i="17"/>
  <c r="K54" i="17"/>
  <c r="J20" i="17"/>
  <c r="K20" i="17"/>
  <c r="I21" i="17"/>
  <c r="J85" i="17"/>
  <c r="K85" i="17"/>
  <c r="J152" i="17"/>
  <c r="K152" i="17"/>
  <c r="M19" i="13"/>
  <c r="N19" i="13"/>
  <c r="I153" i="13"/>
  <c r="I20" i="13"/>
  <c r="T75" i="13"/>
  <c r="M85" i="13"/>
  <c r="N85" i="13"/>
  <c r="M152" i="13"/>
  <c r="N152" i="13"/>
  <c r="T19" i="13"/>
  <c r="U18" i="13"/>
  <c r="V18" i="13"/>
  <c r="W18" i="13"/>
  <c r="I52" i="13"/>
  <c r="J51" i="13"/>
  <c r="K51" i="13"/>
  <c r="L51" i="13"/>
  <c r="T130" i="13"/>
  <c r="J121" i="13"/>
  <c r="K121" i="13"/>
  <c r="L121" i="13"/>
  <c r="I122" i="13"/>
  <c r="I86" i="13"/>
  <c r="N151" i="12"/>
  <c r="N60" i="12"/>
  <c r="N126" i="12"/>
  <c r="N27" i="12"/>
  <c r="N94" i="12"/>
  <c r="Y19" i="12"/>
  <c r="J152" i="19"/>
  <c r="K152" i="19"/>
  <c r="M120" i="19"/>
  <c r="N120" i="19"/>
  <c r="M86" i="19"/>
  <c r="N86" i="19"/>
  <c r="M55" i="19"/>
  <c r="N55" i="19"/>
  <c r="J121" i="19"/>
  <c r="K121" i="19"/>
  <c r="L121" i="19"/>
  <c r="I87" i="19"/>
  <c r="X21" i="19"/>
  <c r="Y21" i="19"/>
  <c r="T76" i="19"/>
  <c r="U75" i="19"/>
  <c r="V75" i="19"/>
  <c r="T133" i="19"/>
  <c r="U132" i="19"/>
  <c r="V132" i="19"/>
  <c r="M151" i="19"/>
  <c r="N151" i="19"/>
  <c r="L152" i="19"/>
  <c r="J20" i="19"/>
  <c r="K20" i="19"/>
  <c r="L20" i="19"/>
  <c r="T22" i="19"/>
  <c r="I56" i="19"/>
  <c r="I20" i="18"/>
  <c r="T76" i="18"/>
  <c r="U76" i="18"/>
  <c r="V76" i="18"/>
  <c r="X21" i="18"/>
  <c r="Y21" i="18"/>
  <c r="J88" i="18"/>
  <c r="K88" i="18"/>
  <c r="L88" i="18"/>
  <c r="M87" i="18"/>
  <c r="N87" i="18"/>
  <c r="M155" i="18"/>
  <c r="N155" i="18"/>
  <c r="I56" i="18"/>
  <c r="M119" i="18"/>
  <c r="N119" i="18"/>
  <c r="M55" i="18"/>
  <c r="N55" i="18"/>
  <c r="J120" i="18"/>
  <c r="K120" i="18"/>
  <c r="L120" i="18"/>
  <c r="I156" i="18"/>
  <c r="M19" i="18"/>
  <c r="N19" i="18"/>
  <c r="T129" i="18"/>
  <c r="T22" i="18"/>
  <c r="I55" i="17"/>
  <c r="J21" i="17"/>
  <c r="K21" i="17"/>
  <c r="U19" i="17"/>
  <c r="J122" i="17"/>
  <c r="K122" i="17"/>
  <c r="I123" i="17"/>
  <c r="J55" i="17"/>
  <c r="K55" i="17"/>
  <c r="I153" i="17"/>
  <c r="I86" i="17"/>
  <c r="T130" i="17"/>
  <c r="T76" i="17"/>
  <c r="J122" i="13"/>
  <c r="K122" i="13"/>
  <c r="L122" i="13"/>
  <c r="J20" i="13"/>
  <c r="K20" i="13"/>
  <c r="L20" i="13"/>
  <c r="I21" i="13"/>
  <c r="M121" i="13"/>
  <c r="N121" i="13"/>
  <c r="X18" i="13"/>
  <c r="Y18" i="13"/>
  <c r="J153" i="13"/>
  <c r="K153" i="13"/>
  <c r="L153" i="13"/>
  <c r="U19" i="13"/>
  <c r="V19" i="13"/>
  <c r="W19" i="13"/>
  <c r="J52" i="13"/>
  <c r="K52" i="13"/>
  <c r="L52" i="13"/>
  <c r="U130" i="13"/>
  <c r="V130" i="13"/>
  <c r="J86" i="13"/>
  <c r="K86" i="13"/>
  <c r="L86" i="13"/>
  <c r="M51" i="13"/>
  <c r="N51" i="13"/>
  <c r="U75" i="13"/>
  <c r="V75" i="13"/>
  <c r="N28" i="12"/>
  <c r="N127" i="12"/>
  <c r="N95" i="12"/>
  <c r="N61" i="12"/>
  <c r="Y20" i="12"/>
  <c r="M121" i="19"/>
  <c r="N121" i="19"/>
  <c r="M20" i="19"/>
  <c r="N20" i="19"/>
  <c r="U133" i="19"/>
  <c r="V133" i="19"/>
  <c r="J56" i="19"/>
  <c r="K56" i="19"/>
  <c r="L56" i="19"/>
  <c r="I57" i="19"/>
  <c r="M152" i="19"/>
  <c r="N152" i="19"/>
  <c r="J87" i="19"/>
  <c r="K87" i="19"/>
  <c r="L87" i="19"/>
  <c r="U22" i="19"/>
  <c r="V22" i="19"/>
  <c r="W22" i="19"/>
  <c r="U76" i="19"/>
  <c r="V76" i="19"/>
  <c r="T77" i="19"/>
  <c r="I21" i="19"/>
  <c r="I122" i="19"/>
  <c r="I153" i="19"/>
  <c r="J20" i="18"/>
  <c r="K20" i="18"/>
  <c r="L20" i="18"/>
  <c r="M20" i="18"/>
  <c r="N20" i="18"/>
  <c r="T77" i="18"/>
  <c r="M120" i="18"/>
  <c r="N120" i="18"/>
  <c r="M88" i="18"/>
  <c r="N88" i="18"/>
  <c r="J156" i="18"/>
  <c r="K156" i="18"/>
  <c r="L156" i="18"/>
  <c r="U77" i="18"/>
  <c r="V77" i="18"/>
  <c r="U129" i="18"/>
  <c r="V129" i="18"/>
  <c r="I121" i="18"/>
  <c r="U22" i="18"/>
  <c r="V22" i="18"/>
  <c r="W22" i="18"/>
  <c r="I89" i="18"/>
  <c r="J56" i="18"/>
  <c r="K56" i="18"/>
  <c r="L56" i="18"/>
  <c r="U76" i="17"/>
  <c r="T77" i="17"/>
  <c r="J86" i="17"/>
  <c r="K86" i="17"/>
  <c r="J123" i="17"/>
  <c r="K123" i="17"/>
  <c r="U130" i="17"/>
  <c r="J153" i="17"/>
  <c r="K153" i="17"/>
  <c r="I22" i="17"/>
  <c r="I56" i="17"/>
  <c r="T20" i="17"/>
  <c r="X19" i="13"/>
  <c r="Y19" i="13"/>
  <c r="M52" i="13"/>
  <c r="N52" i="13"/>
  <c r="M122" i="13"/>
  <c r="N122" i="13"/>
  <c r="J21" i="13"/>
  <c r="K21" i="13"/>
  <c r="L21" i="13"/>
  <c r="T131" i="13"/>
  <c r="T20" i="13"/>
  <c r="M20" i="13"/>
  <c r="N20" i="13"/>
  <c r="M86" i="13"/>
  <c r="N86" i="13"/>
  <c r="M153" i="13"/>
  <c r="N153" i="13"/>
  <c r="T76" i="13"/>
  <c r="I87" i="13"/>
  <c r="I53" i="13"/>
  <c r="I154" i="13"/>
  <c r="I123" i="13"/>
  <c r="N152" i="12"/>
  <c r="N29" i="12"/>
  <c r="N62" i="12"/>
  <c r="N96" i="12"/>
  <c r="N128" i="12"/>
  <c r="U77" i="19"/>
  <c r="V77" i="19"/>
  <c r="M87" i="19"/>
  <c r="N87" i="19"/>
  <c r="J57" i="19"/>
  <c r="K57" i="19"/>
  <c r="L57" i="19"/>
  <c r="J153" i="19"/>
  <c r="K153" i="19"/>
  <c r="L153" i="19"/>
  <c r="I88" i="19"/>
  <c r="M56" i="19"/>
  <c r="N56" i="19"/>
  <c r="J122" i="19"/>
  <c r="K122" i="19"/>
  <c r="L122" i="19"/>
  <c r="X22" i="19"/>
  <c r="Y22" i="19"/>
  <c r="T134" i="19"/>
  <c r="J21" i="19"/>
  <c r="K21" i="19"/>
  <c r="L21" i="19"/>
  <c r="T23" i="19"/>
  <c r="T78" i="18"/>
  <c r="U78" i="18"/>
  <c r="V78" i="18"/>
  <c r="T23" i="18"/>
  <c r="I57" i="18"/>
  <c r="I21" i="18"/>
  <c r="J21" i="18"/>
  <c r="K21" i="18"/>
  <c r="L21" i="18"/>
  <c r="M21" i="18"/>
  <c r="N21" i="18"/>
  <c r="M156" i="18"/>
  <c r="N156" i="18"/>
  <c r="U23" i="18"/>
  <c r="V23" i="18"/>
  <c r="W23" i="18"/>
  <c r="I157" i="18"/>
  <c r="J89" i="18"/>
  <c r="K89" i="18"/>
  <c r="L89" i="18"/>
  <c r="X22" i="18"/>
  <c r="Y22" i="18"/>
  <c r="J57" i="18"/>
  <c r="K57" i="18"/>
  <c r="L57" i="18"/>
  <c r="M56" i="18"/>
  <c r="N56" i="18"/>
  <c r="J121" i="18"/>
  <c r="K121" i="18"/>
  <c r="L121" i="18"/>
  <c r="I122" i="18"/>
  <c r="T130" i="18"/>
  <c r="T131" i="17"/>
  <c r="I154" i="17"/>
  <c r="I87" i="17"/>
  <c r="J56" i="17"/>
  <c r="K56" i="17"/>
  <c r="I57" i="17"/>
  <c r="U131" i="17"/>
  <c r="U77" i="17"/>
  <c r="U20" i="17"/>
  <c r="J22" i="17"/>
  <c r="K22" i="17"/>
  <c r="I124" i="17"/>
  <c r="M21" i="13"/>
  <c r="N21" i="13"/>
  <c r="J53" i="13"/>
  <c r="K53" i="13"/>
  <c r="L53" i="13"/>
  <c r="I22" i="13"/>
  <c r="I88" i="13"/>
  <c r="J87" i="13"/>
  <c r="K87" i="13"/>
  <c r="L87" i="13"/>
  <c r="I155" i="13"/>
  <c r="J154" i="13"/>
  <c r="K154" i="13"/>
  <c r="L154" i="13"/>
  <c r="T21" i="13"/>
  <c r="U20" i="13"/>
  <c r="V20" i="13"/>
  <c r="W20" i="13"/>
  <c r="J123" i="13"/>
  <c r="K123" i="13"/>
  <c r="L123" i="13"/>
  <c r="U76" i="13"/>
  <c r="V76" i="13"/>
  <c r="T132" i="13"/>
  <c r="U131" i="13"/>
  <c r="V131" i="13"/>
  <c r="N63" i="12"/>
  <c r="N129" i="12"/>
  <c r="N97" i="12"/>
  <c r="N30" i="12"/>
  <c r="Y21" i="12"/>
  <c r="M57" i="19"/>
  <c r="N57" i="19"/>
  <c r="M122" i="19"/>
  <c r="N122" i="19"/>
  <c r="T78" i="19"/>
  <c r="U134" i="19"/>
  <c r="V134" i="19"/>
  <c r="I123" i="19"/>
  <c r="M153" i="19"/>
  <c r="N153" i="19"/>
  <c r="M21" i="19"/>
  <c r="N21" i="19"/>
  <c r="I22" i="19"/>
  <c r="J88" i="19"/>
  <c r="K88" i="19"/>
  <c r="L88" i="19"/>
  <c r="I58" i="19"/>
  <c r="U23" i="19"/>
  <c r="V23" i="19"/>
  <c r="W23" i="19"/>
  <c r="I154" i="19"/>
  <c r="I22" i="18"/>
  <c r="J22" i="18"/>
  <c r="K22" i="18"/>
  <c r="L22" i="18"/>
  <c r="M22" i="18"/>
  <c r="N22" i="18"/>
  <c r="T24" i="18"/>
  <c r="U24" i="18"/>
  <c r="V24" i="18"/>
  <c r="W24" i="18"/>
  <c r="T79" i="18"/>
  <c r="U79" i="18"/>
  <c r="V79" i="18"/>
  <c r="M121" i="18"/>
  <c r="N121" i="18"/>
  <c r="I58" i="18"/>
  <c r="X23" i="18"/>
  <c r="Y23" i="18"/>
  <c r="I90" i="18"/>
  <c r="M57" i="18"/>
  <c r="N57" i="18"/>
  <c r="M89" i="18"/>
  <c r="N89" i="18"/>
  <c r="U130" i="18"/>
  <c r="V130" i="18"/>
  <c r="I123" i="18"/>
  <c r="J122" i="18"/>
  <c r="K122" i="18"/>
  <c r="L122" i="18"/>
  <c r="J157" i="18"/>
  <c r="K157" i="18"/>
  <c r="L157" i="18"/>
  <c r="I23" i="17"/>
  <c r="T21" i="17"/>
  <c r="J154" i="17"/>
  <c r="K154" i="17"/>
  <c r="I24" i="17"/>
  <c r="J23" i="17"/>
  <c r="K23" i="17"/>
  <c r="J57" i="17"/>
  <c r="K57" i="17"/>
  <c r="J87" i="17"/>
  <c r="K87" i="17"/>
  <c r="J124" i="17"/>
  <c r="K124" i="17"/>
  <c r="T132" i="17"/>
  <c r="T78" i="17"/>
  <c r="M53" i="13"/>
  <c r="N53" i="13"/>
  <c r="T77" i="13"/>
  <c r="X20" i="13"/>
  <c r="Y20" i="13"/>
  <c r="M87" i="13"/>
  <c r="N87" i="13"/>
  <c r="I54" i="13"/>
  <c r="M123" i="13"/>
  <c r="N123" i="13"/>
  <c r="U21" i="13"/>
  <c r="V21" i="13"/>
  <c r="W21" i="13"/>
  <c r="J88" i="13"/>
  <c r="K88" i="13"/>
  <c r="L88" i="13"/>
  <c r="U132" i="13"/>
  <c r="V132" i="13"/>
  <c r="J155" i="13"/>
  <c r="K155" i="13"/>
  <c r="I124" i="13"/>
  <c r="L155" i="13"/>
  <c r="M154" i="13"/>
  <c r="N154" i="13"/>
  <c r="J22" i="13"/>
  <c r="K22" i="13"/>
  <c r="L22" i="13"/>
  <c r="N153" i="12"/>
  <c r="N64" i="12"/>
  <c r="N98" i="12"/>
  <c r="N31" i="12"/>
  <c r="N130" i="12"/>
  <c r="U78" i="19"/>
  <c r="V78" i="19"/>
  <c r="J58" i="19"/>
  <c r="K58" i="19"/>
  <c r="L58" i="19"/>
  <c r="I155" i="19"/>
  <c r="J154" i="19"/>
  <c r="K154" i="19"/>
  <c r="L154" i="19"/>
  <c r="M88" i="19"/>
  <c r="N88" i="19"/>
  <c r="J22" i="19"/>
  <c r="K22" i="19"/>
  <c r="L22" i="19"/>
  <c r="J123" i="19"/>
  <c r="K123" i="19"/>
  <c r="L123" i="19"/>
  <c r="T24" i="19"/>
  <c r="I89" i="19"/>
  <c r="T135" i="19"/>
  <c r="X23" i="19"/>
  <c r="Y23" i="19"/>
  <c r="I23" i="18"/>
  <c r="J23" i="18"/>
  <c r="K23" i="18"/>
  <c r="L23" i="18"/>
  <c r="T131" i="18"/>
  <c r="U131" i="18"/>
  <c r="V131" i="18"/>
  <c r="T25" i="18"/>
  <c r="U25" i="18"/>
  <c r="M122" i="18"/>
  <c r="N122" i="18"/>
  <c r="X24" i="18"/>
  <c r="Y24" i="18"/>
  <c r="M157" i="18"/>
  <c r="N157" i="18"/>
  <c r="T80" i="18"/>
  <c r="I91" i="18"/>
  <c r="J90" i="18"/>
  <c r="K90" i="18"/>
  <c r="L90" i="18"/>
  <c r="J123" i="18"/>
  <c r="K123" i="18"/>
  <c r="L123" i="18"/>
  <c r="I158" i="18"/>
  <c r="J58" i="18"/>
  <c r="K58" i="18"/>
  <c r="L58" i="18"/>
  <c r="J24" i="17"/>
  <c r="K24" i="17"/>
  <c r="I25" i="17"/>
  <c r="U132" i="17"/>
  <c r="T133" i="17"/>
  <c r="I88" i="17"/>
  <c r="I58" i="17"/>
  <c r="I155" i="17"/>
  <c r="U78" i="17"/>
  <c r="T79" i="17"/>
  <c r="I125" i="17"/>
  <c r="U21" i="17"/>
  <c r="X21" i="13"/>
  <c r="Y21" i="13"/>
  <c r="M88" i="13"/>
  <c r="N88" i="13"/>
  <c r="M155" i="13"/>
  <c r="N155" i="13"/>
  <c r="J54" i="13"/>
  <c r="K54" i="13"/>
  <c r="L54" i="13"/>
  <c r="I23" i="13"/>
  <c r="I125" i="13"/>
  <c r="J124" i="13"/>
  <c r="K124" i="13"/>
  <c r="L124" i="13"/>
  <c r="T133" i="13"/>
  <c r="T22" i="13"/>
  <c r="T78" i="13"/>
  <c r="U77" i="13"/>
  <c r="V77" i="13"/>
  <c r="M22" i="13"/>
  <c r="N22" i="13"/>
  <c r="I156" i="13"/>
  <c r="I89" i="13"/>
  <c r="N99" i="12"/>
  <c r="N131" i="12"/>
  <c r="N32" i="12"/>
  <c r="N65" i="12"/>
  <c r="Y22" i="12"/>
  <c r="I124" i="19"/>
  <c r="I59" i="19"/>
  <c r="M123" i="19"/>
  <c r="N123" i="19"/>
  <c r="M58" i="19"/>
  <c r="N58" i="19"/>
  <c r="U135" i="19"/>
  <c r="V135" i="19"/>
  <c r="J89" i="19"/>
  <c r="K89" i="19"/>
  <c r="L89" i="19"/>
  <c r="I23" i="19"/>
  <c r="M154" i="19"/>
  <c r="N154" i="19"/>
  <c r="T79" i="19"/>
  <c r="U24" i="19"/>
  <c r="V24" i="19"/>
  <c r="W24" i="19"/>
  <c r="T25" i="19"/>
  <c r="M22" i="19"/>
  <c r="N22" i="19"/>
  <c r="J155" i="19"/>
  <c r="K155" i="19"/>
  <c r="L155" i="19"/>
  <c r="I124" i="18"/>
  <c r="I24" i="18"/>
  <c r="V25" i="18"/>
  <c r="W25" i="18"/>
  <c r="X25" i="18"/>
  <c r="Y25" i="18"/>
  <c r="T26" i="18"/>
  <c r="U26" i="18"/>
  <c r="V26" i="18"/>
  <c r="T132" i="18"/>
  <c r="U132" i="18"/>
  <c r="V132" i="18"/>
  <c r="J91" i="18"/>
  <c r="K91" i="18"/>
  <c r="I59" i="18"/>
  <c r="I125" i="18"/>
  <c r="J124" i="18"/>
  <c r="K124" i="18"/>
  <c r="L124" i="18"/>
  <c r="U80" i="18"/>
  <c r="V80" i="18"/>
  <c r="J158" i="18"/>
  <c r="K158" i="18"/>
  <c r="L158" i="18"/>
  <c r="M23" i="18"/>
  <c r="N23" i="18"/>
  <c r="M58" i="18"/>
  <c r="N58" i="18"/>
  <c r="L91" i="18"/>
  <c r="M90" i="18"/>
  <c r="N90" i="18"/>
  <c r="M123" i="18"/>
  <c r="N123" i="18"/>
  <c r="U79" i="17"/>
  <c r="U133" i="17"/>
  <c r="J25" i="17"/>
  <c r="K25" i="17"/>
  <c r="J125" i="17"/>
  <c r="K125" i="17"/>
  <c r="J58" i="17"/>
  <c r="K58" i="17"/>
  <c r="J88" i="17"/>
  <c r="K88" i="17"/>
  <c r="T22" i="17"/>
  <c r="J155" i="17"/>
  <c r="K155" i="17"/>
  <c r="J89" i="13"/>
  <c r="K89" i="13"/>
  <c r="L89" i="13"/>
  <c r="M124" i="13"/>
  <c r="N124" i="13"/>
  <c r="I55" i="13"/>
  <c r="T134" i="13"/>
  <c r="U133" i="13"/>
  <c r="V133" i="13"/>
  <c r="U78" i="13"/>
  <c r="V78" i="13"/>
  <c r="J125" i="13"/>
  <c r="K125" i="13"/>
  <c r="L125" i="13"/>
  <c r="M54" i="13"/>
  <c r="N54" i="13"/>
  <c r="I157" i="13"/>
  <c r="J156" i="13"/>
  <c r="K156" i="13"/>
  <c r="L156" i="13"/>
  <c r="T23" i="13"/>
  <c r="U22" i="13"/>
  <c r="V22" i="13"/>
  <c r="W22" i="13"/>
  <c r="I24" i="13"/>
  <c r="J23" i="13"/>
  <c r="K23" i="13"/>
  <c r="L23" i="13"/>
  <c r="N154" i="12"/>
  <c r="N33" i="12"/>
  <c r="N100" i="12"/>
  <c r="N66" i="12"/>
  <c r="N132" i="12"/>
  <c r="M155" i="19"/>
  <c r="N155" i="19"/>
  <c r="X24" i="19"/>
  <c r="Y24" i="19"/>
  <c r="J23" i="19"/>
  <c r="K23" i="19"/>
  <c r="L23" i="19"/>
  <c r="I24" i="19"/>
  <c r="T136" i="19"/>
  <c r="I156" i="19"/>
  <c r="U79" i="19"/>
  <c r="V79" i="19"/>
  <c r="M89" i="19"/>
  <c r="N89" i="19"/>
  <c r="J59" i="19"/>
  <c r="K59" i="19"/>
  <c r="L59" i="19"/>
  <c r="U25" i="19"/>
  <c r="V25" i="19"/>
  <c r="W25" i="19"/>
  <c r="T26" i="19"/>
  <c r="I90" i="19"/>
  <c r="J124" i="19"/>
  <c r="K124" i="19"/>
  <c r="L124" i="19"/>
  <c r="I159" i="18"/>
  <c r="I160" i="18"/>
  <c r="T81" i="18"/>
  <c r="U81" i="18"/>
  <c r="V81" i="18"/>
  <c r="W26" i="18"/>
  <c r="X26" i="18"/>
  <c r="Y26" i="18"/>
  <c r="J24" i="18"/>
  <c r="K24" i="18"/>
  <c r="L24" i="18"/>
  <c r="M24" i="18"/>
  <c r="N24" i="18"/>
  <c r="M91" i="18"/>
  <c r="N91" i="18"/>
  <c r="M124" i="18"/>
  <c r="N124" i="18"/>
  <c r="T133" i="18"/>
  <c r="J159" i="18"/>
  <c r="K159" i="18"/>
  <c r="I92" i="18"/>
  <c r="T27" i="18"/>
  <c r="J125" i="18"/>
  <c r="K125" i="18"/>
  <c r="L125" i="18"/>
  <c r="L159" i="18"/>
  <c r="M158" i="18"/>
  <c r="N158" i="18"/>
  <c r="J59" i="18"/>
  <c r="K59" i="18"/>
  <c r="L59" i="18"/>
  <c r="I156" i="17"/>
  <c r="I59" i="17"/>
  <c r="I26" i="17"/>
  <c r="J156" i="17"/>
  <c r="K156" i="17"/>
  <c r="U22" i="17"/>
  <c r="I89" i="17"/>
  <c r="I126" i="17"/>
  <c r="T134" i="17"/>
  <c r="T80" i="17"/>
  <c r="M125" i="13"/>
  <c r="N125" i="13"/>
  <c r="U23" i="13"/>
  <c r="V23" i="13"/>
  <c r="W23" i="13"/>
  <c r="M23" i="13"/>
  <c r="N23" i="13"/>
  <c r="M156" i="13"/>
  <c r="N156" i="13"/>
  <c r="I126" i="13"/>
  <c r="I158" i="13"/>
  <c r="J157" i="13"/>
  <c r="K157" i="13"/>
  <c r="L157" i="13"/>
  <c r="T135" i="13"/>
  <c r="U134" i="13"/>
  <c r="V134" i="13"/>
  <c r="M89" i="13"/>
  <c r="N89" i="13"/>
  <c r="J24" i="13"/>
  <c r="K24" i="13"/>
  <c r="L24" i="13"/>
  <c r="X22" i="13"/>
  <c r="Y22" i="13"/>
  <c r="T79" i="13"/>
  <c r="J55" i="13"/>
  <c r="K55" i="13"/>
  <c r="L55" i="13"/>
  <c r="I90" i="13"/>
  <c r="N133" i="12"/>
  <c r="N102" i="12"/>
  <c r="N101" i="12"/>
  <c r="N67" i="12"/>
  <c r="N34" i="12"/>
  <c r="Y23" i="12"/>
  <c r="J156" i="19"/>
  <c r="K156" i="19"/>
  <c r="L156" i="19"/>
  <c r="I125" i="19"/>
  <c r="M59" i="19"/>
  <c r="N59" i="19"/>
  <c r="J24" i="19"/>
  <c r="K24" i="19"/>
  <c r="L24" i="19"/>
  <c r="U26" i="19"/>
  <c r="V26" i="19"/>
  <c r="W26" i="19"/>
  <c r="X25" i="19"/>
  <c r="Y25" i="19"/>
  <c r="M124" i="19"/>
  <c r="N124" i="19"/>
  <c r="U136" i="19"/>
  <c r="V136" i="19"/>
  <c r="I91" i="19"/>
  <c r="J90" i="19"/>
  <c r="K90" i="19"/>
  <c r="L90" i="19"/>
  <c r="I60" i="19"/>
  <c r="T80" i="19"/>
  <c r="M23" i="19"/>
  <c r="N23" i="19"/>
  <c r="I60" i="18"/>
  <c r="I25" i="18"/>
  <c r="J25" i="18"/>
  <c r="K25" i="18"/>
  <c r="L25" i="18"/>
  <c r="M25" i="18"/>
  <c r="N25" i="18"/>
  <c r="T82" i="18"/>
  <c r="U82" i="18"/>
  <c r="V82" i="18"/>
  <c r="M125" i="18"/>
  <c r="N125" i="18"/>
  <c r="M159" i="18"/>
  <c r="N159" i="18"/>
  <c r="M59" i="18"/>
  <c r="N59" i="18"/>
  <c r="I126" i="18"/>
  <c r="U27" i="18"/>
  <c r="V27" i="18"/>
  <c r="W27" i="18"/>
  <c r="J60" i="18"/>
  <c r="K60" i="18"/>
  <c r="L60" i="18"/>
  <c r="J92" i="18"/>
  <c r="K92" i="18"/>
  <c r="L92" i="18"/>
  <c r="J160" i="18"/>
  <c r="K160" i="18"/>
  <c r="L160" i="18"/>
  <c r="U133" i="18"/>
  <c r="V133" i="18"/>
  <c r="I157" i="17"/>
  <c r="J126" i="17"/>
  <c r="K126" i="17"/>
  <c r="U80" i="17"/>
  <c r="T81" i="17"/>
  <c r="J26" i="17"/>
  <c r="K26" i="17"/>
  <c r="U134" i="17"/>
  <c r="T23" i="17"/>
  <c r="J59" i="17"/>
  <c r="K59" i="17"/>
  <c r="J89" i="17"/>
  <c r="K89" i="17"/>
  <c r="J157" i="17"/>
  <c r="K157" i="17"/>
  <c r="M24" i="13"/>
  <c r="N24" i="13"/>
  <c r="M157" i="13"/>
  <c r="N157" i="13"/>
  <c r="X23" i="13"/>
  <c r="Y23" i="13"/>
  <c r="U79" i="13"/>
  <c r="V79" i="13"/>
  <c r="U135" i="13"/>
  <c r="V135" i="13"/>
  <c r="J90" i="13"/>
  <c r="K90" i="13"/>
  <c r="L90" i="13"/>
  <c r="T24" i="13"/>
  <c r="M55" i="13"/>
  <c r="N55" i="13"/>
  <c r="I159" i="13"/>
  <c r="J158" i="13"/>
  <c r="K158" i="13"/>
  <c r="L158" i="13"/>
  <c r="I56" i="13"/>
  <c r="I25" i="13"/>
  <c r="I127" i="13"/>
  <c r="J126" i="13"/>
  <c r="K126" i="13"/>
  <c r="L126" i="13"/>
  <c r="N155" i="12"/>
  <c r="N69" i="12"/>
  <c r="N68" i="12"/>
  <c r="N35" i="12"/>
  <c r="N36" i="12"/>
  <c r="N134" i="12"/>
  <c r="N135" i="12"/>
  <c r="Y24" i="12"/>
  <c r="X26" i="19"/>
  <c r="Y26" i="19"/>
  <c r="M24" i="19"/>
  <c r="N24" i="19"/>
  <c r="I92" i="19"/>
  <c r="J91" i="19"/>
  <c r="K91" i="19"/>
  <c r="L91" i="19"/>
  <c r="U80" i="19"/>
  <c r="V80" i="19"/>
  <c r="T81" i="19"/>
  <c r="T137" i="19"/>
  <c r="I25" i="19"/>
  <c r="J125" i="19"/>
  <c r="K125" i="19"/>
  <c r="L125" i="19"/>
  <c r="I61" i="19"/>
  <c r="J60" i="19"/>
  <c r="K60" i="19"/>
  <c r="L60" i="19"/>
  <c r="M156" i="19"/>
  <c r="N156" i="19"/>
  <c r="M90" i="19"/>
  <c r="N90" i="19"/>
  <c r="T27" i="19"/>
  <c r="I157" i="19"/>
  <c r="I26" i="18"/>
  <c r="J26" i="18"/>
  <c r="K26" i="18"/>
  <c r="L26" i="18"/>
  <c r="T28" i="18"/>
  <c r="U28" i="18"/>
  <c r="M160" i="18"/>
  <c r="N160" i="18"/>
  <c r="M60" i="18"/>
  <c r="N60" i="18"/>
  <c r="J126" i="18"/>
  <c r="K126" i="18"/>
  <c r="L126" i="18"/>
  <c r="I161" i="18"/>
  <c r="I61" i="18"/>
  <c r="M92" i="18"/>
  <c r="N92" i="18"/>
  <c r="X27" i="18"/>
  <c r="Y27" i="18"/>
  <c r="T134" i="18"/>
  <c r="I93" i="18"/>
  <c r="T83" i="18"/>
  <c r="I90" i="17"/>
  <c r="J90" i="17"/>
  <c r="K90" i="17"/>
  <c r="I91" i="17"/>
  <c r="I158" i="17"/>
  <c r="I60" i="17"/>
  <c r="U81" i="17"/>
  <c r="T135" i="17"/>
  <c r="U23" i="17"/>
  <c r="T24" i="17"/>
  <c r="I27" i="17"/>
  <c r="I127" i="17"/>
  <c r="J127" i="13"/>
  <c r="K127" i="13"/>
  <c r="I128" i="13"/>
  <c r="M158" i="13"/>
  <c r="N158" i="13"/>
  <c r="J25" i="13"/>
  <c r="K25" i="13"/>
  <c r="L25" i="13"/>
  <c r="I91" i="13"/>
  <c r="T80" i="13"/>
  <c r="J159" i="13"/>
  <c r="K159" i="13"/>
  <c r="L159" i="13"/>
  <c r="M90" i="13"/>
  <c r="N90" i="13"/>
  <c r="J56" i="13"/>
  <c r="K56" i="13"/>
  <c r="L56" i="13"/>
  <c r="I57" i="13"/>
  <c r="L127" i="13"/>
  <c r="M126" i="13"/>
  <c r="N126" i="13"/>
  <c r="U24" i="13"/>
  <c r="V24" i="13"/>
  <c r="W24" i="13"/>
  <c r="T136" i="13"/>
  <c r="Y25" i="12"/>
  <c r="I158" i="19"/>
  <c r="J157" i="19"/>
  <c r="K157" i="19"/>
  <c r="L157" i="19"/>
  <c r="M125" i="19"/>
  <c r="N125" i="19"/>
  <c r="U81" i="19"/>
  <c r="V81" i="19"/>
  <c r="U27" i="19"/>
  <c r="V27" i="19"/>
  <c r="W27" i="19"/>
  <c r="I126" i="19"/>
  <c r="M60" i="19"/>
  <c r="N60" i="19"/>
  <c r="J25" i="19"/>
  <c r="K25" i="19"/>
  <c r="L25" i="19"/>
  <c r="M91" i="19"/>
  <c r="N91" i="19"/>
  <c r="I62" i="19"/>
  <c r="J61" i="19"/>
  <c r="K61" i="19"/>
  <c r="L61" i="19"/>
  <c r="U137" i="19"/>
  <c r="V137" i="19"/>
  <c r="I93" i="19"/>
  <c r="J92" i="19"/>
  <c r="K92" i="19"/>
  <c r="L92" i="19"/>
  <c r="V28" i="18"/>
  <c r="W28" i="18"/>
  <c r="X28" i="18"/>
  <c r="Y28" i="18"/>
  <c r="T29" i="18"/>
  <c r="U29" i="18"/>
  <c r="V29" i="18"/>
  <c r="U134" i="18"/>
  <c r="V134" i="18"/>
  <c r="J161" i="18"/>
  <c r="K161" i="18"/>
  <c r="L161" i="18"/>
  <c r="J93" i="18"/>
  <c r="K93" i="18"/>
  <c r="L93" i="18"/>
  <c r="J61" i="18"/>
  <c r="K61" i="18"/>
  <c r="L61" i="18"/>
  <c r="M26" i="18"/>
  <c r="N26" i="18"/>
  <c r="M126" i="18"/>
  <c r="N126" i="18"/>
  <c r="U83" i="18"/>
  <c r="V83" i="18"/>
  <c r="I27" i="18"/>
  <c r="I127" i="18"/>
  <c r="U24" i="17"/>
  <c r="T25" i="17"/>
  <c r="T82" i="17"/>
  <c r="J60" i="17"/>
  <c r="K60" i="17"/>
  <c r="J27" i="17"/>
  <c r="K27" i="17"/>
  <c r="J91" i="17"/>
  <c r="K91" i="17"/>
  <c r="U135" i="17"/>
  <c r="J127" i="17"/>
  <c r="K127" i="17"/>
  <c r="J158" i="17"/>
  <c r="K158" i="17"/>
  <c r="M159" i="13"/>
  <c r="N159" i="13"/>
  <c r="U136" i="13"/>
  <c r="V136" i="13"/>
  <c r="T137" i="13"/>
  <c r="M127" i="13"/>
  <c r="N127" i="13"/>
  <c r="J91" i="13"/>
  <c r="K91" i="13"/>
  <c r="L91" i="13"/>
  <c r="U80" i="13"/>
  <c r="V80" i="13"/>
  <c r="T81" i="13"/>
  <c r="J57" i="13"/>
  <c r="K57" i="13"/>
  <c r="M25" i="13"/>
  <c r="N25" i="13"/>
  <c r="J128" i="13"/>
  <c r="K128" i="13"/>
  <c r="L128" i="13"/>
  <c r="X24" i="13"/>
  <c r="Y24" i="13"/>
  <c r="T25" i="13"/>
  <c r="L57" i="13"/>
  <c r="M56" i="13"/>
  <c r="N56" i="13"/>
  <c r="I160" i="13"/>
  <c r="I26" i="13"/>
  <c r="M61" i="19"/>
  <c r="N61" i="19"/>
  <c r="M92" i="19"/>
  <c r="N92" i="19"/>
  <c r="I94" i="19"/>
  <c r="J93" i="19"/>
  <c r="K93" i="19"/>
  <c r="L93" i="19"/>
  <c r="J62" i="19"/>
  <c r="K62" i="19"/>
  <c r="L62" i="19"/>
  <c r="M25" i="19"/>
  <c r="N25" i="19"/>
  <c r="X27" i="19"/>
  <c r="Y27" i="19"/>
  <c r="T138" i="19"/>
  <c r="T28" i="19"/>
  <c r="M157" i="19"/>
  <c r="N157" i="19"/>
  <c r="I26" i="19"/>
  <c r="J126" i="19"/>
  <c r="K126" i="19"/>
  <c r="L126" i="19"/>
  <c r="T82" i="19"/>
  <c r="J158" i="19"/>
  <c r="K158" i="19"/>
  <c r="L158" i="19"/>
  <c r="I94" i="18"/>
  <c r="W29" i="18"/>
  <c r="X29" i="18"/>
  <c r="Y29" i="18"/>
  <c r="J127" i="18"/>
  <c r="K127" i="18"/>
  <c r="L127" i="18"/>
  <c r="J94" i="18"/>
  <c r="K94" i="18"/>
  <c r="L94" i="18"/>
  <c r="J27" i="18"/>
  <c r="K27" i="18"/>
  <c r="L27" i="18"/>
  <c r="T30" i="18"/>
  <c r="T135" i="18"/>
  <c r="M161" i="18"/>
  <c r="N161" i="18"/>
  <c r="M93" i="18"/>
  <c r="N93" i="18"/>
  <c r="M61" i="18"/>
  <c r="N61" i="18"/>
  <c r="T84" i="18"/>
  <c r="I62" i="18"/>
  <c r="I162" i="18"/>
  <c r="I61" i="17"/>
  <c r="I128" i="17"/>
  <c r="I92" i="17"/>
  <c r="J92" i="17"/>
  <c r="K92" i="17"/>
  <c r="T136" i="17"/>
  <c r="U136" i="17"/>
  <c r="U25" i="17"/>
  <c r="T26" i="17"/>
  <c r="I159" i="17"/>
  <c r="I28" i="17"/>
  <c r="J128" i="17"/>
  <c r="K128" i="17"/>
  <c r="J61" i="17"/>
  <c r="K61" i="17"/>
  <c r="U82" i="17"/>
  <c r="M128" i="13"/>
  <c r="N128" i="13"/>
  <c r="M91" i="13"/>
  <c r="N91" i="13"/>
  <c r="U137" i="13"/>
  <c r="V137" i="13"/>
  <c r="T138" i="13"/>
  <c r="J26" i="13"/>
  <c r="K26" i="13"/>
  <c r="L26" i="13"/>
  <c r="I27" i="13"/>
  <c r="U25" i="13"/>
  <c r="V25" i="13"/>
  <c r="W25" i="13"/>
  <c r="I129" i="13"/>
  <c r="I58" i="13"/>
  <c r="I92" i="13"/>
  <c r="U81" i="13"/>
  <c r="V81" i="13"/>
  <c r="M57" i="13"/>
  <c r="N57" i="13"/>
  <c r="J160" i="13"/>
  <c r="K160" i="13"/>
  <c r="L160" i="13"/>
  <c r="N156" i="12"/>
  <c r="N157" i="12"/>
  <c r="Y26" i="12"/>
  <c r="M62" i="19"/>
  <c r="N62" i="19"/>
  <c r="U82" i="19"/>
  <c r="V82" i="19"/>
  <c r="T83" i="19"/>
  <c r="M126" i="19"/>
  <c r="N126" i="19"/>
  <c r="I63" i="19"/>
  <c r="M93" i="19"/>
  <c r="N93" i="19"/>
  <c r="M158" i="19"/>
  <c r="N158" i="19"/>
  <c r="I127" i="19"/>
  <c r="T29" i="19"/>
  <c r="U28" i="19"/>
  <c r="V28" i="19"/>
  <c r="W28" i="19"/>
  <c r="I159" i="19"/>
  <c r="J26" i="19"/>
  <c r="K26" i="19"/>
  <c r="L26" i="19"/>
  <c r="U138" i="19"/>
  <c r="V138" i="19"/>
  <c r="I95" i="19"/>
  <c r="J94" i="19"/>
  <c r="K94" i="19"/>
  <c r="L94" i="19"/>
  <c r="I28" i="18"/>
  <c r="M27" i="18"/>
  <c r="N27" i="18"/>
  <c r="I128" i="18"/>
  <c r="J162" i="18"/>
  <c r="K162" i="18"/>
  <c r="L162" i="18"/>
  <c r="J28" i="18"/>
  <c r="K28" i="18"/>
  <c r="L28" i="18"/>
  <c r="M127" i="18"/>
  <c r="N127" i="18"/>
  <c r="J62" i="18"/>
  <c r="K62" i="18"/>
  <c r="L62" i="18"/>
  <c r="M94" i="18"/>
  <c r="N94" i="18"/>
  <c r="U135" i="18"/>
  <c r="V135" i="18"/>
  <c r="U84" i="18"/>
  <c r="V84" i="18"/>
  <c r="U30" i="18"/>
  <c r="V30" i="18"/>
  <c r="W30" i="18"/>
  <c r="I95" i="18"/>
  <c r="T137" i="17"/>
  <c r="I129" i="17"/>
  <c r="I93" i="17"/>
  <c r="T83" i="17"/>
  <c r="J28" i="17"/>
  <c r="K28" i="17"/>
  <c r="U137" i="17"/>
  <c r="U26" i="17"/>
  <c r="T27" i="17"/>
  <c r="I62" i="17"/>
  <c r="J159" i="17"/>
  <c r="K159" i="17"/>
  <c r="M160" i="13"/>
  <c r="N160" i="13"/>
  <c r="J129" i="13"/>
  <c r="K129" i="13"/>
  <c r="L129" i="13"/>
  <c r="I130" i="13"/>
  <c r="M26" i="13"/>
  <c r="N26" i="13"/>
  <c r="J27" i="13"/>
  <c r="K27" i="13"/>
  <c r="L27" i="13"/>
  <c r="I161" i="13"/>
  <c r="T82" i="13"/>
  <c r="U138" i="13"/>
  <c r="V138" i="13"/>
  <c r="J58" i="13"/>
  <c r="K58" i="13"/>
  <c r="L58" i="13"/>
  <c r="X25" i="13"/>
  <c r="Y25" i="13"/>
  <c r="J92" i="13"/>
  <c r="K92" i="13"/>
  <c r="L92" i="13"/>
  <c r="T26" i="13"/>
  <c r="M94" i="19"/>
  <c r="N94" i="19"/>
  <c r="J63" i="19"/>
  <c r="K63" i="19"/>
  <c r="L63" i="19"/>
  <c r="J95" i="19"/>
  <c r="K95" i="19"/>
  <c r="L95" i="19"/>
  <c r="J159" i="19"/>
  <c r="K159" i="19"/>
  <c r="L159" i="19"/>
  <c r="T139" i="19"/>
  <c r="X28" i="19"/>
  <c r="Y28" i="19"/>
  <c r="M26" i="19"/>
  <c r="N26" i="19"/>
  <c r="J127" i="19"/>
  <c r="K127" i="19"/>
  <c r="L127" i="19"/>
  <c r="T84" i="19"/>
  <c r="U83" i="19"/>
  <c r="V83" i="19"/>
  <c r="I27" i="19"/>
  <c r="U29" i="19"/>
  <c r="V29" i="19"/>
  <c r="W29" i="19"/>
  <c r="I63" i="18"/>
  <c r="I29" i="18"/>
  <c r="J29" i="18"/>
  <c r="K29" i="18"/>
  <c r="L29" i="18"/>
  <c r="T85" i="18"/>
  <c r="U85" i="18"/>
  <c r="V85" i="18"/>
  <c r="J95" i="18"/>
  <c r="K95" i="18"/>
  <c r="L95" i="18"/>
  <c r="I163" i="18"/>
  <c r="T31" i="18"/>
  <c r="T136" i="18"/>
  <c r="M62" i="18"/>
  <c r="N62" i="18"/>
  <c r="J128" i="18"/>
  <c r="K128" i="18"/>
  <c r="L128" i="18"/>
  <c r="X30" i="18"/>
  <c r="Y30" i="18"/>
  <c r="J63" i="18"/>
  <c r="K63" i="18"/>
  <c r="L63" i="18"/>
  <c r="M28" i="18"/>
  <c r="N28" i="18"/>
  <c r="M162" i="18"/>
  <c r="N162" i="18"/>
  <c r="I29" i="17"/>
  <c r="J93" i="17"/>
  <c r="K93" i="17"/>
  <c r="I160" i="17"/>
  <c r="J29" i="17"/>
  <c r="K29" i="17"/>
  <c r="J129" i="17"/>
  <c r="K129" i="17"/>
  <c r="U27" i="17"/>
  <c r="J62" i="17"/>
  <c r="K62" i="17"/>
  <c r="T138" i="17"/>
  <c r="U83" i="17"/>
  <c r="M27" i="13"/>
  <c r="N27" i="13"/>
  <c r="U26" i="13"/>
  <c r="V26" i="13"/>
  <c r="W26" i="13"/>
  <c r="T139" i="13"/>
  <c r="I28" i="13"/>
  <c r="M129" i="13"/>
  <c r="N129" i="13"/>
  <c r="M92" i="13"/>
  <c r="N92" i="13"/>
  <c r="U82" i="13"/>
  <c r="V82" i="13"/>
  <c r="T83" i="13"/>
  <c r="J130" i="13"/>
  <c r="K130" i="13"/>
  <c r="L130" i="13"/>
  <c r="M58" i="13"/>
  <c r="N58" i="13"/>
  <c r="I93" i="13"/>
  <c r="I59" i="13"/>
  <c r="J161" i="13"/>
  <c r="K161" i="13"/>
  <c r="L161" i="13"/>
  <c r="Y27" i="12"/>
  <c r="X29" i="19"/>
  <c r="Y29" i="19"/>
  <c r="M95" i="19"/>
  <c r="N95" i="19"/>
  <c r="T30" i="19"/>
  <c r="M127" i="19"/>
  <c r="N127" i="19"/>
  <c r="I160" i="19"/>
  <c r="I64" i="19"/>
  <c r="M63" i="19"/>
  <c r="N63" i="19"/>
  <c r="I28" i="19"/>
  <c r="J27" i="19"/>
  <c r="K27" i="19"/>
  <c r="L27" i="19"/>
  <c r="I128" i="19"/>
  <c r="U84" i="19"/>
  <c r="V84" i="19"/>
  <c r="T85" i="19"/>
  <c r="M159" i="19"/>
  <c r="N159" i="19"/>
  <c r="U139" i="19"/>
  <c r="V139" i="19"/>
  <c r="I96" i="19"/>
  <c r="M29" i="18"/>
  <c r="N29" i="18"/>
  <c r="T86" i="18"/>
  <c r="M128" i="18"/>
  <c r="N128" i="18"/>
  <c r="U136" i="18"/>
  <c r="V136" i="18"/>
  <c r="I164" i="18"/>
  <c r="J163" i="18"/>
  <c r="K163" i="18"/>
  <c r="L163" i="18"/>
  <c r="I30" i="18"/>
  <c r="I64" i="18"/>
  <c r="I129" i="18"/>
  <c r="U31" i="18"/>
  <c r="V31" i="18"/>
  <c r="W31" i="18"/>
  <c r="I96" i="18"/>
  <c r="M63" i="18"/>
  <c r="N63" i="18"/>
  <c r="M95" i="18"/>
  <c r="N95" i="18"/>
  <c r="I130" i="17"/>
  <c r="U138" i="17"/>
  <c r="T28" i="17"/>
  <c r="I30" i="17"/>
  <c r="T84" i="17"/>
  <c r="I63" i="17"/>
  <c r="J160" i="17"/>
  <c r="K160" i="17"/>
  <c r="J130" i="17"/>
  <c r="K130" i="17"/>
  <c r="I94" i="17"/>
  <c r="M130" i="13"/>
  <c r="N130" i="13"/>
  <c r="X26" i="13"/>
  <c r="Y26" i="13"/>
  <c r="I162" i="13"/>
  <c r="T27" i="13"/>
  <c r="M161" i="13"/>
  <c r="N161" i="13"/>
  <c r="U83" i="13"/>
  <c r="V83" i="13"/>
  <c r="J28" i="13"/>
  <c r="K28" i="13"/>
  <c r="L28" i="13"/>
  <c r="I29" i="13"/>
  <c r="J59" i="13"/>
  <c r="K59" i="13"/>
  <c r="L59" i="13"/>
  <c r="J93" i="13"/>
  <c r="K93" i="13"/>
  <c r="L93" i="13"/>
  <c r="I131" i="13"/>
  <c r="U139" i="13"/>
  <c r="V139" i="13"/>
  <c r="N158" i="12"/>
  <c r="Y28" i="12"/>
  <c r="J28" i="19"/>
  <c r="K28" i="19"/>
  <c r="L28" i="19"/>
  <c r="I29" i="19"/>
  <c r="J160" i="19"/>
  <c r="K160" i="19"/>
  <c r="L160" i="19"/>
  <c r="J128" i="19"/>
  <c r="K128" i="19"/>
  <c r="L128" i="19"/>
  <c r="U85" i="19"/>
  <c r="V85" i="19"/>
  <c r="T140" i="19"/>
  <c r="I97" i="19"/>
  <c r="J96" i="19"/>
  <c r="K96" i="19"/>
  <c r="L96" i="19"/>
  <c r="M27" i="19"/>
  <c r="N27" i="19"/>
  <c r="I65" i="19"/>
  <c r="J64" i="19"/>
  <c r="K64" i="19"/>
  <c r="L64" i="19"/>
  <c r="T31" i="19"/>
  <c r="U30" i="19"/>
  <c r="V30" i="19"/>
  <c r="W30" i="19"/>
  <c r="T32" i="18"/>
  <c r="U32" i="18"/>
  <c r="V32" i="18"/>
  <c r="W32" i="18"/>
  <c r="J96" i="18"/>
  <c r="K96" i="18"/>
  <c r="L96" i="18"/>
  <c r="J64" i="18"/>
  <c r="K64" i="18"/>
  <c r="L64" i="18"/>
  <c r="U86" i="18"/>
  <c r="V86" i="18"/>
  <c r="J164" i="18"/>
  <c r="K164" i="18"/>
  <c r="L164" i="18"/>
  <c r="X31" i="18"/>
  <c r="Y31" i="18"/>
  <c r="J30" i="18"/>
  <c r="K30" i="18"/>
  <c r="L30" i="18"/>
  <c r="T137" i="18"/>
  <c r="J129" i="18"/>
  <c r="K129" i="18"/>
  <c r="L129" i="18"/>
  <c r="M163" i="18"/>
  <c r="N163" i="18"/>
  <c r="U28" i="17"/>
  <c r="T29" i="17"/>
  <c r="J30" i="17"/>
  <c r="K30" i="17"/>
  <c r="J63" i="17"/>
  <c r="K63" i="17"/>
  <c r="I64" i="17"/>
  <c r="J94" i="17"/>
  <c r="K94" i="17"/>
  <c r="I131" i="17"/>
  <c r="I161" i="17"/>
  <c r="U84" i="17"/>
  <c r="T139" i="17"/>
  <c r="M93" i="13"/>
  <c r="N93" i="13"/>
  <c r="M28" i="13"/>
  <c r="N28" i="13"/>
  <c r="M59" i="13"/>
  <c r="N59" i="13"/>
  <c r="J29" i="13"/>
  <c r="K29" i="13"/>
  <c r="L29" i="13"/>
  <c r="I94" i="13"/>
  <c r="T140" i="13"/>
  <c r="U27" i="13"/>
  <c r="V27" i="13"/>
  <c r="W27" i="13"/>
  <c r="J131" i="13"/>
  <c r="K131" i="13"/>
  <c r="L131" i="13"/>
  <c r="I132" i="13"/>
  <c r="I60" i="13"/>
  <c r="T84" i="13"/>
  <c r="I163" i="13"/>
  <c r="J162" i="13"/>
  <c r="K162" i="13"/>
  <c r="L162" i="13"/>
  <c r="Y29" i="12"/>
  <c r="Y30" i="12"/>
  <c r="M160" i="19"/>
  <c r="N160" i="19"/>
  <c r="U31" i="19"/>
  <c r="V31" i="19"/>
  <c r="W31" i="19"/>
  <c r="M28" i="19"/>
  <c r="N28" i="19"/>
  <c r="M64" i="19"/>
  <c r="N64" i="19"/>
  <c r="M96" i="19"/>
  <c r="N96" i="19"/>
  <c r="T86" i="19"/>
  <c r="I161" i="19"/>
  <c r="J65" i="19"/>
  <c r="K65" i="19"/>
  <c r="L65" i="19"/>
  <c r="J97" i="19"/>
  <c r="K97" i="19"/>
  <c r="L97" i="19"/>
  <c r="M128" i="19"/>
  <c r="N128" i="19"/>
  <c r="J29" i="19"/>
  <c r="K29" i="19"/>
  <c r="L29" i="19"/>
  <c r="X30" i="19"/>
  <c r="Y30" i="19"/>
  <c r="U140" i="19"/>
  <c r="V140" i="19"/>
  <c r="I129" i="19"/>
  <c r="I130" i="18"/>
  <c r="I97" i="18"/>
  <c r="T87" i="18"/>
  <c r="U87" i="18"/>
  <c r="V87" i="18"/>
  <c r="X32" i="18"/>
  <c r="Y32" i="18"/>
  <c r="M164" i="18"/>
  <c r="N164" i="18"/>
  <c r="M64" i="18"/>
  <c r="N64" i="18"/>
  <c r="I31" i="18"/>
  <c r="I65" i="18"/>
  <c r="M129" i="18"/>
  <c r="N129" i="18"/>
  <c r="J97" i="18"/>
  <c r="K97" i="18"/>
  <c r="L97" i="18"/>
  <c r="M30" i="18"/>
  <c r="N30" i="18"/>
  <c r="J130" i="18"/>
  <c r="K130" i="18"/>
  <c r="L130" i="18"/>
  <c r="I165" i="18"/>
  <c r="T33" i="18"/>
  <c r="U137" i="18"/>
  <c r="V137" i="18"/>
  <c r="M96" i="18"/>
  <c r="N96" i="18"/>
  <c r="T85" i="17"/>
  <c r="U85" i="17"/>
  <c r="I95" i="17"/>
  <c r="I96" i="17"/>
  <c r="J95" i="17"/>
  <c r="K95" i="17"/>
  <c r="J161" i="17"/>
  <c r="K161" i="17"/>
  <c r="J64" i="17"/>
  <c r="K64" i="17"/>
  <c r="U29" i="17"/>
  <c r="U139" i="17"/>
  <c r="T140" i="17"/>
  <c r="J131" i="17"/>
  <c r="K131" i="17"/>
  <c r="I31" i="17"/>
  <c r="M29" i="13"/>
  <c r="N29" i="13"/>
  <c r="X27" i="13"/>
  <c r="Y27" i="13"/>
  <c r="J60" i="13"/>
  <c r="K60" i="13"/>
  <c r="L60" i="13"/>
  <c r="T28" i="13"/>
  <c r="I30" i="13"/>
  <c r="M162" i="13"/>
  <c r="N162" i="13"/>
  <c r="J132" i="13"/>
  <c r="K132" i="13"/>
  <c r="L132" i="13"/>
  <c r="U140" i="13"/>
  <c r="V140" i="13"/>
  <c r="U84" i="13"/>
  <c r="V84" i="13"/>
  <c r="T85" i="13"/>
  <c r="J163" i="13"/>
  <c r="K163" i="13"/>
  <c r="L163" i="13"/>
  <c r="M131" i="13"/>
  <c r="N131" i="13"/>
  <c r="J94" i="13"/>
  <c r="K94" i="13"/>
  <c r="L94" i="13"/>
  <c r="N159" i="12"/>
  <c r="M65" i="19"/>
  <c r="N65" i="19"/>
  <c r="M29" i="19"/>
  <c r="N29" i="19"/>
  <c r="M97" i="19"/>
  <c r="N97" i="19"/>
  <c r="J161" i="19"/>
  <c r="K161" i="19"/>
  <c r="L161" i="19"/>
  <c r="T141" i="19"/>
  <c r="I30" i="19"/>
  <c r="I98" i="19"/>
  <c r="U86" i="19"/>
  <c r="V86" i="19"/>
  <c r="T32" i="19"/>
  <c r="X31" i="19"/>
  <c r="Y31" i="19"/>
  <c r="J129" i="19"/>
  <c r="K129" i="19"/>
  <c r="L129" i="19"/>
  <c r="I66" i="19"/>
  <c r="M97" i="18"/>
  <c r="N97" i="18"/>
  <c r="M130" i="18"/>
  <c r="N130" i="18"/>
  <c r="J65" i="18"/>
  <c r="K65" i="18"/>
  <c r="L65" i="18"/>
  <c r="U33" i="18"/>
  <c r="V33" i="18"/>
  <c r="W33" i="18"/>
  <c r="J165" i="18"/>
  <c r="K165" i="18"/>
  <c r="L165" i="18"/>
  <c r="T88" i="18"/>
  <c r="J31" i="18"/>
  <c r="K31" i="18"/>
  <c r="L31" i="18"/>
  <c r="T138" i="18"/>
  <c r="I131" i="18"/>
  <c r="I98" i="18"/>
  <c r="I132" i="17"/>
  <c r="T30" i="17"/>
  <c r="J31" i="17"/>
  <c r="K31" i="17"/>
  <c r="U30" i="17"/>
  <c r="J96" i="17"/>
  <c r="K96" i="17"/>
  <c r="U140" i="17"/>
  <c r="I162" i="17"/>
  <c r="T86" i="17"/>
  <c r="I65" i="17"/>
  <c r="M132" i="13"/>
  <c r="N132" i="13"/>
  <c r="M163" i="13"/>
  <c r="N163" i="13"/>
  <c r="U85" i="13"/>
  <c r="V85" i="13"/>
  <c r="J30" i="13"/>
  <c r="K30" i="13"/>
  <c r="L30" i="13"/>
  <c r="I31" i="13"/>
  <c r="I133" i="13"/>
  <c r="U28" i="13"/>
  <c r="V28" i="13"/>
  <c r="W28" i="13"/>
  <c r="M94" i="13"/>
  <c r="N94" i="13"/>
  <c r="M60" i="13"/>
  <c r="N60" i="13"/>
  <c r="I95" i="13"/>
  <c r="I164" i="13"/>
  <c r="T141" i="13"/>
  <c r="I61" i="13"/>
  <c r="M161" i="19"/>
  <c r="N161" i="19"/>
  <c r="J66" i="19"/>
  <c r="K66" i="19"/>
  <c r="L66" i="19"/>
  <c r="J98" i="19"/>
  <c r="K98" i="19"/>
  <c r="L98" i="19"/>
  <c r="I162" i="19"/>
  <c r="M129" i="19"/>
  <c r="N129" i="19"/>
  <c r="T33" i="19"/>
  <c r="U32" i="19"/>
  <c r="V32" i="19"/>
  <c r="W32" i="19"/>
  <c r="J30" i="19"/>
  <c r="K30" i="19"/>
  <c r="L30" i="19"/>
  <c r="I130" i="19"/>
  <c r="T87" i="19"/>
  <c r="T142" i="19"/>
  <c r="U141" i="19"/>
  <c r="V141" i="19"/>
  <c r="I32" i="18"/>
  <c r="J32" i="18"/>
  <c r="K32" i="18"/>
  <c r="L32" i="18"/>
  <c r="T34" i="18"/>
  <c r="U34" i="18"/>
  <c r="V34" i="18"/>
  <c r="W34" i="18"/>
  <c r="J98" i="18"/>
  <c r="K98" i="18"/>
  <c r="L98" i="18"/>
  <c r="J131" i="18"/>
  <c r="K131" i="18"/>
  <c r="L131" i="18"/>
  <c r="U88" i="18"/>
  <c r="V88" i="18"/>
  <c r="X33" i="18"/>
  <c r="Y33" i="18"/>
  <c r="M165" i="18"/>
  <c r="N165" i="18"/>
  <c r="M65" i="18"/>
  <c r="N65" i="18"/>
  <c r="U138" i="18"/>
  <c r="V138" i="18"/>
  <c r="M31" i="18"/>
  <c r="N31" i="18"/>
  <c r="I166" i="18"/>
  <c r="I66" i="18"/>
  <c r="I133" i="17"/>
  <c r="J132" i="17"/>
  <c r="K132" i="17"/>
  <c r="T31" i="17"/>
  <c r="I32" i="17"/>
  <c r="J32" i="17"/>
  <c r="K32" i="17"/>
  <c r="I97" i="17"/>
  <c r="I134" i="17"/>
  <c r="J133" i="17"/>
  <c r="K133" i="17"/>
  <c r="J65" i="17"/>
  <c r="K65" i="17"/>
  <c r="U86" i="17"/>
  <c r="U31" i="17"/>
  <c r="J162" i="17"/>
  <c r="K162" i="17"/>
  <c r="T141" i="17"/>
  <c r="J31" i="13"/>
  <c r="K31" i="13"/>
  <c r="L31" i="13"/>
  <c r="X28" i="13"/>
  <c r="Y28" i="13"/>
  <c r="M30" i="13"/>
  <c r="N30" i="13"/>
  <c r="U141" i="13"/>
  <c r="V141" i="13"/>
  <c r="J95" i="13"/>
  <c r="K95" i="13"/>
  <c r="L95" i="13"/>
  <c r="J61" i="13"/>
  <c r="K61" i="13"/>
  <c r="L61" i="13"/>
  <c r="T29" i="13"/>
  <c r="I165" i="13"/>
  <c r="J164" i="13"/>
  <c r="K164" i="13"/>
  <c r="L164" i="13"/>
  <c r="I134" i="13"/>
  <c r="J133" i="13"/>
  <c r="K133" i="13"/>
  <c r="L133" i="13"/>
  <c r="T86" i="13"/>
  <c r="N160" i="12"/>
  <c r="Y31" i="12"/>
  <c r="U142" i="19"/>
  <c r="V142" i="19"/>
  <c r="M30" i="19"/>
  <c r="N30" i="19"/>
  <c r="M66" i="19"/>
  <c r="N66" i="19"/>
  <c r="U87" i="19"/>
  <c r="V87" i="19"/>
  <c r="X32" i="19"/>
  <c r="Y32" i="19"/>
  <c r="J162" i="19"/>
  <c r="K162" i="19"/>
  <c r="L162" i="19"/>
  <c r="I67" i="19"/>
  <c r="J130" i="19"/>
  <c r="K130" i="19"/>
  <c r="L130" i="19"/>
  <c r="I131" i="19"/>
  <c r="U33" i="19"/>
  <c r="V33" i="19"/>
  <c r="W33" i="19"/>
  <c r="M98" i="19"/>
  <c r="N98" i="19"/>
  <c r="I31" i="19"/>
  <c r="I99" i="19"/>
  <c r="I132" i="18"/>
  <c r="I33" i="18"/>
  <c r="J33" i="18"/>
  <c r="K33" i="18"/>
  <c r="L33" i="18"/>
  <c r="T139" i="18"/>
  <c r="U139" i="18"/>
  <c r="V139" i="18"/>
  <c r="T89" i="18"/>
  <c r="U89" i="18"/>
  <c r="V89" i="18"/>
  <c r="T35" i="18"/>
  <c r="U35" i="18"/>
  <c r="V35" i="18"/>
  <c r="W35" i="18"/>
  <c r="M32" i="18"/>
  <c r="N32" i="18"/>
  <c r="X34" i="18"/>
  <c r="Y34" i="18"/>
  <c r="M131" i="18"/>
  <c r="N131" i="18"/>
  <c r="J132" i="18"/>
  <c r="K132" i="18"/>
  <c r="L132" i="18"/>
  <c r="I67" i="18"/>
  <c r="J66" i="18"/>
  <c r="K66" i="18"/>
  <c r="L66" i="18"/>
  <c r="M98" i="18"/>
  <c r="N98" i="18"/>
  <c r="J166" i="18"/>
  <c r="K166" i="18"/>
  <c r="L166" i="18"/>
  <c r="I99" i="18"/>
  <c r="I163" i="17"/>
  <c r="I66" i="17"/>
  <c r="T32" i="17"/>
  <c r="U32" i="17"/>
  <c r="U141" i="17"/>
  <c r="T142" i="17"/>
  <c r="J163" i="17"/>
  <c r="K163" i="17"/>
  <c r="J134" i="17"/>
  <c r="K134" i="17"/>
  <c r="J66" i="17"/>
  <c r="K66" i="17"/>
  <c r="I33" i="17"/>
  <c r="T87" i="17"/>
  <c r="J97" i="17"/>
  <c r="K97" i="17"/>
  <c r="M31" i="13"/>
  <c r="N31" i="13"/>
  <c r="M61" i="13"/>
  <c r="N61" i="13"/>
  <c r="M164" i="13"/>
  <c r="N164" i="13"/>
  <c r="I62" i="13"/>
  <c r="T142" i="13"/>
  <c r="J134" i="13"/>
  <c r="K134" i="13"/>
  <c r="L134" i="13"/>
  <c r="I135" i="13"/>
  <c r="U86" i="13"/>
  <c r="V86" i="13"/>
  <c r="T87" i="13"/>
  <c r="J165" i="13"/>
  <c r="K165" i="13"/>
  <c r="L165" i="13"/>
  <c r="M95" i="13"/>
  <c r="N95" i="13"/>
  <c r="M133" i="13"/>
  <c r="N133" i="13"/>
  <c r="U29" i="13"/>
  <c r="V29" i="13"/>
  <c r="W29" i="13"/>
  <c r="I96" i="13"/>
  <c r="I32" i="13"/>
  <c r="Y32" i="12"/>
  <c r="X33" i="19"/>
  <c r="Y33" i="19"/>
  <c r="J31" i="19"/>
  <c r="K31" i="19"/>
  <c r="L31" i="19"/>
  <c r="T34" i="19"/>
  <c r="M162" i="19"/>
  <c r="N162" i="19"/>
  <c r="I100" i="19"/>
  <c r="J99" i="19"/>
  <c r="K99" i="19"/>
  <c r="L99" i="19"/>
  <c r="J131" i="19"/>
  <c r="K131" i="19"/>
  <c r="L131" i="19"/>
  <c r="I163" i="19"/>
  <c r="T88" i="19"/>
  <c r="M130" i="19"/>
  <c r="N130" i="19"/>
  <c r="I68" i="19"/>
  <c r="J67" i="19"/>
  <c r="K67" i="19"/>
  <c r="L67" i="19"/>
  <c r="T143" i="19"/>
  <c r="M33" i="18"/>
  <c r="N33" i="18"/>
  <c r="M132" i="18"/>
  <c r="N132" i="18"/>
  <c r="I167" i="18"/>
  <c r="T90" i="18"/>
  <c r="I133" i="18"/>
  <c r="M166" i="18"/>
  <c r="N166" i="18"/>
  <c r="X35" i="18"/>
  <c r="Y35" i="18"/>
  <c r="J99" i="18"/>
  <c r="K99" i="18"/>
  <c r="L99" i="18"/>
  <c r="T140" i="18"/>
  <c r="I34" i="18"/>
  <c r="T36" i="18"/>
  <c r="M66" i="18"/>
  <c r="N66" i="18"/>
  <c r="J67" i="18"/>
  <c r="K67" i="18"/>
  <c r="L67" i="18"/>
  <c r="T33" i="17"/>
  <c r="I135" i="17"/>
  <c r="U33" i="17"/>
  <c r="I98" i="17"/>
  <c r="J33" i="17"/>
  <c r="K33" i="17"/>
  <c r="U87" i="17"/>
  <c r="U142" i="17"/>
  <c r="I67" i="17"/>
  <c r="I164" i="17"/>
  <c r="M165" i="13"/>
  <c r="N165" i="13"/>
  <c r="X29" i="13"/>
  <c r="Y29" i="13"/>
  <c r="U142" i="13"/>
  <c r="V142" i="13"/>
  <c r="T30" i="13"/>
  <c r="I63" i="13"/>
  <c r="J62" i="13"/>
  <c r="K62" i="13"/>
  <c r="L62" i="13"/>
  <c r="J32" i="13"/>
  <c r="K32" i="13"/>
  <c r="L32" i="13"/>
  <c r="T88" i="13"/>
  <c r="U87" i="13"/>
  <c r="V87" i="13"/>
  <c r="I97" i="13"/>
  <c r="J96" i="13"/>
  <c r="K96" i="13"/>
  <c r="L96" i="13"/>
  <c r="L135" i="13"/>
  <c r="M135" i="13"/>
  <c r="N135" i="13"/>
  <c r="M134" i="13"/>
  <c r="N134" i="13"/>
  <c r="I166" i="13"/>
  <c r="N161" i="12"/>
  <c r="Y33" i="12"/>
  <c r="M131" i="19"/>
  <c r="N131" i="19"/>
  <c r="J68" i="19"/>
  <c r="K68" i="19"/>
  <c r="L68" i="19"/>
  <c r="I32" i="19"/>
  <c r="J163" i="19"/>
  <c r="K163" i="19"/>
  <c r="L163" i="19"/>
  <c r="I101" i="19"/>
  <c r="J100" i="19"/>
  <c r="K100" i="19"/>
  <c r="U143" i="19"/>
  <c r="V143" i="19"/>
  <c r="I132" i="19"/>
  <c r="M31" i="19"/>
  <c r="N31" i="19"/>
  <c r="M67" i="19"/>
  <c r="N67" i="19"/>
  <c r="U88" i="19"/>
  <c r="V88" i="19"/>
  <c r="T89" i="19"/>
  <c r="M99" i="19"/>
  <c r="N99" i="19"/>
  <c r="L100" i="19"/>
  <c r="U34" i="19"/>
  <c r="V34" i="19"/>
  <c r="W34" i="19"/>
  <c r="I100" i="18"/>
  <c r="M67" i="18"/>
  <c r="N67" i="18"/>
  <c r="J100" i="18"/>
  <c r="K100" i="18"/>
  <c r="I68" i="18"/>
  <c r="J133" i="18"/>
  <c r="K133" i="18"/>
  <c r="L133" i="18"/>
  <c r="I134" i="18"/>
  <c r="J34" i="18"/>
  <c r="K34" i="18"/>
  <c r="L34" i="18"/>
  <c r="U140" i="18"/>
  <c r="V140" i="18"/>
  <c r="U90" i="18"/>
  <c r="V90" i="18"/>
  <c r="U36" i="18"/>
  <c r="V36" i="18"/>
  <c r="W36" i="18"/>
  <c r="L100" i="18"/>
  <c r="M99" i="18"/>
  <c r="N99" i="18"/>
  <c r="J167" i="18"/>
  <c r="K167" i="18"/>
  <c r="L167" i="18"/>
  <c r="T34" i="17"/>
  <c r="I34" i="17"/>
  <c r="J98" i="17"/>
  <c r="K98" i="17"/>
  <c r="J164" i="17"/>
  <c r="K164" i="17"/>
  <c r="I68" i="17"/>
  <c r="J67" i="17"/>
  <c r="K67" i="17"/>
  <c r="T143" i="17"/>
  <c r="T88" i="17"/>
  <c r="U34" i="17"/>
  <c r="J34" i="17"/>
  <c r="K34" i="17"/>
  <c r="I35" i="17"/>
  <c r="U88" i="13"/>
  <c r="V88" i="13"/>
  <c r="T89" i="13"/>
  <c r="J63" i="13"/>
  <c r="K63" i="13"/>
  <c r="L63" i="13"/>
  <c r="M96" i="13"/>
  <c r="N96" i="13"/>
  <c r="I33" i="13"/>
  <c r="T31" i="13"/>
  <c r="U30" i="13"/>
  <c r="V30" i="13"/>
  <c r="W30" i="13"/>
  <c r="I98" i="13"/>
  <c r="J97" i="13"/>
  <c r="K97" i="13"/>
  <c r="L97" i="13"/>
  <c r="M32" i="13"/>
  <c r="N32" i="13"/>
  <c r="I167" i="13"/>
  <c r="J166" i="13"/>
  <c r="K166" i="13"/>
  <c r="L166" i="13"/>
  <c r="M62" i="13"/>
  <c r="N62" i="13"/>
  <c r="T143" i="13"/>
  <c r="N162" i="12"/>
  <c r="Y34" i="12"/>
  <c r="L69" i="19"/>
  <c r="M69" i="19"/>
  <c r="N69" i="19"/>
  <c r="M68" i="19"/>
  <c r="N68" i="19"/>
  <c r="M163" i="19"/>
  <c r="N163" i="19"/>
  <c r="I69" i="19"/>
  <c r="J132" i="19"/>
  <c r="K132" i="19"/>
  <c r="L132" i="19"/>
  <c r="I102" i="19"/>
  <c r="J101" i="19"/>
  <c r="K101" i="19"/>
  <c r="L101" i="19"/>
  <c r="X34" i="19"/>
  <c r="Y34" i="19"/>
  <c r="T90" i="19"/>
  <c r="U89" i="19"/>
  <c r="V89" i="19"/>
  <c r="T144" i="19"/>
  <c r="I164" i="19"/>
  <c r="M100" i="19"/>
  <c r="N100" i="19"/>
  <c r="T35" i="19"/>
  <c r="J32" i="19"/>
  <c r="K32" i="19"/>
  <c r="L32" i="19"/>
  <c r="X36" i="18"/>
  <c r="Y36" i="18"/>
  <c r="J134" i="18"/>
  <c r="K134" i="18"/>
  <c r="L134" i="18"/>
  <c r="I101" i="18"/>
  <c r="M100" i="18"/>
  <c r="N100" i="18"/>
  <c r="M34" i="18"/>
  <c r="N34" i="18"/>
  <c r="L168" i="18"/>
  <c r="M168" i="18"/>
  <c r="M167" i="18"/>
  <c r="N167" i="18"/>
  <c r="I168" i="18"/>
  <c r="T37" i="18"/>
  <c r="T141" i="18"/>
  <c r="M133" i="18"/>
  <c r="N133" i="18"/>
  <c r="T91" i="18"/>
  <c r="I35" i="18"/>
  <c r="J68" i="18"/>
  <c r="K68" i="18"/>
  <c r="L68" i="18"/>
  <c r="I99" i="17"/>
  <c r="T35" i="17"/>
  <c r="J35" i="17"/>
  <c r="K35" i="17"/>
  <c r="U88" i="17"/>
  <c r="U143" i="17"/>
  <c r="I165" i="17"/>
  <c r="J68" i="17"/>
  <c r="K68" i="17"/>
  <c r="J99" i="17"/>
  <c r="K99" i="17"/>
  <c r="M63" i="13"/>
  <c r="N63" i="13"/>
  <c r="M97" i="13"/>
  <c r="N97" i="13"/>
  <c r="U31" i="13"/>
  <c r="V31" i="13"/>
  <c r="W31" i="13"/>
  <c r="M166" i="13"/>
  <c r="N166" i="13"/>
  <c r="J33" i="13"/>
  <c r="K33" i="13"/>
  <c r="L33" i="13"/>
  <c r="I64" i="13"/>
  <c r="I168" i="13"/>
  <c r="J167" i="13"/>
  <c r="K167" i="13"/>
  <c r="L167" i="13"/>
  <c r="I99" i="13"/>
  <c r="J98" i="13"/>
  <c r="K98" i="13"/>
  <c r="L98" i="13"/>
  <c r="T90" i="13"/>
  <c r="U89" i="13"/>
  <c r="V89" i="13"/>
  <c r="T144" i="13"/>
  <c r="U143" i="13"/>
  <c r="V143" i="13"/>
  <c r="X30" i="13"/>
  <c r="Y30" i="13"/>
  <c r="Y35" i="12"/>
  <c r="Y36" i="12"/>
  <c r="L102" i="19"/>
  <c r="M102" i="19"/>
  <c r="N102" i="19"/>
  <c r="M101" i="19"/>
  <c r="N101" i="19"/>
  <c r="I33" i="19"/>
  <c r="M132" i="19"/>
  <c r="N132" i="19"/>
  <c r="U35" i="19"/>
  <c r="V35" i="19"/>
  <c r="W35" i="19"/>
  <c r="U144" i="19"/>
  <c r="V144" i="19"/>
  <c r="I133" i="19"/>
  <c r="M32" i="19"/>
  <c r="N32" i="19"/>
  <c r="U90" i="19"/>
  <c r="V90" i="19"/>
  <c r="I165" i="19"/>
  <c r="J164" i="19"/>
  <c r="K164" i="19"/>
  <c r="L164" i="19"/>
  <c r="L135" i="18"/>
  <c r="M135" i="18"/>
  <c r="N135" i="18"/>
  <c r="M134" i="18"/>
  <c r="N134" i="18"/>
  <c r="L69" i="18"/>
  <c r="M69" i="18"/>
  <c r="N69" i="18"/>
  <c r="M68" i="18"/>
  <c r="N68" i="18"/>
  <c r="I69" i="18"/>
  <c r="I135" i="18"/>
  <c r="J35" i="18"/>
  <c r="K35" i="18"/>
  <c r="L35" i="18"/>
  <c r="N168" i="18"/>
  <c r="U141" i="18"/>
  <c r="V141" i="18"/>
  <c r="U91" i="18"/>
  <c r="V91" i="18"/>
  <c r="U37" i="18"/>
  <c r="V37" i="18"/>
  <c r="W37" i="18"/>
  <c r="J101" i="18"/>
  <c r="K101" i="18"/>
  <c r="L101" i="18"/>
  <c r="T89" i="17"/>
  <c r="I100" i="17"/>
  <c r="I36" i="17"/>
  <c r="I69" i="17"/>
  <c r="J165" i="17"/>
  <c r="K165" i="17"/>
  <c r="U89" i="17"/>
  <c r="J100" i="17"/>
  <c r="K100" i="17"/>
  <c r="T144" i="17"/>
  <c r="U35" i="17"/>
  <c r="T36" i="17"/>
  <c r="L168" i="13"/>
  <c r="M168" i="13"/>
  <c r="M167" i="13"/>
  <c r="N167" i="13"/>
  <c r="U90" i="13"/>
  <c r="V90" i="13"/>
  <c r="T91" i="13"/>
  <c r="M98" i="13"/>
  <c r="N98" i="13"/>
  <c r="J64" i="13"/>
  <c r="K64" i="13"/>
  <c r="L64" i="13"/>
  <c r="J99" i="13"/>
  <c r="K99" i="13"/>
  <c r="L99" i="13"/>
  <c r="M33" i="13"/>
  <c r="N33" i="13"/>
  <c r="U144" i="13"/>
  <c r="V144" i="13"/>
  <c r="T145" i="13"/>
  <c r="X31" i="13"/>
  <c r="Y31" i="13"/>
  <c r="I34" i="13"/>
  <c r="T32" i="13"/>
  <c r="N163" i="12"/>
  <c r="M164" i="19"/>
  <c r="N164" i="19"/>
  <c r="T145" i="19"/>
  <c r="J165" i="19"/>
  <c r="K165" i="19"/>
  <c r="L165" i="19"/>
  <c r="X35" i="19"/>
  <c r="Y35" i="19"/>
  <c r="J33" i="19"/>
  <c r="K33" i="19"/>
  <c r="L33" i="19"/>
  <c r="T91" i="19"/>
  <c r="I134" i="19"/>
  <c r="J133" i="19"/>
  <c r="K133" i="19"/>
  <c r="L133" i="19"/>
  <c r="T36" i="19"/>
  <c r="T142" i="18"/>
  <c r="U142" i="18"/>
  <c r="V142" i="18"/>
  <c r="I36" i="18"/>
  <c r="T38" i="18"/>
  <c r="U38" i="18"/>
  <c r="V38" i="18"/>
  <c r="W38" i="18"/>
  <c r="L36" i="18"/>
  <c r="M36" i="18"/>
  <c r="N36" i="18"/>
  <c r="M35" i="18"/>
  <c r="X37" i="18"/>
  <c r="Y37" i="18"/>
  <c r="L102" i="18"/>
  <c r="M102" i="18"/>
  <c r="N102" i="18"/>
  <c r="M101" i="18"/>
  <c r="N101" i="18"/>
  <c r="I102" i="18"/>
  <c r="T92" i="18"/>
  <c r="I166" i="17"/>
  <c r="N168" i="13"/>
  <c r="U36" i="17"/>
  <c r="J166" i="17"/>
  <c r="K166" i="17"/>
  <c r="U144" i="17"/>
  <c r="I101" i="17"/>
  <c r="T90" i="17"/>
  <c r="M99" i="13"/>
  <c r="N99" i="13"/>
  <c r="M64" i="13"/>
  <c r="N64" i="13"/>
  <c r="U91" i="13"/>
  <c r="V91" i="13"/>
  <c r="I65" i="13"/>
  <c r="U145" i="13"/>
  <c r="V145" i="13"/>
  <c r="U32" i="13"/>
  <c r="V32" i="13"/>
  <c r="W32" i="13"/>
  <c r="J34" i="13"/>
  <c r="K34" i="13"/>
  <c r="L34" i="13"/>
  <c r="I100" i="13"/>
  <c r="N164" i="12"/>
  <c r="Y37" i="12"/>
  <c r="M165" i="19"/>
  <c r="N165" i="19"/>
  <c r="M133" i="19"/>
  <c r="N133" i="19"/>
  <c r="I34" i="19"/>
  <c r="I166" i="19"/>
  <c r="J134" i="19"/>
  <c r="K134" i="19"/>
  <c r="L134" i="19"/>
  <c r="U145" i="19"/>
  <c r="V145" i="19"/>
  <c r="U91" i="19"/>
  <c r="V91" i="19"/>
  <c r="U36" i="19"/>
  <c r="V36" i="19"/>
  <c r="W36" i="19"/>
  <c r="T37" i="19"/>
  <c r="M33" i="19"/>
  <c r="N33" i="19"/>
  <c r="T143" i="18"/>
  <c r="U143" i="18"/>
  <c r="V143" i="18"/>
  <c r="X38" i="18"/>
  <c r="Y38" i="18"/>
  <c r="T39" i="18"/>
  <c r="U92" i="18"/>
  <c r="V92" i="18"/>
  <c r="N35" i="18"/>
  <c r="N169" i="18"/>
  <c r="B25" i="18"/>
  <c r="B26" i="18"/>
  <c r="B27" i="18"/>
  <c r="U90" i="17"/>
  <c r="J101" i="17"/>
  <c r="K101" i="17"/>
  <c r="T145" i="17"/>
  <c r="T37" i="17"/>
  <c r="I167" i="17"/>
  <c r="X32" i="13"/>
  <c r="Y32" i="13"/>
  <c r="J65" i="13"/>
  <c r="K65" i="13"/>
  <c r="L65" i="13"/>
  <c r="M34" i="13"/>
  <c r="J100" i="13"/>
  <c r="K100" i="13"/>
  <c r="L100" i="13"/>
  <c r="T33" i="13"/>
  <c r="I35" i="13"/>
  <c r="T146" i="13"/>
  <c r="T92" i="13"/>
  <c r="N165" i="12"/>
  <c r="L135" i="19"/>
  <c r="M135" i="19"/>
  <c r="N135" i="19"/>
  <c r="M134" i="19"/>
  <c r="N134" i="19"/>
  <c r="U37" i="19"/>
  <c r="V37" i="19"/>
  <c r="T38" i="19"/>
  <c r="J166" i="19"/>
  <c r="K166" i="19"/>
  <c r="L166" i="19"/>
  <c r="X36" i="19"/>
  <c r="Y36" i="19"/>
  <c r="W37" i="19"/>
  <c r="T146" i="19"/>
  <c r="J34" i="19"/>
  <c r="K34" i="19"/>
  <c r="L34" i="19"/>
  <c r="T92" i="19"/>
  <c r="I135" i="19"/>
  <c r="U39" i="18"/>
  <c r="V39" i="18"/>
  <c r="W39" i="18"/>
  <c r="T144" i="18"/>
  <c r="T93" i="18"/>
  <c r="N34" i="13"/>
  <c r="U37" i="17"/>
  <c r="J167" i="17"/>
  <c r="K167" i="17"/>
  <c r="U145" i="17"/>
  <c r="T91" i="17"/>
  <c r="I102" i="17"/>
  <c r="U92" i="13"/>
  <c r="V92" i="13"/>
  <c r="T93" i="13"/>
  <c r="M65" i="13"/>
  <c r="N65" i="13"/>
  <c r="U146" i="13"/>
  <c r="V146" i="13"/>
  <c r="T147" i="13"/>
  <c r="I101" i="13"/>
  <c r="I66" i="13"/>
  <c r="M100" i="13"/>
  <c r="N100" i="13"/>
  <c r="I36" i="13"/>
  <c r="J35" i="13"/>
  <c r="K35" i="13"/>
  <c r="L35" i="13"/>
  <c r="U33" i="13"/>
  <c r="V33" i="13"/>
  <c r="W33" i="13"/>
  <c r="Y38" i="12"/>
  <c r="U92" i="19"/>
  <c r="V92" i="19"/>
  <c r="T93" i="19"/>
  <c r="X37" i="19"/>
  <c r="Y37" i="19"/>
  <c r="U38" i="19"/>
  <c r="V38" i="19"/>
  <c r="W38" i="19"/>
  <c r="T39" i="19"/>
  <c r="I35" i="19"/>
  <c r="M34" i="19"/>
  <c r="N34" i="19"/>
  <c r="M166" i="19"/>
  <c r="N166" i="19"/>
  <c r="U146" i="19"/>
  <c r="V146" i="19"/>
  <c r="I167" i="19"/>
  <c r="T40" i="18"/>
  <c r="U93" i="18"/>
  <c r="V93" i="18"/>
  <c r="X39" i="18"/>
  <c r="Y39" i="18"/>
  <c r="U144" i="18"/>
  <c r="V144" i="18"/>
  <c r="T146" i="17"/>
  <c r="U91" i="17"/>
  <c r="I168" i="17"/>
  <c r="U146" i="17"/>
  <c r="T38" i="17"/>
  <c r="X33" i="13"/>
  <c r="Y33" i="13"/>
  <c r="J101" i="13"/>
  <c r="K101" i="13"/>
  <c r="L101" i="13"/>
  <c r="T34" i="13"/>
  <c r="U147" i="13"/>
  <c r="V147" i="13"/>
  <c r="T94" i="13"/>
  <c r="U93" i="13"/>
  <c r="V93" i="13"/>
  <c r="I67" i="13"/>
  <c r="J66" i="13"/>
  <c r="K66" i="13"/>
  <c r="L66" i="13"/>
  <c r="M35" i="13"/>
  <c r="L36" i="13"/>
  <c r="M36" i="13"/>
  <c r="N36" i="13"/>
  <c r="N166" i="12"/>
  <c r="T147" i="19"/>
  <c r="X38" i="19"/>
  <c r="Y38" i="19"/>
  <c r="I36" i="19"/>
  <c r="J35" i="19"/>
  <c r="K35" i="19"/>
  <c r="L35" i="19"/>
  <c r="J167" i="19"/>
  <c r="K167" i="19"/>
  <c r="L167" i="19"/>
  <c r="T40" i="19"/>
  <c r="U39" i="19"/>
  <c r="V39" i="19"/>
  <c r="W39" i="19"/>
  <c r="U93" i="19"/>
  <c r="V93" i="19"/>
  <c r="T145" i="18"/>
  <c r="U145" i="18"/>
  <c r="V145" i="18"/>
  <c r="T94" i="18"/>
  <c r="U94" i="18"/>
  <c r="V94" i="18"/>
  <c r="U40" i="18"/>
  <c r="V40" i="18"/>
  <c r="W40" i="18"/>
  <c r="T92" i="17"/>
  <c r="N35" i="13"/>
  <c r="U38" i="17"/>
  <c r="T147" i="17"/>
  <c r="U92" i="17"/>
  <c r="U94" i="13"/>
  <c r="V94" i="13"/>
  <c r="L102" i="13"/>
  <c r="M102" i="13"/>
  <c r="N102" i="13"/>
  <c r="M101" i="13"/>
  <c r="N101" i="13"/>
  <c r="M66" i="13"/>
  <c r="N66" i="13"/>
  <c r="T148" i="13"/>
  <c r="I102" i="13"/>
  <c r="I68" i="13"/>
  <c r="J67" i="13"/>
  <c r="K67" i="13"/>
  <c r="L67" i="13"/>
  <c r="U34" i="13"/>
  <c r="V34" i="13"/>
  <c r="W34" i="13"/>
  <c r="I168" i="12"/>
  <c r="Y39" i="12"/>
  <c r="L168" i="19"/>
  <c r="M168" i="19"/>
  <c r="M167" i="19"/>
  <c r="N167" i="19"/>
  <c r="T94" i="19"/>
  <c r="I168" i="19"/>
  <c r="U40" i="19"/>
  <c r="V40" i="19"/>
  <c r="W40" i="19"/>
  <c r="X39" i="19"/>
  <c r="Y39" i="19"/>
  <c r="L36" i="19"/>
  <c r="M36" i="19"/>
  <c r="N36" i="19"/>
  <c r="M35" i="19"/>
  <c r="N35" i="19"/>
  <c r="U147" i="19"/>
  <c r="V147" i="19"/>
  <c r="T146" i="18"/>
  <c r="U146" i="18"/>
  <c r="V146" i="18"/>
  <c r="T95" i="18"/>
  <c r="X40" i="18"/>
  <c r="Y40" i="18"/>
  <c r="T41" i="18"/>
  <c r="T93" i="17"/>
  <c r="U147" i="17"/>
  <c r="U93" i="17"/>
  <c r="T39" i="17"/>
  <c r="M67" i="13"/>
  <c r="X34" i="13"/>
  <c r="Y34" i="13"/>
  <c r="T149" i="13"/>
  <c r="U148" i="13"/>
  <c r="V148" i="13"/>
  <c r="T95" i="13"/>
  <c r="T35" i="13"/>
  <c r="J68" i="13"/>
  <c r="K68" i="13"/>
  <c r="L68" i="13"/>
  <c r="N167" i="12"/>
  <c r="X40" i="19"/>
  <c r="Y40" i="19"/>
  <c r="U94" i="19"/>
  <c r="V94" i="19"/>
  <c r="T95" i="19"/>
  <c r="T148" i="19"/>
  <c r="T41" i="19"/>
  <c r="N168" i="19"/>
  <c r="N169" i="19"/>
  <c r="B25" i="19"/>
  <c r="B27" i="19"/>
  <c r="B26" i="19"/>
  <c r="T147" i="18"/>
  <c r="U147" i="18"/>
  <c r="V147" i="18"/>
  <c r="U41" i="18"/>
  <c r="V41" i="18"/>
  <c r="W41" i="18"/>
  <c r="U95" i="18"/>
  <c r="V95" i="18"/>
  <c r="T148" i="17"/>
  <c r="T94" i="17"/>
  <c r="U94" i="17"/>
  <c r="U39" i="17"/>
  <c r="U148" i="17"/>
  <c r="L69" i="13"/>
  <c r="M69" i="13"/>
  <c r="N69" i="13"/>
  <c r="M68" i="13"/>
  <c r="U35" i="13"/>
  <c r="V35" i="13"/>
  <c r="W35" i="13"/>
  <c r="T96" i="13"/>
  <c r="U95" i="13"/>
  <c r="V95" i="13"/>
  <c r="I69" i="13"/>
  <c r="T150" i="13"/>
  <c r="U149" i="13"/>
  <c r="V149" i="13"/>
  <c r="N67" i="13"/>
  <c r="B27" i="13"/>
  <c r="N168" i="12"/>
  <c r="N169" i="12"/>
  <c r="B25" i="12"/>
  <c r="B26" i="12"/>
  <c r="B27" i="12"/>
  <c r="Y40" i="12"/>
  <c r="T96" i="19"/>
  <c r="U95" i="19"/>
  <c r="V95" i="19"/>
  <c r="U41" i="19"/>
  <c r="V41" i="19"/>
  <c r="W41" i="19"/>
  <c r="T149" i="19"/>
  <c r="U148" i="19"/>
  <c r="V148" i="19"/>
  <c r="T42" i="18"/>
  <c r="U42" i="18"/>
  <c r="V42" i="18"/>
  <c r="W42" i="18"/>
  <c r="T148" i="18"/>
  <c r="U148" i="18"/>
  <c r="V148" i="18"/>
  <c r="T96" i="18"/>
  <c r="X41" i="18"/>
  <c r="Y41" i="18"/>
  <c r="B33" i="13"/>
  <c r="B34" i="13"/>
  <c r="B26" i="13"/>
  <c r="N68" i="13"/>
  <c r="B37" i="13"/>
  <c r="B36" i="13"/>
  <c r="B38" i="13"/>
  <c r="B35" i="13"/>
  <c r="T40" i="17"/>
  <c r="T149" i="17"/>
  <c r="T95" i="17"/>
  <c r="T36" i="13"/>
  <c r="X35" i="13"/>
  <c r="Y35" i="13"/>
  <c r="U150" i="13"/>
  <c r="V150" i="13"/>
  <c r="U96" i="13"/>
  <c r="V96" i="13"/>
  <c r="T97" i="13"/>
  <c r="N169" i="13"/>
  <c r="B25" i="13"/>
  <c r="X41" i="19"/>
  <c r="Y41" i="19"/>
  <c r="U96" i="19"/>
  <c r="V96" i="19"/>
  <c r="T97" i="19"/>
  <c r="T42" i="19"/>
  <c r="T150" i="19"/>
  <c r="U149" i="19"/>
  <c r="V149" i="19"/>
  <c r="T149" i="18"/>
  <c r="X42" i="18"/>
  <c r="Y42" i="18"/>
  <c r="U96" i="18"/>
  <c r="V96" i="18"/>
  <c r="T43" i="18"/>
  <c r="U149" i="17"/>
  <c r="U40" i="17"/>
  <c r="U95" i="17"/>
  <c r="U97" i="13"/>
  <c r="V97" i="13"/>
  <c r="T151" i="13"/>
  <c r="U36" i="13"/>
  <c r="V36" i="13"/>
  <c r="W36" i="13"/>
  <c r="Y41" i="12"/>
  <c r="T98" i="19"/>
  <c r="U97" i="19"/>
  <c r="V97" i="19"/>
  <c r="U150" i="19"/>
  <c r="V150" i="19"/>
  <c r="T151" i="19"/>
  <c r="T43" i="19"/>
  <c r="U42" i="19"/>
  <c r="V42" i="19"/>
  <c r="W42" i="19"/>
  <c r="T97" i="18"/>
  <c r="U97" i="18"/>
  <c r="V97" i="18"/>
  <c r="U43" i="18"/>
  <c r="V43" i="18"/>
  <c r="W43" i="18"/>
  <c r="U149" i="18"/>
  <c r="V149" i="18"/>
  <c r="T41" i="17"/>
  <c r="T96" i="17"/>
  <c r="T150" i="17"/>
  <c r="U151" i="13"/>
  <c r="V151" i="13"/>
  <c r="X36" i="13"/>
  <c r="Y36" i="13"/>
  <c r="T37" i="13"/>
  <c r="T98" i="13"/>
  <c r="X42" i="19"/>
  <c r="Y42" i="19"/>
  <c r="U151" i="19"/>
  <c r="V151" i="19"/>
  <c r="U43" i="19"/>
  <c r="V43" i="19"/>
  <c r="W43" i="19"/>
  <c r="U98" i="19"/>
  <c r="V98" i="19"/>
  <c r="T99" i="19"/>
  <c r="T44" i="18"/>
  <c r="U44" i="18"/>
  <c r="V44" i="18"/>
  <c r="W44" i="18"/>
  <c r="T98" i="18"/>
  <c r="U98" i="18"/>
  <c r="V98" i="18"/>
  <c r="X43" i="18"/>
  <c r="Y43" i="18"/>
  <c r="T150" i="18"/>
  <c r="U96" i="17"/>
  <c r="U41" i="17"/>
  <c r="U150" i="17"/>
  <c r="U98" i="13"/>
  <c r="V98" i="13"/>
  <c r="U37" i="13"/>
  <c r="V37" i="13"/>
  <c r="W37" i="13"/>
  <c r="T38" i="13"/>
  <c r="T152" i="13"/>
  <c r="Y42" i="12"/>
  <c r="X43" i="19"/>
  <c r="Y43" i="19"/>
  <c r="U99" i="19"/>
  <c r="V99" i="19"/>
  <c r="T152" i="19"/>
  <c r="T44" i="19"/>
  <c r="X44" i="18"/>
  <c r="Y44" i="18"/>
  <c r="U150" i="18"/>
  <c r="V150" i="18"/>
  <c r="T99" i="18"/>
  <c r="T45" i="18"/>
  <c r="T42" i="17"/>
  <c r="T151" i="17"/>
  <c r="T97" i="17"/>
  <c r="X37" i="13"/>
  <c r="Y37" i="13"/>
  <c r="U38" i="13"/>
  <c r="V38" i="13"/>
  <c r="W38" i="13"/>
  <c r="T39" i="13"/>
  <c r="T99" i="13"/>
  <c r="U152" i="13"/>
  <c r="V152" i="13"/>
  <c r="T153" i="13"/>
  <c r="U44" i="19"/>
  <c r="V44" i="19"/>
  <c r="W44" i="19"/>
  <c r="T100" i="19"/>
  <c r="U152" i="19"/>
  <c r="V152" i="19"/>
  <c r="T151" i="18"/>
  <c r="U151" i="18"/>
  <c r="V151" i="18"/>
  <c r="U45" i="18"/>
  <c r="V45" i="18"/>
  <c r="W45" i="18"/>
  <c r="U99" i="18"/>
  <c r="V99" i="18"/>
  <c r="U151" i="17"/>
  <c r="U42" i="17"/>
  <c r="U97" i="17"/>
  <c r="X38" i="13"/>
  <c r="Y38" i="13"/>
  <c r="U39" i="13"/>
  <c r="V39" i="13"/>
  <c r="W39" i="13"/>
  <c r="U153" i="13"/>
  <c r="V153" i="13"/>
  <c r="U99" i="13"/>
  <c r="V99" i="13"/>
  <c r="Y43" i="12"/>
  <c r="U100" i="19"/>
  <c r="V100" i="19"/>
  <c r="T101" i="19"/>
  <c r="X44" i="19"/>
  <c r="Y44" i="19"/>
  <c r="T153" i="19"/>
  <c r="T45" i="19"/>
  <c r="T152" i="18"/>
  <c r="U152" i="18"/>
  <c r="V152" i="18"/>
  <c r="T46" i="18"/>
  <c r="X45" i="18"/>
  <c r="Y45" i="18"/>
  <c r="T100" i="18"/>
  <c r="T152" i="17"/>
  <c r="T98" i="17"/>
  <c r="T43" i="17"/>
  <c r="U152" i="17"/>
  <c r="U98" i="17"/>
  <c r="X39" i="13"/>
  <c r="Y39" i="13"/>
  <c r="T100" i="13"/>
  <c r="T40" i="13"/>
  <c r="T154" i="13"/>
  <c r="U45" i="19"/>
  <c r="V45" i="19"/>
  <c r="W45" i="19"/>
  <c r="U101" i="19"/>
  <c r="V101" i="19"/>
  <c r="U153" i="19"/>
  <c r="V153" i="19"/>
  <c r="T153" i="18"/>
  <c r="U153" i="18"/>
  <c r="V153" i="18"/>
  <c r="U46" i="18"/>
  <c r="V46" i="18"/>
  <c r="W46" i="18"/>
  <c r="U100" i="18"/>
  <c r="V100" i="18"/>
  <c r="T99" i="17"/>
  <c r="T153" i="17"/>
  <c r="U153" i="17"/>
  <c r="U43" i="17"/>
  <c r="U99" i="17"/>
  <c r="U40" i="13"/>
  <c r="V40" i="13"/>
  <c r="W40" i="13"/>
  <c r="U100" i="13"/>
  <c r="V100" i="13"/>
  <c r="T101" i="13"/>
  <c r="U154" i="13"/>
  <c r="V154" i="13"/>
  <c r="T155" i="13"/>
  <c r="Y44" i="12"/>
  <c r="T46" i="19"/>
  <c r="X45" i="19"/>
  <c r="Y45" i="19"/>
  <c r="T154" i="19"/>
  <c r="T102" i="19"/>
  <c r="T101" i="18"/>
  <c r="X46" i="18"/>
  <c r="Y46" i="18"/>
  <c r="T154" i="18"/>
  <c r="T47" i="18"/>
  <c r="T44" i="17"/>
  <c r="T100" i="17"/>
  <c r="T154" i="17"/>
  <c r="U101" i="13"/>
  <c r="V101" i="13"/>
  <c r="X40" i="13"/>
  <c r="Y40" i="13"/>
  <c r="U155" i="13"/>
  <c r="V155" i="13"/>
  <c r="T41" i="13"/>
  <c r="Y45" i="12"/>
  <c r="U154" i="19"/>
  <c r="V154" i="19"/>
  <c r="U102" i="19"/>
  <c r="V102" i="19"/>
  <c r="T47" i="19"/>
  <c r="U46" i="19"/>
  <c r="V46" i="19"/>
  <c r="W46" i="19"/>
  <c r="U47" i="18"/>
  <c r="V47" i="18"/>
  <c r="W47" i="18"/>
  <c r="U101" i="18"/>
  <c r="V101" i="18"/>
  <c r="U154" i="18"/>
  <c r="V154" i="18"/>
  <c r="U154" i="17"/>
  <c r="T155" i="17"/>
  <c r="U100" i="17"/>
  <c r="U44" i="17"/>
  <c r="U41" i="13"/>
  <c r="V41" i="13"/>
  <c r="W41" i="13"/>
  <c r="T156" i="13"/>
  <c r="T102" i="13"/>
  <c r="U47" i="19"/>
  <c r="V47" i="19"/>
  <c r="W47" i="19"/>
  <c r="T103" i="19"/>
  <c r="X46" i="19"/>
  <c r="Y46" i="19"/>
  <c r="T155" i="19"/>
  <c r="T155" i="18"/>
  <c r="T102" i="18"/>
  <c r="X47" i="18"/>
  <c r="Y47" i="18"/>
  <c r="T48" i="18"/>
  <c r="U155" i="17"/>
  <c r="T101" i="17"/>
  <c r="T45" i="17"/>
  <c r="U156" i="13"/>
  <c r="V156" i="13"/>
  <c r="T157" i="13"/>
  <c r="U102" i="13"/>
  <c r="V102" i="13"/>
  <c r="X41" i="13"/>
  <c r="Y41" i="13"/>
  <c r="T42" i="13"/>
  <c r="Y46" i="12"/>
  <c r="X47" i="19"/>
  <c r="Y47" i="19"/>
  <c r="U103" i="19"/>
  <c r="V103" i="19"/>
  <c r="T104" i="19"/>
  <c r="U155" i="19"/>
  <c r="V155" i="19"/>
  <c r="T48" i="19"/>
  <c r="U155" i="18"/>
  <c r="V155" i="18"/>
  <c r="U48" i="18"/>
  <c r="V48" i="18"/>
  <c r="W48" i="18"/>
  <c r="U102" i="18"/>
  <c r="V102" i="18"/>
  <c r="T156" i="17"/>
  <c r="U45" i="17"/>
  <c r="U101" i="17"/>
  <c r="U42" i="13"/>
  <c r="V42" i="13"/>
  <c r="W42" i="13"/>
  <c r="T43" i="13"/>
  <c r="T103" i="13"/>
  <c r="T158" i="13"/>
  <c r="U157" i="13"/>
  <c r="V157" i="13"/>
  <c r="Y47" i="12"/>
  <c r="U104" i="19"/>
  <c r="V104" i="19"/>
  <c r="T105" i="19"/>
  <c r="U48" i="19"/>
  <c r="V48" i="19"/>
  <c r="W48" i="19"/>
  <c r="T156" i="19"/>
  <c r="T156" i="18"/>
  <c r="X48" i="18"/>
  <c r="Y48" i="18"/>
  <c r="T49" i="18"/>
  <c r="T103" i="18"/>
  <c r="T102" i="17"/>
  <c r="U102" i="17"/>
  <c r="T46" i="17"/>
  <c r="U156" i="17"/>
  <c r="T157" i="17"/>
  <c r="U158" i="13"/>
  <c r="V158" i="13"/>
  <c r="T159" i="13"/>
  <c r="U103" i="13"/>
  <c r="V103" i="13"/>
  <c r="U43" i="13"/>
  <c r="V43" i="13"/>
  <c r="W43" i="13"/>
  <c r="T44" i="13"/>
  <c r="X42" i="13"/>
  <c r="Y42" i="13"/>
  <c r="X48" i="19"/>
  <c r="Y48" i="19"/>
  <c r="T49" i="19"/>
  <c r="T106" i="19"/>
  <c r="U105" i="19"/>
  <c r="V105" i="19"/>
  <c r="U156" i="19"/>
  <c r="V156" i="19"/>
  <c r="T157" i="19"/>
  <c r="U156" i="18"/>
  <c r="V156" i="18"/>
  <c r="U49" i="18"/>
  <c r="V49" i="18"/>
  <c r="W49" i="18"/>
  <c r="U103" i="18"/>
  <c r="V103" i="18"/>
  <c r="T103" i="17"/>
  <c r="U157" i="17"/>
  <c r="U46" i="17"/>
  <c r="T104" i="13"/>
  <c r="X43" i="13"/>
  <c r="Y43" i="13"/>
  <c r="T45" i="13"/>
  <c r="U44" i="13"/>
  <c r="V44" i="13"/>
  <c r="W44" i="13"/>
  <c r="U159" i="13"/>
  <c r="V159" i="13"/>
  <c r="Y48" i="12"/>
  <c r="U106" i="19"/>
  <c r="V106" i="19"/>
  <c r="U157" i="19"/>
  <c r="V157" i="19"/>
  <c r="U49" i="19"/>
  <c r="V49" i="19"/>
  <c r="W49" i="19"/>
  <c r="T157" i="18"/>
  <c r="U157" i="18"/>
  <c r="V157" i="18"/>
  <c r="T50" i="18"/>
  <c r="U50" i="18"/>
  <c r="V50" i="18"/>
  <c r="W50" i="18"/>
  <c r="X49" i="18"/>
  <c r="Y49" i="18"/>
  <c r="T104" i="18"/>
  <c r="T47" i="17"/>
  <c r="T48" i="17"/>
  <c r="U47" i="17"/>
  <c r="T158" i="17"/>
  <c r="U103" i="17"/>
  <c r="U45" i="13"/>
  <c r="V45" i="13"/>
  <c r="W45" i="13"/>
  <c r="T46" i="13"/>
  <c r="X44" i="13"/>
  <c r="Y44" i="13"/>
  <c r="T160" i="13"/>
  <c r="U104" i="13"/>
  <c r="V104" i="13"/>
  <c r="T158" i="19"/>
  <c r="X49" i="19"/>
  <c r="Y49" i="19"/>
  <c r="T50" i="19"/>
  <c r="T107" i="19"/>
  <c r="T158" i="18"/>
  <c r="U158" i="18"/>
  <c r="V158" i="18"/>
  <c r="X50" i="18"/>
  <c r="Y50" i="18"/>
  <c r="T51" i="18"/>
  <c r="U104" i="18"/>
  <c r="V104" i="18"/>
  <c r="T104" i="17"/>
  <c r="U158" i="17"/>
  <c r="U104" i="17"/>
  <c r="T105" i="17"/>
  <c r="U48" i="17"/>
  <c r="X45" i="13"/>
  <c r="Y45" i="13"/>
  <c r="U46" i="13"/>
  <c r="V46" i="13"/>
  <c r="W46" i="13"/>
  <c r="T105" i="13"/>
  <c r="U160" i="13"/>
  <c r="V160" i="13"/>
  <c r="Y49" i="12"/>
  <c r="U50" i="19"/>
  <c r="V50" i="19"/>
  <c r="W50" i="19"/>
  <c r="U107" i="19"/>
  <c r="V107" i="19"/>
  <c r="U158" i="19"/>
  <c r="V158" i="19"/>
  <c r="T159" i="19"/>
  <c r="T159" i="18"/>
  <c r="U159" i="18"/>
  <c r="V159" i="18"/>
  <c r="U51" i="18"/>
  <c r="V51" i="18"/>
  <c r="W51" i="18"/>
  <c r="T105" i="18"/>
  <c r="U105" i="17"/>
  <c r="T49" i="17"/>
  <c r="T159" i="17"/>
  <c r="X46" i="13"/>
  <c r="Y46" i="13"/>
  <c r="T161" i="13"/>
  <c r="T47" i="13"/>
  <c r="U105" i="13"/>
  <c r="V105" i="13"/>
  <c r="U159" i="19"/>
  <c r="V159" i="19"/>
  <c r="T108" i="19"/>
  <c r="X50" i="19"/>
  <c r="Y50" i="19"/>
  <c r="T51" i="19"/>
  <c r="T160" i="18"/>
  <c r="X51" i="18"/>
  <c r="Y51" i="18"/>
  <c r="U105" i="18"/>
  <c r="V105" i="18"/>
  <c r="T52" i="18"/>
  <c r="T106" i="17"/>
  <c r="U159" i="17"/>
  <c r="U49" i="17"/>
  <c r="U47" i="13"/>
  <c r="V47" i="13"/>
  <c r="W47" i="13"/>
  <c r="T48" i="13"/>
  <c r="U161" i="13"/>
  <c r="V161" i="13"/>
  <c r="T106" i="13"/>
  <c r="Y50" i="12"/>
  <c r="U108" i="19"/>
  <c r="V108" i="19"/>
  <c r="T52" i="19"/>
  <c r="U51" i="19"/>
  <c r="V51" i="19"/>
  <c r="W51" i="19"/>
  <c r="T160" i="19"/>
  <c r="U52" i="18"/>
  <c r="V52" i="18"/>
  <c r="W52" i="18"/>
  <c r="T106" i="18"/>
  <c r="U160" i="18"/>
  <c r="V160" i="18"/>
  <c r="T160" i="17"/>
  <c r="T161" i="17"/>
  <c r="U160" i="17"/>
  <c r="U106" i="17"/>
  <c r="T50" i="17"/>
  <c r="T162" i="13"/>
  <c r="T49" i="13"/>
  <c r="U48" i="13"/>
  <c r="V48" i="13"/>
  <c r="W48" i="13"/>
  <c r="T107" i="13"/>
  <c r="U106" i="13"/>
  <c r="V106" i="13"/>
  <c r="X47" i="13"/>
  <c r="Y47" i="13"/>
  <c r="X51" i="19"/>
  <c r="Y51" i="19"/>
  <c r="U52" i="19"/>
  <c r="V52" i="19"/>
  <c r="W52" i="19"/>
  <c r="U160" i="19"/>
  <c r="V160" i="19"/>
  <c r="T161" i="19"/>
  <c r="T109" i="19"/>
  <c r="T161" i="18"/>
  <c r="U161" i="18"/>
  <c r="V161" i="18"/>
  <c r="X52" i="18"/>
  <c r="Y52" i="18"/>
  <c r="T53" i="18"/>
  <c r="U106" i="18"/>
  <c r="V106" i="18"/>
  <c r="U161" i="17"/>
  <c r="T107" i="17"/>
  <c r="U50" i="17"/>
  <c r="U107" i="13"/>
  <c r="V107" i="13"/>
  <c r="U49" i="13"/>
  <c r="V49" i="13"/>
  <c r="W49" i="13"/>
  <c r="T50" i="13"/>
  <c r="X48" i="13"/>
  <c r="Y48" i="13"/>
  <c r="U162" i="13"/>
  <c r="V162" i="13"/>
  <c r="T163" i="13"/>
  <c r="Y51" i="12"/>
  <c r="X52" i="19"/>
  <c r="Y52" i="19"/>
  <c r="U109" i="19"/>
  <c r="V109" i="19"/>
  <c r="T53" i="19"/>
  <c r="U161" i="19"/>
  <c r="V161" i="19"/>
  <c r="T107" i="18"/>
  <c r="U53" i="18"/>
  <c r="V53" i="18"/>
  <c r="W53" i="18"/>
  <c r="T162" i="18"/>
  <c r="T51" i="17"/>
  <c r="U51" i="17"/>
  <c r="U107" i="17"/>
  <c r="T162" i="17"/>
  <c r="X49" i="13"/>
  <c r="Y49" i="13"/>
  <c r="U163" i="13"/>
  <c r="V163" i="13"/>
  <c r="U50" i="13"/>
  <c r="V50" i="13"/>
  <c r="W50" i="13"/>
  <c r="T108" i="13"/>
  <c r="T110" i="19"/>
  <c r="T162" i="19"/>
  <c r="U53" i="19"/>
  <c r="V53" i="19"/>
  <c r="W53" i="19"/>
  <c r="T54" i="18"/>
  <c r="U54" i="18"/>
  <c r="V54" i="18"/>
  <c r="W54" i="18"/>
  <c r="U162" i="18"/>
  <c r="V162" i="18"/>
  <c r="X53" i="18"/>
  <c r="Y53" i="18"/>
  <c r="U107" i="18"/>
  <c r="V107" i="18"/>
  <c r="U162" i="17"/>
  <c r="T163" i="17"/>
  <c r="T108" i="17"/>
  <c r="T52" i="17"/>
  <c r="X50" i="13"/>
  <c r="Y50" i="13"/>
  <c r="U108" i="13"/>
  <c r="V108" i="13"/>
  <c r="T164" i="13"/>
  <c r="T51" i="13"/>
  <c r="Y52" i="12"/>
  <c r="X53" i="19"/>
  <c r="Y53" i="19"/>
  <c r="T54" i="19"/>
  <c r="U162" i="19"/>
  <c r="V162" i="19"/>
  <c r="T163" i="19"/>
  <c r="T111" i="19"/>
  <c r="U110" i="19"/>
  <c r="V110" i="19"/>
  <c r="T163" i="18"/>
  <c r="U163" i="18"/>
  <c r="V163" i="18"/>
  <c r="T108" i="18"/>
  <c r="U108" i="18"/>
  <c r="V108" i="18"/>
  <c r="X54" i="18"/>
  <c r="Y54" i="18"/>
  <c r="T55" i="18"/>
  <c r="U108" i="17"/>
  <c r="U52" i="17"/>
  <c r="T164" i="17"/>
  <c r="U163" i="17"/>
  <c r="T109" i="13"/>
  <c r="U51" i="13"/>
  <c r="V51" i="13"/>
  <c r="W51" i="13"/>
  <c r="U164" i="13"/>
  <c r="V164" i="13"/>
  <c r="U163" i="19"/>
  <c r="V163" i="19"/>
  <c r="U54" i="19"/>
  <c r="V54" i="19"/>
  <c r="W54" i="19"/>
  <c r="U111" i="19"/>
  <c r="V111" i="19"/>
  <c r="U55" i="18"/>
  <c r="V55" i="18"/>
  <c r="W55" i="18"/>
  <c r="T109" i="18"/>
  <c r="T164" i="18"/>
  <c r="T109" i="17"/>
  <c r="U164" i="17"/>
  <c r="T165" i="17"/>
  <c r="U109" i="17"/>
  <c r="T53" i="17"/>
  <c r="T52" i="13"/>
  <c r="X51" i="13"/>
  <c r="Y51" i="13"/>
  <c r="T165" i="13"/>
  <c r="U109" i="13"/>
  <c r="V109" i="13"/>
  <c r="Y53" i="12"/>
  <c r="X54" i="19"/>
  <c r="Y54" i="19"/>
  <c r="T55" i="19"/>
  <c r="T112" i="19"/>
  <c r="T164" i="19"/>
  <c r="U164" i="18"/>
  <c r="V164" i="18"/>
  <c r="U109" i="18"/>
  <c r="V109" i="18"/>
  <c r="X55" i="18"/>
  <c r="Y55" i="18"/>
  <c r="T56" i="18"/>
  <c r="T110" i="17"/>
  <c r="U165" i="17"/>
  <c r="U53" i="17"/>
  <c r="U165" i="13"/>
  <c r="V165" i="13"/>
  <c r="T110" i="13"/>
  <c r="T53" i="13"/>
  <c r="U52" i="13"/>
  <c r="V52" i="13"/>
  <c r="W52" i="13"/>
  <c r="U112" i="19"/>
  <c r="V112" i="19"/>
  <c r="U55" i="19"/>
  <c r="V55" i="19"/>
  <c r="W55" i="19"/>
  <c r="U164" i="19"/>
  <c r="V164" i="19"/>
  <c r="T165" i="19"/>
  <c r="T165" i="18"/>
  <c r="U165" i="18"/>
  <c r="V165" i="18"/>
  <c r="T110" i="18"/>
  <c r="U110" i="18"/>
  <c r="V110" i="18"/>
  <c r="U56" i="18"/>
  <c r="V56" i="18"/>
  <c r="W56" i="18"/>
  <c r="T54" i="17"/>
  <c r="U54" i="17"/>
  <c r="T166" i="17"/>
  <c r="U110" i="17"/>
  <c r="U53" i="13"/>
  <c r="V53" i="13"/>
  <c r="W53" i="13"/>
  <c r="U110" i="13"/>
  <c r="V110" i="13"/>
  <c r="X52" i="13"/>
  <c r="Y52" i="13"/>
  <c r="T166" i="13"/>
  <c r="Y54" i="12"/>
  <c r="X55" i="19"/>
  <c r="Y55" i="19"/>
  <c r="T56" i="19"/>
  <c r="U165" i="19"/>
  <c r="V165" i="19"/>
  <c r="T113" i="19"/>
  <c r="X56" i="18"/>
  <c r="Y56" i="18"/>
  <c r="T57" i="18"/>
  <c r="T166" i="18"/>
  <c r="T111" i="18"/>
  <c r="U166" i="17"/>
  <c r="T167" i="17"/>
  <c r="T111" i="17"/>
  <c r="T55" i="17"/>
  <c r="X53" i="13"/>
  <c r="Y53" i="13"/>
  <c r="U166" i="13"/>
  <c r="V166" i="13"/>
  <c r="T167" i="13"/>
  <c r="T111" i="13"/>
  <c r="T54" i="13"/>
  <c r="T166" i="19"/>
  <c r="T57" i="19"/>
  <c r="U56" i="19"/>
  <c r="V56" i="19"/>
  <c r="W56" i="19"/>
  <c r="U166" i="18"/>
  <c r="V166" i="18"/>
  <c r="U57" i="18"/>
  <c r="V57" i="18"/>
  <c r="W57" i="18"/>
  <c r="U111" i="18"/>
  <c r="V111" i="18"/>
  <c r="U167" i="17"/>
  <c r="U55" i="17"/>
  <c r="U111" i="17"/>
  <c r="U167" i="13"/>
  <c r="V167" i="13"/>
  <c r="U54" i="13"/>
  <c r="V54" i="13"/>
  <c r="W54" i="13"/>
  <c r="U111" i="13"/>
  <c r="V111" i="13"/>
  <c r="T112" i="13"/>
  <c r="Y55" i="12"/>
  <c r="X56" i="19"/>
  <c r="Y56" i="19"/>
  <c r="U57" i="19"/>
  <c r="V57" i="19"/>
  <c r="W57" i="19"/>
  <c r="U166" i="19"/>
  <c r="V166" i="19"/>
  <c r="T167" i="18"/>
  <c r="U167" i="18"/>
  <c r="V167" i="18"/>
  <c r="W58" i="18"/>
  <c r="X57" i="18"/>
  <c r="Y57" i="18"/>
  <c r="T58" i="18"/>
  <c r="T112" i="18"/>
  <c r="T56" i="17"/>
  <c r="T112" i="17"/>
  <c r="T168" i="17"/>
  <c r="X54" i="13"/>
  <c r="Y54" i="13"/>
  <c r="T55" i="13"/>
  <c r="U112" i="13"/>
  <c r="V112" i="13"/>
  <c r="T168" i="13"/>
  <c r="W58" i="19"/>
  <c r="X57" i="19"/>
  <c r="Y57" i="19"/>
  <c r="T58" i="19"/>
  <c r="T167" i="19"/>
  <c r="T168" i="18"/>
  <c r="X58" i="18"/>
  <c r="Y58" i="18"/>
  <c r="W59" i="18"/>
  <c r="U112" i="18"/>
  <c r="V112" i="18"/>
  <c r="U112" i="17"/>
  <c r="U56" i="17"/>
  <c r="T113" i="13"/>
  <c r="U55" i="13"/>
  <c r="V55" i="13"/>
  <c r="W55" i="13"/>
  <c r="T113" i="12"/>
  <c r="Y56" i="12"/>
  <c r="U167" i="19"/>
  <c r="V167" i="19"/>
  <c r="X58" i="19"/>
  <c r="Y58" i="19"/>
  <c r="W59" i="19"/>
  <c r="T113" i="18"/>
  <c r="X59" i="18"/>
  <c r="Y59" i="18"/>
  <c r="C24" i="18"/>
  <c r="W60" i="18"/>
  <c r="T57" i="17"/>
  <c r="T113" i="17"/>
  <c r="X55" i="13"/>
  <c r="Y55" i="13"/>
  <c r="T56" i="13"/>
  <c r="T58" i="12"/>
  <c r="T168" i="12"/>
  <c r="X59" i="19"/>
  <c r="Y59" i="19"/>
  <c r="C24" i="19"/>
  <c r="W60" i="19"/>
  <c r="T168" i="19"/>
  <c r="X60" i="18"/>
  <c r="Y60" i="18"/>
  <c r="W61" i="18"/>
  <c r="U57" i="17"/>
  <c r="U56" i="13"/>
  <c r="V56" i="13"/>
  <c r="W56" i="13"/>
  <c r="Y57" i="12"/>
  <c r="Y58" i="12"/>
  <c r="X60" i="19"/>
  <c r="Y60" i="19"/>
  <c r="W61" i="19"/>
  <c r="X61" i="18"/>
  <c r="Y61" i="18"/>
  <c r="W62" i="18"/>
  <c r="T58" i="17"/>
  <c r="X56" i="13"/>
  <c r="Y56" i="13"/>
  <c r="T57" i="13"/>
  <c r="Y59" i="12"/>
  <c r="C24" i="12"/>
  <c r="X61" i="19"/>
  <c r="Y61" i="19"/>
  <c r="W62" i="19"/>
  <c r="X62" i="18"/>
  <c r="Y62" i="18"/>
  <c r="W63" i="18"/>
  <c r="U57" i="13"/>
  <c r="V57" i="13"/>
  <c r="W57" i="13"/>
  <c r="Y60" i="12"/>
  <c r="X62" i="19"/>
  <c r="Y62" i="19"/>
  <c r="W63" i="19"/>
  <c r="W64" i="18"/>
  <c r="X63" i="18"/>
  <c r="Y63" i="18"/>
  <c r="W58" i="13"/>
  <c r="X57" i="13"/>
  <c r="Y57" i="13"/>
  <c r="T58" i="13"/>
  <c r="Y61" i="12"/>
  <c r="W64" i="19"/>
  <c r="X63" i="19"/>
  <c r="Y63" i="19"/>
  <c r="W65" i="18"/>
  <c r="X64" i="18"/>
  <c r="Y64" i="18"/>
  <c r="X58" i="13"/>
  <c r="Y58" i="13"/>
  <c r="W59" i="13"/>
  <c r="Y62" i="12"/>
  <c r="W65" i="19"/>
  <c r="X64" i="19"/>
  <c r="Y64" i="19"/>
  <c r="W66" i="18"/>
  <c r="X65" i="18"/>
  <c r="Y65" i="18"/>
  <c r="X59" i="13"/>
  <c r="Y59" i="13"/>
  <c r="C24" i="13"/>
  <c r="W60" i="13"/>
  <c r="Y63" i="12"/>
  <c r="W66" i="19"/>
  <c r="X65" i="19"/>
  <c r="Y65" i="19"/>
  <c r="W67" i="18"/>
  <c r="X66" i="18"/>
  <c r="Y66" i="18"/>
  <c r="X60" i="13"/>
  <c r="Y60" i="13"/>
  <c r="W61" i="13"/>
  <c r="Y64" i="12"/>
  <c r="W67" i="19"/>
  <c r="X66" i="19"/>
  <c r="Y66" i="19"/>
  <c r="W68" i="18"/>
  <c r="X67" i="18"/>
  <c r="Y67" i="18"/>
  <c r="X61" i="13"/>
  <c r="Y61" i="13"/>
  <c r="W62" i="13"/>
  <c r="Y65" i="12"/>
  <c r="W68" i="19"/>
  <c r="X67" i="19"/>
  <c r="Y67" i="19"/>
  <c r="W69" i="18"/>
  <c r="X68" i="18"/>
  <c r="Y68" i="18"/>
  <c r="X62" i="13"/>
  <c r="Y62" i="13"/>
  <c r="W63" i="13"/>
  <c r="Y66" i="12"/>
  <c r="W69" i="19"/>
  <c r="X68" i="19"/>
  <c r="Y68" i="19"/>
  <c r="W70" i="18"/>
  <c r="X69" i="18"/>
  <c r="Y69" i="18"/>
  <c r="W64" i="13"/>
  <c r="X63" i="13"/>
  <c r="Y63" i="13"/>
  <c r="Y67" i="12"/>
  <c r="W70" i="19"/>
  <c r="X69" i="19"/>
  <c r="Y69" i="19"/>
  <c r="W71" i="18"/>
  <c r="X70" i="18"/>
  <c r="Y70" i="18"/>
  <c r="W65" i="13"/>
  <c r="X64" i="13"/>
  <c r="Y64" i="13"/>
  <c r="Y68" i="12"/>
  <c r="W71" i="19"/>
  <c r="X70" i="19"/>
  <c r="Y70" i="19"/>
  <c r="W72" i="18"/>
  <c r="X71" i="18"/>
  <c r="Y71" i="18"/>
  <c r="W66" i="13"/>
  <c r="X65" i="13"/>
  <c r="Y65" i="13"/>
  <c r="Y69" i="12"/>
  <c r="X71" i="19"/>
  <c r="Y71" i="19"/>
  <c r="W72" i="19"/>
  <c r="W73" i="18"/>
  <c r="X72" i="18"/>
  <c r="Y72" i="18"/>
  <c r="W67" i="13"/>
  <c r="X66" i="13"/>
  <c r="Y66" i="13"/>
  <c r="Y70" i="12"/>
  <c r="W73" i="19"/>
  <c r="X72" i="19"/>
  <c r="Y72" i="19"/>
  <c r="W74" i="18"/>
  <c r="X73" i="18"/>
  <c r="Y73" i="18"/>
  <c r="W68" i="13"/>
  <c r="X67" i="13"/>
  <c r="Y67" i="13"/>
  <c r="Y71" i="12"/>
  <c r="W74" i="19"/>
  <c r="X73" i="19"/>
  <c r="Y73" i="19"/>
  <c r="W75" i="18"/>
  <c r="X74" i="18"/>
  <c r="Y74" i="18"/>
  <c r="X68" i="13"/>
  <c r="Y68" i="13"/>
  <c r="W69" i="13"/>
  <c r="Y72" i="12"/>
  <c r="W75" i="19"/>
  <c r="X74" i="19"/>
  <c r="Y74" i="19"/>
  <c r="W76" i="18"/>
  <c r="X75" i="18"/>
  <c r="Y75" i="18"/>
  <c r="W70" i="13"/>
  <c r="X69" i="13"/>
  <c r="Y69" i="13"/>
  <c r="Y73" i="12"/>
  <c r="W76" i="19"/>
  <c r="X75" i="19"/>
  <c r="Y75" i="19"/>
  <c r="W77" i="18"/>
  <c r="X76" i="18"/>
  <c r="Y76" i="18"/>
  <c r="W71" i="13"/>
  <c r="X70" i="13"/>
  <c r="Y70" i="13"/>
  <c r="Y74" i="12"/>
  <c r="W77" i="19"/>
  <c r="X76" i="19"/>
  <c r="Y76" i="19"/>
  <c r="W78" i="18"/>
  <c r="X77" i="18"/>
  <c r="Y77" i="18"/>
  <c r="W72" i="13"/>
  <c r="X71" i="13"/>
  <c r="Y71" i="13"/>
  <c r="Y75" i="12"/>
  <c r="W78" i="19"/>
  <c r="X77" i="19"/>
  <c r="Y77" i="19"/>
  <c r="W79" i="18"/>
  <c r="X78" i="18"/>
  <c r="Y78" i="18"/>
  <c r="X72" i="13"/>
  <c r="Y72" i="13"/>
  <c r="W73" i="13"/>
  <c r="Y76" i="12"/>
  <c r="W79" i="19"/>
  <c r="X78" i="19"/>
  <c r="Y78" i="19"/>
  <c r="W80" i="18"/>
  <c r="X79" i="18"/>
  <c r="Y79" i="18"/>
  <c r="W74" i="13"/>
  <c r="X73" i="13"/>
  <c r="Y73" i="13"/>
  <c r="Y77" i="12"/>
  <c r="W80" i="19"/>
  <c r="X79" i="19"/>
  <c r="Y79" i="19"/>
  <c r="W81" i="18"/>
  <c r="X80" i="18"/>
  <c r="Y80" i="18"/>
  <c r="W75" i="13"/>
  <c r="X74" i="13"/>
  <c r="Y74" i="13"/>
  <c r="Y78" i="12"/>
  <c r="W81" i="19"/>
  <c r="X80" i="19"/>
  <c r="Y80" i="19"/>
  <c r="X81" i="18"/>
  <c r="Y81" i="18"/>
  <c r="W82" i="18"/>
  <c r="W76" i="13"/>
  <c r="X75" i="13"/>
  <c r="Y75" i="13"/>
  <c r="Y79" i="12"/>
  <c r="W82" i="19"/>
  <c r="X81" i="19"/>
  <c r="Y81" i="19"/>
  <c r="W83" i="18"/>
  <c r="X82" i="18"/>
  <c r="Y82" i="18"/>
  <c r="X76" i="13"/>
  <c r="Y76" i="13"/>
  <c r="W77" i="13"/>
  <c r="Y80" i="12"/>
  <c r="W83" i="19"/>
  <c r="X82" i="19"/>
  <c r="Y82" i="19"/>
  <c r="X83" i="18"/>
  <c r="Y83" i="18"/>
  <c r="W84" i="18"/>
  <c r="W78" i="13"/>
  <c r="X77" i="13"/>
  <c r="Y77" i="13"/>
  <c r="Y81" i="12"/>
  <c r="W84" i="19"/>
  <c r="X83" i="19"/>
  <c r="Y83" i="19"/>
  <c r="W85" i="18"/>
  <c r="X84" i="18"/>
  <c r="Y84" i="18"/>
  <c r="W79" i="13"/>
  <c r="X78" i="13"/>
  <c r="Y78" i="13"/>
  <c r="Y82" i="12"/>
  <c r="W85" i="19"/>
  <c r="X84" i="19"/>
  <c r="Y84" i="19"/>
  <c r="X85" i="18"/>
  <c r="Y85" i="18"/>
  <c r="W86" i="18"/>
  <c r="W80" i="13"/>
  <c r="X79" i="13"/>
  <c r="Y79" i="13"/>
  <c r="Y83" i="12"/>
  <c r="W86" i="19"/>
  <c r="X85" i="19"/>
  <c r="Y85" i="19"/>
  <c r="W87" i="18"/>
  <c r="X86" i="18"/>
  <c r="Y86" i="18"/>
  <c r="W81" i="13"/>
  <c r="X80" i="13"/>
  <c r="Y80" i="13"/>
  <c r="Y84" i="12"/>
  <c r="W87" i="19"/>
  <c r="X86" i="19"/>
  <c r="Y86" i="19"/>
  <c r="X87" i="18"/>
  <c r="Y87" i="18"/>
  <c r="W88" i="18"/>
  <c r="W82" i="13"/>
  <c r="X81" i="13"/>
  <c r="Y81" i="13"/>
  <c r="Y85" i="12"/>
  <c r="W88" i="19"/>
  <c r="X87" i="19"/>
  <c r="Y87" i="19"/>
  <c r="W89" i="18"/>
  <c r="X88" i="18"/>
  <c r="Y88" i="18"/>
  <c r="W83" i="13"/>
  <c r="X82" i="13"/>
  <c r="Y82" i="13"/>
  <c r="Y86" i="12"/>
  <c r="W89" i="19"/>
  <c r="X88" i="19"/>
  <c r="Y88" i="19"/>
  <c r="X89" i="18"/>
  <c r="Y89" i="18"/>
  <c r="W90" i="18"/>
  <c r="W84" i="13"/>
  <c r="X83" i="13"/>
  <c r="Y83" i="13"/>
  <c r="Y87" i="12"/>
  <c r="W90" i="19"/>
  <c r="X89" i="19"/>
  <c r="Y89" i="19"/>
  <c r="W91" i="18"/>
  <c r="X90" i="18"/>
  <c r="Y90" i="18"/>
  <c r="W85" i="13"/>
  <c r="X84" i="13"/>
  <c r="Y84" i="13"/>
  <c r="Y88" i="12"/>
  <c r="W91" i="19"/>
  <c r="X90" i="19"/>
  <c r="Y90" i="19"/>
  <c r="X91" i="18"/>
  <c r="Y91" i="18"/>
  <c r="W92" i="18"/>
  <c r="W86" i="13"/>
  <c r="X85" i="13"/>
  <c r="Y85" i="13"/>
  <c r="Y89" i="12"/>
  <c r="W92" i="19"/>
  <c r="X91" i="19"/>
  <c r="Y91" i="19"/>
  <c r="W93" i="18"/>
  <c r="X92" i="18"/>
  <c r="Y92" i="18"/>
  <c r="W87" i="13"/>
  <c r="X86" i="13"/>
  <c r="Y86" i="13"/>
  <c r="Y90" i="12"/>
  <c r="W93" i="19"/>
  <c r="X92" i="19"/>
  <c r="Y92" i="19"/>
  <c r="X93" i="18"/>
  <c r="Y93" i="18"/>
  <c r="W94" i="18"/>
  <c r="W88" i="13"/>
  <c r="X87" i="13"/>
  <c r="Y87" i="13"/>
  <c r="Y91" i="12"/>
  <c r="W94" i="19"/>
  <c r="X93" i="19"/>
  <c r="Y93" i="19"/>
  <c r="W95" i="18"/>
  <c r="X94" i="18"/>
  <c r="Y94" i="18"/>
  <c r="W89" i="13"/>
  <c r="X88" i="13"/>
  <c r="Y88" i="13"/>
  <c r="Y92" i="12"/>
  <c r="W95" i="19"/>
  <c r="X94" i="19"/>
  <c r="Y94" i="19"/>
  <c r="W96" i="18"/>
  <c r="X95" i="18"/>
  <c r="Y95" i="18"/>
  <c r="W90" i="13"/>
  <c r="X89" i="13"/>
  <c r="Y89" i="13"/>
  <c r="Y93" i="12"/>
  <c r="W96" i="19"/>
  <c r="X95" i="19"/>
  <c r="Y95" i="19"/>
  <c r="W97" i="18"/>
  <c r="X96" i="18"/>
  <c r="Y96" i="18"/>
  <c r="W91" i="13"/>
  <c r="X90" i="13"/>
  <c r="Y90" i="13"/>
  <c r="Y94" i="12"/>
  <c r="W97" i="19"/>
  <c r="X96" i="19"/>
  <c r="Y96" i="19"/>
  <c r="W98" i="18"/>
  <c r="X97" i="18"/>
  <c r="Y97" i="18"/>
  <c r="W92" i="13"/>
  <c r="X91" i="13"/>
  <c r="Y91" i="13"/>
  <c r="Y95" i="12"/>
  <c r="W98" i="19"/>
  <c r="X97" i="19"/>
  <c r="Y97" i="19"/>
  <c r="W99" i="18"/>
  <c r="X98" i="18"/>
  <c r="Y98" i="18"/>
  <c r="W93" i="13"/>
  <c r="X92" i="13"/>
  <c r="Y92" i="13"/>
  <c r="Y96" i="12"/>
  <c r="W99" i="19"/>
  <c r="X98" i="19"/>
  <c r="Y98" i="19"/>
  <c r="W100" i="18"/>
  <c r="X99" i="18"/>
  <c r="Y99" i="18"/>
  <c r="W94" i="13"/>
  <c r="X93" i="13"/>
  <c r="Y93" i="13"/>
  <c r="Y97" i="12"/>
  <c r="W100" i="19"/>
  <c r="X99" i="19"/>
  <c r="Y99" i="19"/>
  <c r="W101" i="18"/>
  <c r="X100" i="18"/>
  <c r="Y100" i="18"/>
  <c r="W95" i="13"/>
  <c r="X94" i="13"/>
  <c r="Y94" i="13"/>
  <c r="Y98" i="12"/>
  <c r="W101" i="19"/>
  <c r="X100" i="19"/>
  <c r="Y100" i="19"/>
  <c r="W102" i="18"/>
  <c r="X101" i="18"/>
  <c r="Y101" i="18"/>
  <c r="W96" i="13"/>
  <c r="X95" i="13"/>
  <c r="Y95" i="13"/>
  <c r="Y99" i="12"/>
  <c r="W102" i="19"/>
  <c r="X101" i="19"/>
  <c r="Y101" i="19"/>
  <c r="X102" i="18"/>
  <c r="Y102" i="18"/>
  <c r="W103" i="18"/>
  <c r="W97" i="13"/>
  <c r="X96" i="13"/>
  <c r="Y96" i="13"/>
  <c r="Y100" i="12"/>
  <c r="W103" i="19"/>
  <c r="X102" i="19"/>
  <c r="Y102" i="19"/>
  <c r="X103" i="18"/>
  <c r="Y103" i="18"/>
  <c r="W104" i="18"/>
  <c r="W98" i="13"/>
  <c r="X97" i="13"/>
  <c r="Y97" i="13"/>
  <c r="Y101" i="12"/>
  <c r="W104" i="19"/>
  <c r="X103" i="19"/>
  <c r="Y103" i="19"/>
  <c r="X104" i="18"/>
  <c r="Y104" i="18"/>
  <c r="W105" i="18"/>
  <c r="W99" i="13"/>
  <c r="X98" i="13"/>
  <c r="Y98" i="13"/>
  <c r="Y102" i="12"/>
  <c r="W105" i="19"/>
  <c r="X104" i="19"/>
  <c r="Y104" i="19"/>
  <c r="W106" i="18"/>
  <c r="X105" i="18"/>
  <c r="Y105" i="18"/>
  <c r="W100" i="13"/>
  <c r="X99" i="13"/>
  <c r="Y99" i="13"/>
  <c r="Y103" i="12"/>
  <c r="W106" i="19"/>
  <c r="X105" i="19"/>
  <c r="Y105" i="19"/>
  <c r="W107" i="18"/>
  <c r="X106" i="18"/>
  <c r="Y106" i="18"/>
  <c r="W101" i="13"/>
  <c r="X100" i="13"/>
  <c r="Y100" i="13"/>
  <c r="Y104" i="12"/>
  <c r="X106" i="19"/>
  <c r="Y106" i="19"/>
  <c r="W107" i="19"/>
  <c r="W108" i="18"/>
  <c r="X107" i="18"/>
  <c r="Y107" i="18"/>
  <c r="W102" i="13"/>
  <c r="X101" i="13"/>
  <c r="Y101" i="13"/>
  <c r="Y105" i="12"/>
  <c r="W108" i="19"/>
  <c r="X107" i="19"/>
  <c r="Y107" i="19"/>
  <c r="W109" i="18"/>
  <c r="X108" i="18"/>
  <c r="Y108" i="18"/>
  <c r="W103" i="13"/>
  <c r="X102" i="13"/>
  <c r="Y102" i="13"/>
  <c r="Y106" i="12"/>
  <c r="X108" i="19"/>
  <c r="Y108" i="19"/>
  <c r="W109" i="19"/>
  <c r="W110" i="18"/>
  <c r="X109" i="18"/>
  <c r="Y109" i="18"/>
  <c r="W104" i="13"/>
  <c r="X103" i="13"/>
  <c r="Y103" i="13"/>
  <c r="Y107" i="12"/>
  <c r="W110" i="19"/>
  <c r="X109" i="19"/>
  <c r="Y109" i="19"/>
  <c r="W111" i="18"/>
  <c r="X110" i="18"/>
  <c r="Y110" i="18"/>
  <c r="X104" i="13"/>
  <c r="Y104" i="13"/>
  <c r="W105" i="13"/>
  <c r="Y108" i="12"/>
  <c r="X110" i="19"/>
  <c r="Y110" i="19"/>
  <c r="W111" i="19"/>
  <c r="W112" i="18"/>
  <c r="X111" i="18"/>
  <c r="Y111" i="18"/>
  <c r="X105" i="13"/>
  <c r="Y105" i="13"/>
  <c r="W106" i="13"/>
  <c r="Y109" i="12"/>
  <c r="W112" i="19"/>
  <c r="X111" i="19"/>
  <c r="Y111" i="19"/>
  <c r="W113" i="18"/>
  <c r="X112" i="18"/>
  <c r="Y112" i="18"/>
  <c r="W107" i="13"/>
  <c r="X106" i="13"/>
  <c r="Y106" i="13"/>
  <c r="Y110" i="12"/>
  <c r="W113" i="19"/>
  <c r="X112" i="19"/>
  <c r="Y112" i="19"/>
  <c r="X113" i="18"/>
  <c r="Y113" i="18"/>
  <c r="W114" i="18"/>
  <c r="X107" i="13"/>
  <c r="Y107" i="13"/>
  <c r="W108" i="13"/>
  <c r="Y111" i="12"/>
  <c r="X113" i="19"/>
  <c r="Y113" i="19"/>
  <c r="W114" i="19"/>
  <c r="X114" i="18"/>
  <c r="Y114" i="18"/>
  <c r="W115" i="18"/>
  <c r="W109" i="13"/>
  <c r="X108" i="13"/>
  <c r="Y108" i="13"/>
  <c r="Y112" i="12"/>
  <c r="X114" i="19"/>
  <c r="Y114" i="19"/>
  <c r="W115" i="19"/>
  <c r="X115" i="18"/>
  <c r="Y115" i="18"/>
  <c r="W116" i="18"/>
  <c r="W110" i="13"/>
  <c r="X109" i="13"/>
  <c r="Y109" i="13"/>
  <c r="Y113" i="12"/>
  <c r="X115" i="19"/>
  <c r="Y115" i="19"/>
  <c r="W116" i="19"/>
  <c r="X116" i="18"/>
  <c r="Y116" i="18"/>
  <c r="W117" i="18"/>
  <c r="W111" i="13"/>
  <c r="X110" i="13"/>
  <c r="Y110" i="13"/>
  <c r="Y114" i="12"/>
  <c r="X116" i="19"/>
  <c r="Y116" i="19"/>
  <c r="W117" i="19"/>
  <c r="X117" i="18"/>
  <c r="Y117" i="18"/>
  <c r="W118" i="18"/>
  <c r="W112" i="13"/>
  <c r="X111" i="13"/>
  <c r="Y111" i="13"/>
  <c r="Y115" i="12"/>
  <c r="X117" i="19"/>
  <c r="Y117" i="19"/>
  <c r="W118" i="19"/>
  <c r="W119" i="18"/>
  <c r="X118" i="18"/>
  <c r="Y118" i="18"/>
  <c r="X112" i="13"/>
  <c r="Y112" i="13"/>
  <c r="W113" i="13"/>
  <c r="Y116" i="12"/>
  <c r="W119" i="19"/>
  <c r="X118" i="19"/>
  <c r="Y118" i="19"/>
  <c r="X119" i="18"/>
  <c r="Y119" i="18"/>
  <c r="W120" i="18"/>
  <c r="X113" i="13"/>
  <c r="Y113" i="13"/>
  <c r="W114" i="13"/>
  <c r="Y117" i="12"/>
  <c r="W120" i="19"/>
  <c r="X119" i="19"/>
  <c r="Y119" i="19"/>
  <c r="W121" i="18"/>
  <c r="X120" i="18"/>
  <c r="Y120" i="18"/>
  <c r="X114" i="13"/>
  <c r="Y114" i="13"/>
  <c r="W115" i="13"/>
  <c r="Y118" i="12"/>
  <c r="W121" i="19"/>
  <c r="X120" i="19"/>
  <c r="Y120" i="19"/>
  <c r="X121" i="18"/>
  <c r="Y121" i="18"/>
  <c r="W122" i="18"/>
  <c r="X115" i="13"/>
  <c r="Y115" i="13"/>
  <c r="W116" i="13"/>
  <c r="Y119" i="12"/>
  <c r="W122" i="19"/>
  <c r="X121" i="19"/>
  <c r="Y121" i="19"/>
  <c r="W123" i="18"/>
  <c r="X122" i="18"/>
  <c r="Y122" i="18"/>
  <c r="X116" i="13"/>
  <c r="Y116" i="13"/>
  <c r="W117" i="13"/>
  <c r="Y120" i="12"/>
  <c r="W123" i="19"/>
  <c r="X122" i="19"/>
  <c r="Y122" i="19"/>
  <c r="X123" i="18"/>
  <c r="Y123" i="18"/>
  <c r="W124" i="18"/>
  <c r="X117" i="13"/>
  <c r="Y117" i="13"/>
  <c r="W118" i="13"/>
  <c r="Y121" i="12"/>
  <c r="W124" i="19"/>
  <c r="X123" i="19"/>
  <c r="Y123" i="19"/>
  <c r="W125" i="18"/>
  <c r="X124" i="18"/>
  <c r="Y124" i="18"/>
  <c r="W119" i="13"/>
  <c r="X118" i="13"/>
  <c r="Y118" i="13"/>
  <c r="Y122" i="12"/>
  <c r="W125" i="19"/>
  <c r="X124" i="19"/>
  <c r="Y124" i="19"/>
  <c r="X125" i="18"/>
  <c r="Y125" i="18"/>
  <c r="W126" i="18"/>
  <c r="X119" i="13"/>
  <c r="Y119" i="13"/>
  <c r="W120" i="13"/>
  <c r="Y123" i="12"/>
  <c r="W126" i="19"/>
  <c r="X125" i="19"/>
  <c r="Y125" i="19"/>
  <c r="W127" i="18"/>
  <c r="X126" i="18"/>
  <c r="Y126" i="18"/>
  <c r="W121" i="13"/>
  <c r="X120" i="13"/>
  <c r="Y120" i="13"/>
  <c r="Y124" i="12"/>
  <c r="W127" i="19"/>
  <c r="X126" i="19"/>
  <c r="Y126" i="19"/>
  <c r="X127" i="18"/>
  <c r="Y127" i="18"/>
  <c r="W128" i="18"/>
  <c r="X121" i="13"/>
  <c r="Y121" i="13"/>
  <c r="W122" i="13"/>
  <c r="Y125" i="12"/>
  <c r="W128" i="19"/>
  <c r="X127" i="19"/>
  <c r="Y127" i="19"/>
  <c r="W129" i="18"/>
  <c r="X128" i="18"/>
  <c r="Y128" i="18"/>
  <c r="W123" i="13"/>
  <c r="X122" i="13"/>
  <c r="Y122" i="13"/>
  <c r="Y126" i="12"/>
  <c r="W129" i="19"/>
  <c r="X128" i="19"/>
  <c r="Y128" i="19"/>
  <c r="X129" i="18"/>
  <c r="Y129" i="18"/>
  <c r="W130" i="18"/>
  <c r="X123" i="13"/>
  <c r="Y123" i="13"/>
  <c r="W124" i="13"/>
  <c r="Y127" i="12"/>
  <c r="W130" i="19"/>
  <c r="X129" i="19"/>
  <c r="Y129" i="19"/>
  <c r="W131" i="18"/>
  <c r="X130" i="18"/>
  <c r="Y130" i="18"/>
  <c r="W125" i="13"/>
  <c r="X124" i="13"/>
  <c r="Y124" i="13"/>
  <c r="Y128" i="12"/>
  <c r="W131" i="19"/>
  <c r="X130" i="19"/>
  <c r="Y130" i="19"/>
  <c r="X131" i="18"/>
  <c r="Y131" i="18"/>
  <c r="W132" i="18"/>
  <c r="X125" i="13"/>
  <c r="Y125" i="13"/>
  <c r="W126" i="13"/>
  <c r="Y129" i="12"/>
  <c r="W132" i="19"/>
  <c r="X131" i="19"/>
  <c r="Y131" i="19"/>
  <c r="W133" i="18"/>
  <c r="X132" i="18"/>
  <c r="Y132" i="18"/>
  <c r="W127" i="13"/>
  <c r="X126" i="13"/>
  <c r="Y126" i="13"/>
  <c r="Y130" i="12"/>
  <c r="X132" i="19"/>
  <c r="Y132" i="19"/>
  <c r="W133" i="19"/>
  <c r="X133" i="18"/>
  <c r="Y133" i="18"/>
  <c r="W134" i="18"/>
  <c r="X127" i="13"/>
  <c r="Y127" i="13"/>
  <c r="W128" i="13"/>
  <c r="Y131" i="12"/>
  <c r="W134" i="19"/>
  <c r="X133" i="19"/>
  <c r="Y133" i="19"/>
  <c r="X134" i="18"/>
  <c r="Y134" i="18"/>
  <c r="W135" i="18"/>
  <c r="W129" i="13"/>
  <c r="X128" i="13"/>
  <c r="Y128" i="13"/>
  <c r="Y132" i="12"/>
  <c r="W135" i="19"/>
  <c r="X134" i="19"/>
  <c r="Y134" i="19"/>
  <c r="W136" i="18"/>
  <c r="X135" i="18"/>
  <c r="Y135" i="18"/>
  <c r="X129" i="13"/>
  <c r="Y129" i="13"/>
  <c r="W130" i="13"/>
  <c r="Y133" i="12"/>
  <c r="X135" i="19"/>
  <c r="Y135" i="19"/>
  <c r="W136" i="19"/>
  <c r="W137" i="18"/>
  <c r="X136" i="18"/>
  <c r="Y136" i="18"/>
  <c r="W131" i="13"/>
  <c r="X130" i="13"/>
  <c r="Y130" i="13"/>
  <c r="Y134" i="12"/>
  <c r="X136" i="19"/>
  <c r="Y136" i="19"/>
  <c r="W137" i="19"/>
  <c r="W138" i="18"/>
  <c r="X137" i="18"/>
  <c r="Y137" i="18"/>
  <c r="W132" i="13"/>
  <c r="X131" i="13"/>
  <c r="Y131" i="13"/>
  <c r="Y135" i="12"/>
  <c r="X137" i="19"/>
  <c r="Y137" i="19"/>
  <c r="W138" i="19"/>
  <c r="W139" i="18"/>
  <c r="X138" i="18"/>
  <c r="Y138" i="18"/>
  <c r="X132" i="13"/>
  <c r="Y132" i="13"/>
  <c r="W133" i="13"/>
  <c r="Y136" i="12"/>
  <c r="W139" i="19"/>
  <c r="X138" i="19"/>
  <c r="Y138" i="19"/>
  <c r="W140" i="18"/>
  <c r="X139" i="18"/>
  <c r="Y139" i="18"/>
  <c r="W134" i="13"/>
  <c r="X133" i="13"/>
  <c r="Y133" i="13"/>
  <c r="Y137" i="12"/>
  <c r="X139" i="19"/>
  <c r="Y139" i="19"/>
  <c r="W140" i="19"/>
  <c r="W141" i="18"/>
  <c r="X140" i="18"/>
  <c r="Y140" i="18"/>
  <c r="W135" i="13"/>
  <c r="X134" i="13"/>
  <c r="Y134" i="13"/>
  <c r="Y138" i="12"/>
  <c r="W141" i="19"/>
  <c r="X140" i="19"/>
  <c r="Y140" i="19"/>
  <c r="W142" i="18"/>
  <c r="X141" i="18"/>
  <c r="Y141" i="18"/>
  <c r="W136" i="13"/>
  <c r="X135" i="13"/>
  <c r="Y135" i="13"/>
  <c r="Y139" i="12"/>
  <c r="X141" i="19"/>
  <c r="Y141" i="19"/>
  <c r="W142" i="19"/>
  <c r="W143" i="18"/>
  <c r="X142" i="18"/>
  <c r="Y142" i="18"/>
  <c r="X136" i="13"/>
  <c r="Y136" i="13"/>
  <c r="W137" i="13"/>
  <c r="Y140" i="12"/>
  <c r="W143" i="19"/>
  <c r="X142" i="19"/>
  <c r="Y142" i="19"/>
  <c r="W144" i="18"/>
  <c r="X143" i="18"/>
  <c r="Y143" i="18"/>
  <c r="X137" i="13"/>
  <c r="Y137" i="13"/>
  <c r="W138" i="13"/>
  <c r="Y141" i="12"/>
  <c r="X143" i="19"/>
  <c r="Y143" i="19"/>
  <c r="W144" i="19"/>
  <c r="W145" i="18"/>
  <c r="X144" i="18"/>
  <c r="Y144" i="18"/>
  <c r="W139" i="13"/>
  <c r="X138" i="13"/>
  <c r="Y138" i="13"/>
  <c r="Y142" i="12"/>
  <c r="W145" i="19"/>
  <c r="X144" i="19"/>
  <c r="Y144" i="19"/>
  <c r="W146" i="18"/>
  <c r="X145" i="18"/>
  <c r="Y145" i="18"/>
  <c r="X139" i="13"/>
  <c r="Y139" i="13"/>
  <c r="W140" i="13"/>
  <c r="Y143" i="12"/>
  <c r="X145" i="19"/>
  <c r="Y145" i="19"/>
  <c r="W146" i="19"/>
  <c r="W147" i="18"/>
  <c r="X146" i="18"/>
  <c r="Y146" i="18"/>
  <c r="W141" i="13"/>
  <c r="X140" i="13"/>
  <c r="Y140" i="13"/>
  <c r="Y144" i="12"/>
  <c r="W147" i="19"/>
  <c r="X146" i="19"/>
  <c r="Y146" i="19"/>
  <c r="W148" i="18"/>
  <c r="X147" i="18"/>
  <c r="Y147" i="18"/>
  <c r="X141" i="13"/>
  <c r="Y141" i="13"/>
  <c r="W142" i="13"/>
  <c r="Y145" i="12"/>
  <c r="X147" i="19"/>
  <c r="Y147" i="19"/>
  <c r="W148" i="19"/>
  <c r="W149" i="18"/>
  <c r="X148" i="18"/>
  <c r="Y148" i="18"/>
  <c r="W143" i="13"/>
  <c r="X142" i="13"/>
  <c r="Y142" i="13"/>
  <c r="Y146" i="12"/>
  <c r="W149" i="19"/>
  <c r="X148" i="19"/>
  <c r="Y148" i="19"/>
  <c r="X149" i="18"/>
  <c r="Y149" i="18"/>
  <c r="W150" i="18"/>
  <c r="W144" i="13"/>
  <c r="X143" i="13"/>
  <c r="Y143" i="13"/>
  <c r="Y147" i="12"/>
  <c r="W150" i="19"/>
  <c r="X149" i="19"/>
  <c r="Y149" i="19"/>
  <c r="W151" i="18"/>
  <c r="X150" i="18"/>
  <c r="Y150" i="18"/>
  <c r="W145" i="13"/>
  <c r="X144" i="13"/>
  <c r="Y144" i="13"/>
  <c r="Y148" i="12"/>
  <c r="W151" i="19"/>
  <c r="X150" i="19"/>
  <c r="Y150" i="19"/>
  <c r="W152" i="18"/>
  <c r="X151" i="18"/>
  <c r="Y151" i="18"/>
  <c r="W146" i="13"/>
  <c r="X145" i="13"/>
  <c r="Y145" i="13"/>
  <c r="Y149" i="12"/>
  <c r="W152" i="19"/>
  <c r="X151" i="19"/>
  <c r="Y151" i="19"/>
  <c r="W153" i="18"/>
  <c r="X152" i="18"/>
  <c r="Y152" i="18"/>
  <c r="X146" i="13"/>
  <c r="Y146" i="13"/>
  <c r="W147" i="13"/>
  <c r="Y150" i="12"/>
  <c r="W153" i="19"/>
  <c r="X152" i="19"/>
  <c r="Y152" i="19"/>
  <c r="W154" i="18"/>
  <c r="X153" i="18"/>
  <c r="Y153" i="18"/>
  <c r="W148" i="13"/>
  <c r="X147" i="13"/>
  <c r="Y147" i="13"/>
  <c r="Y151" i="12"/>
  <c r="W154" i="19"/>
  <c r="X153" i="19"/>
  <c r="Y153" i="19"/>
  <c r="W155" i="18"/>
  <c r="X154" i="18"/>
  <c r="Y154" i="18"/>
  <c r="X148" i="13"/>
  <c r="Y148" i="13"/>
  <c r="W149" i="13"/>
  <c r="Y152" i="12"/>
  <c r="W155" i="19"/>
  <c r="X154" i="19"/>
  <c r="Y154" i="19"/>
  <c r="W156" i="18"/>
  <c r="X155" i="18"/>
  <c r="Y155" i="18"/>
  <c r="W150" i="13"/>
  <c r="X149" i="13"/>
  <c r="Y149" i="13"/>
  <c r="Y153" i="12"/>
  <c r="W156" i="19"/>
  <c r="X155" i="19"/>
  <c r="Y155" i="19"/>
  <c r="W157" i="18"/>
  <c r="X156" i="18"/>
  <c r="Y156" i="18"/>
  <c r="W151" i="13"/>
  <c r="X150" i="13"/>
  <c r="Y150" i="13"/>
  <c r="Y154" i="12"/>
  <c r="W157" i="19"/>
  <c r="X156" i="19"/>
  <c r="Y156" i="19"/>
  <c r="W158" i="18"/>
  <c r="X157" i="18"/>
  <c r="Y157" i="18"/>
  <c r="W152" i="13"/>
  <c r="X151" i="13"/>
  <c r="Y151" i="13"/>
  <c r="Y155" i="12"/>
  <c r="W158" i="19"/>
  <c r="X157" i="19"/>
  <c r="Y157" i="19"/>
  <c r="W159" i="18"/>
  <c r="X158" i="18"/>
  <c r="Y158" i="18"/>
  <c r="W153" i="13"/>
  <c r="X152" i="13"/>
  <c r="Y152" i="13"/>
  <c r="Y156" i="12"/>
  <c r="W159" i="19"/>
  <c r="X158" i="19"/>
  <c r="Y158" i="19"/>
  <c r="W160" i="18"/>
  <c r="X159" i="18"/>
  <c r="Y159" i="18"/>
  <c r="W154" i="13"/>
  <c r="X153" i="13"/>
  <c r="Y157" i="12"/>
  <c r="W160" i="19"/>
  <c r="X159" i="19"/>
  <c r="Y159" i="19"/>
  <c r="W161" i="18"/>
  <c r="X160" i="18"/>
  <c r="Y160" i="18"/>
  <c r="Y153" i="13"/>
  <c r="W155" i="13"/>
  <c r="X154" i="13"/>
  <c r="Y154" i="13"/>
  <c r="Y158" i="12"/>
  <c r="W161" i="19"/>
  <c r="X160" i="19"/>
  <c r="Y160" i="19"/>
  <c r="W162" i="18"/>
  <c r="X161" i="18"/>
  <c r="Y161" i="18"/>
  <c r="W156" i="13"/>
  <c r="X155" i="13"/>
  <c r="Y159" i="12"/>
  <c r="W162" i="19"/>
  <c r="X161" i="19"/>
  <c r="Y161" i="19"/>
  <c r="W163" i="18"/>
  <c r="X162" i="18"/>
  <c r="Y162" i="18"/>
  <c r="Y155" i="13"/>
  <c r="W157" i="13"/>
  <c r="X156" i="13"/>
  <c r="Y156" i="13"/>
  <c r="Y160" i="12"/>
  <c r="W163" i="19"/>
  <c r="X162" i="19"/>
  <c r="Y162" i="19"/>
  <c r="W164" i="18"/>
  <c r="X163" i="18"/>
  <c r="Y163" i="18"/>
  <c r="W158" i="13"/>
  <c r="X157" i="13"/>
  <c r="Y161" i="12"/>
  <c r="W164" i="19"/>
  <c r="X163" i="19"/>
  <c r="Y163" i="19"/>
  <c r="W165" i="18"/>
  <c r="X164" i="18"/>
  <c r="Y164" i="18"/>
  <c r="Y157" i="13"/>
  <c r="W159" i="13"/>
  <c r="X158" i="13"/>
  <c r="Y158" i="13"/>
  <c r="Y162" i="12"/>
  <c r="W165" i="19"/>
  <c r="X164" i="19"/>
  <c r="Y164" i="19"/>
  <c r="W166" i="18"/>
  <c r="X165" i="18"/>
  <c r="Y165" i="18"/>
  <c r="W160" i="13"/>
  <c r="X159" i="13"/>
  <c r="Y163" i="12"/>
  <c r="W166" i="19"/>
  <c r="X165" i="19"/>
  <c r="Y165" i="19"/>
  <c r="W167" i="18"/>
  <c r="X166" i="18"/>
  <c r="Y166" i="18"/>
  <c r="Y159" i="13"/>
  <c r="W161" i="13"/>
  <c r="X160" i="13"/>
  <c r="Y160" i="13"/>
  <c r="Y164" i="12"/>
  <c r="W167" i="19"/>
  <c r="X166" i="19"/>
  <c r="Y166" i="19"/>
  <c r="W168" i="18"/>
  <c r="X168" i="18"/>
  <c r="X167" i="18"/>
  <c r="Y167" i="18"/>
  <c r="W162" i="13"/>
  <c r="X161" i="13"/>
  <c r="Y165" i="12"/>
  <c r="W168" i="19"/>
  <c r="X168" i="19"/>
  <c r="X167" i="19"/>
  <c r="Y167" i="19"/>
  <c r="Y168" i="18"/>
  <c r="Y169" i="18"/>
  <c r="C25" i="18"/>
  <c r="C27" i="18"/>
  <c r="C26" i="18"/>
  <c r="Y161" i="13"/>
  <c r="W163" i="13"/>
  <c r="X162" i="13"/>
  <c r="Y162" i="13"/>
  <c r="Y166" i="12"/>
  <c r="Y168" i="19"/>
  <c r="Y169" i="19"/>
  <c r="C25" i="19"/>
  <c r="C27" i="19"/>
  <c r="C26" i="19"/>
  <c r="W164" i="13"/>
  <c r="X163" i="13"/>
  <c r="Y163" i="13"/>
  <c r="Y167" i="12"/>
  <c r="W165" i="13"/>
  <c r="X164" i="13"/>
  <c r="Y164" i="13"/>
  <c r="Y168" i="12"/>
  <c r="Y169" i="12"/>
  <c r="C25" i="12"/>
  <c r="C26" i="12"/>
  <c r="W166" i="13"/>
  <c r="X165" i="13"/>
  <c r="Y165" i="13"/>
  <c r="W167" i="13"/>
  <c r="X166" i="13"/>
  <c r="Y166" i="13"/>
  <c r="W168" i="13"/>
  <c r="X168" i="13"/>
  <c r="X167" i="13"/>
  <c r="Y167" i="13"/>
  <c r="C37" i="13"/>
  <c r="C33" i="13"/>
  <c r="C36" i="13"/>
  <c r="C38" i="13"/>
  <c r="C34" i="13"/>
  <c r="C35" i="13"/>
  <c r="Y168" i="13"/>
  <c r="Y169" i="13"/>
  <c r="C25" i="13"/>
  <c r="C27" i="13"/>
  <c r="C26" i="13"/>
  <c r="S88" i="17"/>
  <c r="V88" i="17"/>
  <c r="S134" i="17"/>
  <c r="V134" i="17"/>
  <c r="S164" i="17"/>
  <c r="V164" i="17"/>
  <c r="S50" i="17"/>
  <c r="V50" i="17"/>
  <c r="S64" i="17"/>
  <c r="V64" i="17"/>
  <c r="S136" i="17"/>
  <c r="V136" i="17"/>
  <c r="S166" i="17"/>
  <c r="V166" i="17"/>
  <c r="S15" i="17"/>
  <c r="V15" i="17"/>
  <c r="S79" i="17"/>
  <c r="V79" i="17"/>
  <c r="S17" i="17"/>
  <c r="V17" i="17"/>
  <c r="S99" i="17"/>
  <c r="V99" i="17"/>
  <c r="S152" i="17"/>
  <c r="V152" i="17"/>
  <c r="S32" i="17"/>
  <c r="V32" i="17"/>
  <c r="S94" i="17"/>
  <c r="V94" i="17"/>
  <c r="S150" i="17"/>
  <c r="V150" i="17"/>
  <c r="S33" i="17"/>
  <c r="V33" i="17"/>
  <c r="S98" i="17"/>
  <c r="V98" i="17"/>
  <c r="S113" i="17"/>
  <c r="S18" i="17"/>
  <c r="V18" i="17"/>
  <c r="S72" i="17"/>
  <c r="V72" i="17"/>
  <c r="S125" i="17"/>
  <c r="V125" i="17"/>
  <c r="S165" i="17"/>
  <c r="V165" i="17"/>
  <c r="S74" i="17"/>
  <c r="V74" i="17"/>
  <c r="S127" i="17"/>
  <c r="V127" i="17"/>
  <c r="S167" i="17"/>
  <c r="V167" i="17"/>
  <c r="L42" i="17"/>
  <c r="L107" i="17"/>
  <c r="L143" i="17"/>
  <c r="M73" i="17"/>
  <c r="N73" i="17"/>
  <c r="L74" i="17"/>
  <c r="L8" i="17"/>
  <c r="M7" i="17"/>
  <c r="Q162" i="17"/>
  <c r="S162" i="17"/>
  <c r="V162" i="17"/>
  <c r="Q154" i="17"/>
  <c r="S154" i="17"/>
  <c r="V154" i="17"/>
  <c r="Q163" i="17"/>
  <c r="S163" i="17"/>
  <c r="V163" i="17"/>
  <c r="Q155" i="17"/>
  <c r="S155" i="17"/>
  <c r="V155" i="17"/>
  <c r="Q149" i="17"/>
  <c r="S149" i="17"/>
  <c r="V149" i="17"/>
  <c r="Q141" i="17"/>
  <c r="S141" i="17"/>
  <c r="V141" i="17"/>
  <c r="Q146" i="17"/>
  <c r="S146" i="17"/>
  <c r="V146" i="17"/>
  <c r="Q138" i="17"/>
  <c r="S138" i="17"/>
  <c r="V138" i="17"/>
  <c r="Q130" i="17"/>
  <c r="S130" i="17"/>
  <c r="V130" i="17"/>
  <c r="Q131" i="17"/>
  <c r="S131" i="17"/>
  <c r="V131" i="17"/>
  <c r="Q123" i="17"/>
  <c r="S123" i="17"/>
  <c r="V123" i="17"/>
  <c r="Q132" i="17"/>
  <c r="S132" i="17"/>
  <c r="V132" i="17"/>
  <c r="Q109" i="17"/>
  <c r="S109" i="17"/>
  <c r="V109" i="17"/>
  <c r="Q103" i="17"/>
  <c r="S103" i="17"/>
  <c r="V103" i="17"/>
  <c r="Q95" i="17"/>
  <c r="S95" i="17"/>
  <c r="V95" i="17"/>
  <c r="Q120" i="17"/>
  <c r="S120" i="17"/>
  <c r="V120" i="17"/>
  <c r="Q86" i="17"/>
  <c r="S86" i="17"/>
  <c r="V86" i="17"/>
  <c r="Q78" i="17"/>
  <c r="S78" i="17"/>
  <c r="V78" i="17"/>
  <c r="Q71" i="17"/>
  <c r="S71" i="17"/>
  <c r="V71" i="17"/>
  <c r="Q124" i="17"/>
  <c r="S124" i="17"/>
  <c r="V124" i="17"/>
  <c r="Q90" i="17"/>
  <c r="S90" i="17"/>
  <c r="V90" i="17"/>
  <c r="Q85" i="17"/>
  <c r="S85" i="17"/>
  <c r="V85" i="17"/>
  <c r="Q77" i="17"/>
  <c r="S77" i="17"/>
  <c r="V77" i="17"/>
  <c r="Q65" i="17"/>
  <c r="S65" i="17"/>
  <c r="V65" i="17"/>
  <c r="Q69" i="17"/>
  <c r="S69" i="17"/>
  <c r="V69" i="17"/>
  <c r="Q51" i="17"/>
  <c r="S51" i="17"/>
  <c r="V51" i="17"/>
  <c r="Q43" i="17"/>
  <c r="S43" i="17"/>
  <c r="V43" i="17"/>
  <c r="Q35" i="17"/>
  <c r="S35" i="17"/>
  <c r="V35" i="17"/>
  <c r="Q30" i="17"/>
  <c r="S30" i="17"/>
  <c r="V30" i="17"/>
  <c r="Q44" i="17"/>
  <c r="S44" i="17"/>
  <c r="V44" i="17"/>
  <c r="Q13" i="17"/>
  <c r="S13" i="17"/>
  <c r="V13" i="17"/>
  <c r="Q9" i="17"/>
  <c r="S9" i="17"/>
  <c r="V9" i="17"/>
  <c r="W9" i="17"/>
  <c r="Q31" i="17"/>
  <c r="S31" i="17"/>
  <c r="V31" i="17"/>
  <c r="Q24" i="17"/>
  <c r="S24" i="17"/>
  <c r="V24" i="17"/>
  <c r="Q54" i="17"/>
  <c r="S54" i="17"/>
  <c r="V54" i="17"/>
  <c r="Q48" i="17"/>
  <c r="S48" i="17"/>
  <c r="V48" i="17"/>
  <c r="Q14" i="17"/>
  <c r="S14" i="17"/>
  <c r="V14" i="17"/>
  <c r="Q160" i="17"/>
  <c r="S160" i="17"/>
  <c r="V160" i="17"/>
  <c r="Q168" i="17"/>
  <c r="S168" i="17"/>
  <c r="V168" i="17"/>
  <c r="Q161" i="17"/>
  <c r="S161" i="17"/>
  <c r="V161" i="17"/>
  <c r="Q153" i="17"/>
  <c r="S153" i="17"/>
  <c r="V153" i="17"/>
  <c r="Q147" i="17"/>
  <c r="S147" i="17"/>
  <c r="V147" i="17"/>
  <c r="Q139" i="17"/>
  <c r="S139" i="17"/>
  <c r="V139" i="17"/>
  <c r="Q144" i="17"/>
  <c r="S144" i="17"/>
  <c r="V144" i="17"/>
  <c r="Q137" i="17"/>
  <c r="S137" i="17"/>
  <c r="V137" i="17"/>
  <c r="Q128" i="17"/>
  <c r="S128" i="17"/>
  <c r="V128" i="17"/>
  <c r="Q129" i="17"/>
  <c r="S129" i="17"/>
  <c r="V129" i="17"/>
  <c r="Q121" i="17"/>
  <c r="S121" i="17"/>
  <c r="V121" i="17"/>
  <c r="Q122" i="17"/>
  <c r="S122" i="17"/>
  <c r="V122" i="17"/>
  <c r="Q107" i="17"/>
  <c r="S107" i="17"/>
  <c r="V107" i="17"/>
  <c r="Q101" i="17"/>
  <c r="S101" i="17"/>
  <c r="V101" i="17"/>
  <c r="Q93" i="17"/>
  <c r="S93" i="17"/>
  <c r="V93" i="17"/>
  <c r="Q135" i="17"/>
  <c r="S135" i="17"/>
  <c r="V135" i="17"/>
  <c r="Q84" i="17"/>
  <c r="S84" i="17"/>
  <c r="V84" i="17"/>
  <c r="Q76" i="17"/>
  <c r="S76" i="17"/>
  <c r="V76" i="17"/>
  <c r="Q70" i="17"/>
  <c r="S70" i="17"/>
  <c r="V70" i="17"/>
  <c r="Q108" i="17"/>
  <c r="S108" i="17"/>
  <c r="V108" i="17"/>
  <c r="Q106" i="17"/>
  <c r="S106" i="17"/>
  <c r="V106" i="17"/>
  <c r="Q83" i="17"/>
  <c r="S83" i="17"/>
  <c r="V83" i="17"/>
  <c r="Q75" i="17"/>
  <c r="S75" i="17"/>
  <c r="V75" i="17"/>
  <c r="Q96" i="17"/>
  <c r="S96" i="17"/>
  <c r="V96" i="17"/>
  <c r="Q57" i="17"/>
  <c r="S57" i="17"/>
  <c r="V57" i="17"/>
  <c r="Q49" i="17"/>
  <c r="S49" i="17"/>
  <c r="V49" i="17"/>
  <c r="Q41" i="17"/>
  <c r="S41" i="17"/>
  <c r="V41" i="17"/>
  <c r="Q34" i="17"/>
  <c r="S34" i="17"/>
  <c r="V34" i="17"/>
  <c r="Q112" i="17"/>
  <c r="S112" i="17"/>
  <c r="V112" i="17"/>
  <c r="Q38" i="17"/>
  <c r="S38" i="17"/>
  <c r="V38" i="17"/>
  <c r="Q12" i="17"/>
  <c r="S12" i="17"/>
  <c r="V12" i="17"/>
  <c r="Q58" i="17"/>
  <c r="S58" i="17"/>
  <c r="Q27" i="17"/>
  <c r="S27" i="17"/>
  <c r="V27" i="17"/>
  <c r="Q23" i="17"/>
  <c r="S23" i="17"/>
  <c r="V23" i="17"/>
  <c r="Q22" i="17"/>
  <c r="S22" i="17"/>
  <c r="V22" i="17"/>
  <c r="Q40" i="17"/>
  <c r="S40" i="17"/>
  <c r="V40" i="17"/>
  <c r="Q46" i="17"/>
  <c r="S46" i="17"/>
  <c r="V46" i="17"/>
  <c r="Q28" i="17"/>
  <c r="S28" i="17"/>
  <c r="V28" i="17"/>
  <c r="Q56" i="17"/>
  <c r="S56" i="17"/>
  <c r="V56" i="17"/>
  <c r="Q25" i="17"/>
  <c r="S25" i="17"/>
  <c r="V25" i="17"/>
  <c r="Q10" i="17"/>
  <c r="S10" i="17"/>
  <c r="V10" i="17"/>
  <c r="Q52" i="17"/>
  <c r="S52" i="17"/>
  <c r="V52" i="17"/>
  <c r="Q37" i="17"/>
  <c r="S37" i="17"/>
  <c r="V37" i="17"/>
  <c r="Q53" i="17"/>
  <c r="S53" i="17"/>
  <c r="V53" i="17"/>
  <c r="Q67" i="17"/>
  <c r="S67" i="17"/>
  <c r="V67" i="17"/>
  <c r="Q87" i="17"/>
  <c r="S87" i="17"/>
  <c r="V87" i="17"/>
  <c r="Q66" i="17"/>
  <c r="S66" i="17"/>
  <c r="V66" i="17"/>
  <c r="Q80" i="17"/>
  <c r="S80" i="17"/>
  <c r="V80" i="17"/>
  <c r="Q89" i="17"/>
  <c r="S89" i="17"/>
  <c r="V89" i="17"/>
  <c r="Q104" i="17"/>
  <c r="S104" i="17"/>
  <c r="V104" i="17"/>
  <c r="Q102" i="17"/>
  <c r="S102" i="17"/>
  <c r="V102" i="17"/>
  <c r="Q133" i="17"/>
  <c r="S133" i="17"/>
  <c r="V133" i="17"/>
  <c r="Q140" i="17"/>
  <c r="S140" i="17"/>
  <c r="V140" i="17"/>
  <c r="Q143" i="17"/>
  <c r="S143" i="17"/>
  <c r="V143" i="17"/>
  <c r="Q157" i="17"/>
  <c r="S157" i="17"/>
  <c r="V157" i="17"/>
  <c r="Q156" i="17"/>
  <c r="S156" i="17"/>
  <c r="V156" i="17"/>
  <c r="Q29" i="17"/>
  <c r="S29" i="17"/>
  <c r="V29" i="17"/>
  <c r="Q20" i="17"/>
  <c r="S20" i="17"/>
  <c r="V20" i="17"/>
  <c r="Q26" i="17"/>
  <c r="S26" i="17"/>
  <c r="V26" i="17"/>
  <c r="Q11" i="17"/>
  <c r="S11" i="17"/>
  <c r="V11" i="17"/>
  <c r="Q36" i="17"/>
  <c r="S36" i="17"/>
  <c r="V36" i="17"/>
  <c r="Q39" i="17"/>
  <c r="S39" i="17"/>
  <c r="V39" i="17"/>
  <c r="Q55" i="17"/>
  <c r="S55" i="17"/>
  <c r="V55" i="17"/>
  <c r="Q73" i="17"/>
  <c r="S73" i="17"/>
  <c r="V73" i="17"/>
  <c r="Q100" i="17"/>
  <c r="S100" i="17"/>
  <c r="V100" i="17"/>
  <c r="Q68" i="17"/>
  <c r="S68" i="17"/>
  <c r="V68" i="17"/>
  <c r="Q82" i="17"/>
  <c r="S82" i="17"/>
  <c r="V82" i="17"/>
  <c r="Q91" i="17"/>
  <c r="S91" i="17"/>
  <c r="V91" i="17"/>
  <c r="Q105" i="17"/>
  <c r="S105" i="17"/>
  <c r="V105" i="17"/>
  <c r="Q119" i="17"/>
  <c r="S119" i="17"/>
  <c r="V119" i="17"/>
  <c r="Q126" i="17"/>
  <c r="S126" i="17"/>
  <c r="V126" i="17"/>
  <c r="Q142" i="17"/>
  <c r="S142" i="17"/>
  <c r="V142" i="17"/>
  <c r="Q145" i="17"/>
  <c r="S145" i="17"/>
  <c r="V145" i="17"/>
  <c r="Q159" i="17"/>
  <c r="S159" i="17"/>
  <c r="V159" i="17"/>
  <c r="Q158" i="17"/>
  <c r="S158" i="17"/>
  <c r="V158" i="17"/>
  <c r="V113" i="17"/>
  <c r="V58" i="17"/>
  <c r="W10" i="17"/>
  <c r="X9" i="17"/>
  <c r="N7" i="17"/>
  <c r="L144" i="17"/>
  <c r="M143" i="17"/>
  <c r="N143" i="17"/>
  <c r="M8" i="17"/>
  <c r="N8" i="17"/>
  <c r="L9" i="17"/>
  <c r="L108" i="17"/>
  <c r="M107" i="17"/>
  <c r="N107" i="17"/>
  <c r="M74" i="17"/>
  <c r="N74" i="17"/>
  <c r="L75" i="17"/>
  <c r="M42" i="17"/>
  <c r="N42" i="17"/>
  <c r="L43" i="17"/>
  <c r="L44" i="17"/>
  <c r="M43" i="17"/>
  <c r="N43" i="17"/>
  <c r="M108" i="17"/>
  <c r="N108" i="17"/>
  <c r="L109" i="17"/>
  <c r="M144" i="17"/>
  <c r="N144" i="17"/>
  <c r="L145" i="17"/>
  <c r="Y9" i="17"/>
  <c r="L76" i="17"/>
  <c r="M75" i="17"/>
  <c r="N75" i="17"/>
  <c r="M9" i="17"/>
  <c r="N9" i="17"/>
  <c r="L10" i="17"/>
  <c r="X10" i="17"/>
  <c r="Y10" i="17"/>
  <c r="W11" i="17"/>
  <c r="X11" i="17"/>
  <c r="Y11" i="17"/>
  <c r="W12" i="17"/>
  <c r="M109" i="17"/>
  <c r="N109" i="17"/>
  <c r="L110" i="17"/>
  <c r="L77" i="17"/>
  <c r="M76" i="17"/>
  <c r="N76" i="17"/>
  <c r="M145" i="17"/>
  <c r="N145" i="17"/>
  <c r="L146" i="17"/>
  <c r="M10" i="17"/>
  <c r="L11" i="17"/>
  <c r="L45" i="17"/>
  <c r="M44" i="17"/>
  <c r="N44" i="17"/>
  <c r="N10" i="17"/>
  <c r="M77" i="17"/>
  <c r="N77" i="17"/>
  <c r="L78" i="17"/>
  <c r="L46" i="17"/>
  <c r="M45" i="17"/>
  <c r="N45" i="17"/>
  <c r="M146" i="17"/>
  <c r="N146" i="17"/>
  <c r="L147" i="17"/>
  <c r="W13" i="17"/>
  <c r="X12" i="17"/>
  <c r="M11" i="17"/>
  <c r="N11" i="17"/>
  <c r="L12" i="17"/>
  <c r="M110" i="17"/>
  <c r="N110" i="17"/>
  <c r="L111" i="17"/>
  <c r="M78" i="17"/>
  <c r="N78" i="17"/>
  <c r="L79" i="17"/>
  <c r="M111" i="17"/>
  <c r="N111" i="17"/>
  <c r="L112" i="17"/>
  <c r="Y12" i="17"/>
  <c r="W14" i="17"/>
  <c r="X13" i="17"/>
  <c r="Y13" i="17"/>
  <c r="L13" i="17"/>
  <c r="M12" i="17"/>
  <c r="N12" i="17"/>
  <c r="M147" i="17"/>
  <c r="N147" i="17"/>
  <c r="L148" i="17"/>
  <c r="L47" i="17"/>
  <c r="M46" i="17"/>
  <c r="N46" i="17"/>
  <c r="M13" i="17"/>
  <c r="L14" i="17"/>
  <c r="L113" i="17"/>
  <c r="M112" i="17"/>
  <c r="N112" i="17"/>
  <c r="L48" i="17"/>
  <c r="M47" i="17"/>
  <c r="N47" i="17"/>
  <c r="M148" i="17"/>
  <c r="N148" i="17"/>
  <c r="L149" i="17"/>
  <c r="M79" i="17"/>
  <c r="N79" i="17"/>
  <c r="L80" i="17"/>
  <c r="X14" i="17"/>
  <c r="Y14" i="17"/>
  <c r="W15" i="17"/>
  <c r="M80" i="17"/>
  <c r="N80" i="17"/>
  <c r="L81" i="17"/>
  <c r="L150" i="17"/>
  <c r="M149" i="17"/>
  <c r="N149" i="17"/>
  <c r="M113" i="17"/>
  <c r="N113" i="17"/>
  <c r="L114" i="17"/>
  <c r="X15" i="17"/>
  <c r="Y15" i="17"/>
  <c r="W16" i="17"/>
  <c r="L15" i="17"/>
  <c r="M14" i="17"/>
  <c r="N14" i="17"/>
  <c r="L49" i="17"/>
  <c r="M48" i="17"/>
  <c r="N48" i="17"/>
  <c r="N13" i="17"/>
  <c r="L50" i="17"/>
  <c r="M49" i="17"/>
  <c r="N49" i="17"/>
  <c r="M150" i="17"/>
  <c r="N150" i="17"/>
  <c r="L151" i="17"/>
  <c r="M15" i="17"/>
  <c r="N15" i="17"/>
  <c r="L16" i="17"/>
  <c r="M114" i="17"/>
  <c r="N114" i="17"/>
  <c r="L115" i="17"/>
  <c r="M81" i="17"/>
  <c r="N81" i="17"/>
  <c r="L82" i="17"/>
  <c r="X16" i="17"/>
  <c r="Y16" i="17"/>
  <c r="W17" i="17"/>
  <c r="W18" i="17"/>
  <c r="X17" i="17"/>
  <c r="Y17" i="17"/>
  <c r="L116" i="17"/>
  <c r="M115" i="17"/>
  <c r="N115" i="17"/>
  <c r="L152" i="17"/>
  <c r="M151" i="17"/>
  <c r="N151" i="17"/>
  <c r="M82" i="17"/>
  <c r="N82" i="17"/>
  <c r="L83" i="17"/>
  <c r="L17" i="17"/>
  <c r="M16" i="17"/>
  <c r="N16" i="17"/>
  <c r="M50" i="17"/>
  <c r="N50" i="17"/>
  <c r="L51" i="17"/>
  <c r="M51" i="17"/>
  <c r="N51" i="17"/>
  <c r="L52" i="17"/>
  <c r="L84" i="17"/>
  <c r="M83" i="17"/>
  <c r="N83" i="17"/>
  <c r="M116" i="17"/>
  <c r="N116" i="17"/>
  <c r="L117" i="17"/>
  <c r="L18" i="17"/>
  <c r="M17" i="17"/>
  <c r="N17" i="17"/>
  <c r="M152" i="17"/>
  <c r="N152" i="17"/>
  <c r="L153" i="17"/>
  <c r="X18" i="17"/>
  <c r="Y18" i="17"/>
  <c r="W19" i="17"/>
  <c r="X19" i="17"/>
  <c r="Y19" i="17"/>
  <c r="W20" i="17"/>
  <c r="L19" i="17"/>
  <c r="M18" i="17"/>
  <c r="N18" i="17"/>
  <c r="M84" i="17"/>
  <c r="N84" i="17"/>
  <c r="L85" i="17"/>
  <c r="L154" i="17"/>
  <c r="M153" i="17"/>
  <c r="N153" i="17"/>
  <c r="L118" i="17"/>
  <c r="M117" i="17"/>
  <c r="N117" i="17"/>
  <c r="M52" i="17"/>
  <c r="N52" i="17"/>
  <c r="L53" i="17"/>
  <c r="M154" i="17"/>
  <c r="N154" i="17"/>
  <c r="L155" i="17"/>
  <c r="M19" i="17"/>
  <c r="N19" i="17"/>
  <c r="L20" i="17"/>
  <c r="M53" i="17"/>
  <c r="N53" i="17"/>
  <c r="L54" i="17"/>
  <c r="M85" i="17"/>
  <c r="N85" i="17"/>
  <c r="L86" i="17"/>
  <c r="W21" i="17"/>
  <c r="X20" i="17"/>
  <c r="Y20" i="17"/>
  <c r="M118" i="17"/>
  <c r="N118" i="17"/>
  <c r="L119" i="17"/>
  <c r="X21" i="17"/>
  <c r="Y21" i="17"/>
  <c r="W22" i="17"/>
  <c r="M119" i="17"/>
  <c r="N119" i="17"/>
  <c r="L120" i="17"/>
  <c r="L87" i="17"/>
  <c r="M86" i="17"/>
  <c r="N86" i="17"/>
  <c r="L21" i="17"/>
  <c r="M20" i="17"/>
  <c r="N20" i="17"/>
  <c r="L55" i="17"/>
  <c r="M54" i="17"/>
  <c r="N54" i="17"/>
  <c r="M155" i="17"/>
  <c r="N155" i="17"/>
  <c r="L156" i="17"/>
  <c r="M120" i="17"/>
  <c r="N120" i="17"/>
  <c r="L121" i="17"/>
  <c r="L22" i="17"/>
  <c r="M21" i="17"/>
  <c r="N21" i="17"/>
  <c r="X22" i="17"/>
  <c r="Y22" i="17"/>
  <c r="W23" i="17"/>
  <c r="M156" i="17"/>
  <c r="N156" i="17"/>
  <c r="L157" i="17"/>
  <c r="M55" i="17"/>
  <c r="N55" i="17"/>
  <c r="L56" i="17"/>
  <c r="L88" i="17"/>
  <c r="M87" i="17"/>
  <c r="N87" i="17"/>
  <c r="M157" i="17"/>
  <c r="N157" i="17"/>
  <c r="L158" i="17"/>
  <c r="M88" i="17"/>
  <c r="N88" i="17"/>
  <c r="L89" i="17"/>
  <c r="L23" i="17"/>
  <c r="M22" i="17"/>
  <c r="N22" i="17"/>
  <c r="M56" i="17"/>
  <c r="N56" i="17"/>
  <c r="L57" i="17"/>
  <c r="X23" i="17"/>
  <c r="Y23" i="17"/>
  <c r="W24" i="17"/>
  <c r="L122" i="17"/>
  <c r="M121" i="17"/>
  <c r="N121" i="17"/>
  <c r="L58" i="17"/>
  <c r="M57" i="17"/>
  <c r="N57" i="17"/>
  <c r="L90" i="17"/>
  <c r="M89" i="17"/>
  <c r="N89" i="17"/>
  <c r="W25" i="17"/>
  <c r="X24" i="17"/>
  <c r="Y24" i="17"/>
  <c r="L159" i="17"/>
  <c r="M158" i="17"/>
  <c r="N158" i="17"/>
  <c r="L123" i="17"/>
  <c r="M122" i="17"/>
  <c r="N122" i="17"/>
  <c r="L24" i="17"/>
  <c r="M23" i="17"/>
  <c r="N23" i="17"/>
  <c r="M24" i="17"/>
  <c r="N24" i="17"/>
  <c r="L25" i="17"/>
  <c r="M159" i="17"/>
  <c r="N159" i="17"/>
  <c r="L160" i="17"/>
  <c r="M90" i="17"/>
  <c r="N90" i="17"/>
  <c r="L91" i="17"/>
  <c r="M123" i="17"/>
  <c r="N123" i="17"/>
  <c r="L124" i="17"/>
  <c r="W26" i="17"/>
  <c r="X25" i="17"/>
  <c r="Y25" i="17"/>
  <c r="L59" i="17"/>
  <c r="M58" i="17"/>
  <c r="N58" i="17"/>
  <c r="M124" i="17"/>
  <c r="N124" i="17"/>
  <c r="L125" i="17"/>
  <c r="L161" i="17"/>
  <c r="M160" i="17"/>
  <c r="N160" i="17"/>
  <c r="L92" i="17"/>
  <c r="M91" i="17"/>
  <c r="N91" i="17"/>
  <c r="L26" i="17"/>
  <c r="M25" i="17"/>
  <c r="N25" i="17"/>
  <c r="L60" i="17"/>
  <c r="M59" i="17"/>
  <c r="N59" i="17"/>
  <c r="W27" i="17"/>
  <c r="X26" i="17"/>
  <c r="Y26" i="17"/>
  <c r="M26" i="17"/>
  <c r="N26" i="17"/>
  <c r="L27" i="17"/>
  <c r="M161" i="17"/>
  <c r="N161" i="17"/>
  <c r="L162" i="17"/>
  <c r="M125" i="17"/>
  <c r="N125" i="17"/>
  <c r="L126" i="17"/>
  <c r="W28" i="17"/>
  <c r="X27" i="17"/>
  <c r="Y27" i="17"/>
  <c r="M60" i="17"/>
  <c r="N60" i="17"/>
  <c r="L61" i="17"/>
  <c r="L93" i="17"/>
  <c r="M92" i="17"/>
  <c r="N92" i="17"/>
  <c r="M162" i="17"/>
  <c r="N162" i="17"/>
  <c r="L163" i="17"/>
  <c r="M93" i="17"/>
  <c r="N93" i="17"/>
  <c r="L94" i="17"/>
  <c r="W29" i="17"/>
  <c r="X28" i="17"/>
  <c r="Y28" i="17"/>
  <c r="M61" i="17"/>
  <c r="N61" i="17"/>
  <c r="L62" i="17"/>
  <c r="M126" i="17"/>
  <c r="N126" i="17"/>
  <c r="L127" i="17"/>
  <c r="M27" i="17"/>
  <c r="N27" i="17"/>
  <c r="L28" i="17"/>
  <c r="M28" i="17"/>
  <c r="N28" i="17"/>
  <c r="L29" i="17"/>
  <c r="M62" i="17"/>
  <c r="N62" i="17"/>
  <c r="L63" i="17"/>
  <c r="M94" i="17"/>
  <c r="N94" i="17"/>
  <c r="L95" i="17"/>
  <c r="L128" i="17"/>
  <c r="M127" i="17"/>
  <c r="N127" i="17"/>
  <c r="M163" i="17"/>
  <c r="N163" i="17"/>
  <c r="L164" i="17"/>
  <c r="W30" i="17"/>
  <c r="X29" i="17"/>
  <c r="Y29" i="17"/>
  <c r="L64" i="17"/>
  <c r="M63" i="17"/>
  <c r="N63" i="17"/>
  <c r="X30" i="17"/>
  <c r="Y30" i="17"/>
  <c r="W31" i="17"/>
  <c r="M128" i="17"/>
  <c r="N128" i="17"/>
  <c r="L129" i="17"/>
  <c r="L165" i="17"/>
  <c r="M164" i="17"/>
  <c r="N164" i="17"/>
  <c r="M95" i="17"/>
  <c r="N95" i="17"/>
  <c r="L96" i="17"/>
  <c r="L30" i="17"/>
  <c r="M29" i="17"/>
  <c r="N29" i="17"/>
  <c r="X31" i="17"/>
  <c r="Y31" i="17"/>
  <c r="W32" i="17"/>
  <c r="M30" i="17"/>
  <c r="N30" i="17"/>
  <c r="L31" i="17"/>
  <c r="M165" i="17"/>
  <c r="N165" i="17"/>
  <c r="L166" i="17"/>
  <c r="M96" i="17"/>
  <c r="N96" i="17"/>
  <c r="L97" i="17"/>
  <c r="L130" i="17"/>
  <c r="M129" i="17"/>
  <c r="N129" i="17"/>
  <c r="L65" i="17"/>
  <c r="M64" i="17"/>
  <c r="N64" i="17"/>
  <c r="M97" i="17"/>
  <c r="N97" i="17"/>
  <c r="L98" i="17"/>
  <c r="L32" i="17"/>
  <c r="M31" i="17"/>
  <c r="N31" i="17"/>
  <c r="L66" i="17"/>
  <c r="M65" i="17"/>
  <c r="N65" i="17"/>
  <c r="M166" i="17"/>
  <c r="N166" i="17"/>
  <c r="L167" i="17"/>
  <c r="X32" i="17"/>
  <c r="Y32" i="17"/>
  <c r="W33" i="17"/>
  <c r="M130" i="17"/>
  <c r="N130" i="17"/>
  <c r="L131" i="17"/>
  <c r="L132" i="17"/>
  <c r="M131" i="17"/>
  <c r="N131" i="17"/>
  <c r="L33" i="17"/>
  <c r="M32" i="17"/>
  <c r="N32" i="17"/>
  <c r="L168" i="17"/>
  <c r="M168" i="17"/>
  <c r="M167" i="17"/>
  <c r="N167" i="17"/>
  <c r="M98" i="17"/>
  <c r="N98" i="17"/>
  <c r="L99" i="17"/>
  <c r="X33" i="17"/>
  <c r="Y33" i="17"/>
  <c r="W34" i="17"/>
  <c r="M66" i="17"/>
  <c r="N66" i="17"/>
  <c r="L67" i="17"/>
  <c r="M67" i="17"/>
  <c r="N67" i="17"/>
  <c r="L68" i="17"/>
  <c r="L34" i="17"/>
  <c r="M33" i="17"/>
  <c r="N33" i="17"/>
  <c r="M99" i="17"/>
  <c r="N99" i="17"/>
  <c r="L100" i="17"/>
  <c r="X34" i="17"/>
  <c r="Y34" i="17"/>
  <c r="W35" i="17"/>
  <c r="N168" i="17"/>
  <c r="L133" i="17"/>
  <c r="M132" i="17"/>
  <c r="N132" i="17"/>
  <c r="M133" i="17"/>
  <c r="N133" i="17"/>
  <c r="L134" i="17"/>
  <c r="X35" i="17"/>
  <c r="Y35" i="17"/>
  <c r="W36" i="17"/>
  <c r="L35" i="17"/>
  <c r="M34" i="17"/>
  <c r="M100" i="17"/>
  <c r="N100" i="17"/>
  <c r="L101" i="17"/>
  <c r="L69" i="17"/>
  <c r="M69" i="17"/>
  <c r="N69" i="17"/>
  <c r="M68" i="17"/>
  <c r="N68" i="17"/>
  <c r="M101" i="17"/>
  <c r="N101" i="17"/>
  <c r="L102" i="17"/>
  <c r="M102" i="17"/>
  <c r="N102" i="17"/>
  <c r="X36" i="17"/>
  <c r="Y36" i="17"/>
  <c r="W37" i="17"/>
  <c r="N34" i="17"/>
  <c r="L135" i="17"/>
  <c r="M135" i="17"/>
  <c r="N135" i="17"/>
  <c r="M134" i="17"/>
  <c r="N134" i="17"/>
  <c r="M35" i="17"/>
  <c r="N35" i="17"/>
  <c r="L36" i="17"/>
  <c r="M36" i="17"/>
  <c r="N36" i="17"/>
  <c r="X37" i="17"/>
  <c r="Y37" i="17"/>
  <c r="W38" i="17"/>
  <c r="B26" i="17"/>
  <c r="B27" i="17"/>
  <c r="N169" i="17"/>
  <c r="B25" i="17"/>
  <c r="W39" i="17"/>
  <c r="X38" i="17"/>
  <c r="Y38" i="17"/>
  <c r="X39" i="17"/>
  <c r="Y39" i="17"/>
  <c r="W40" i="17"/>
  <c r="W41" i="17"/>
  <c r="X40" i="17"/>
  <c r="Y40" i="17"/>
  <c r="W42" i="17"/>
  <c r="X41" i="17"/>
  <c r="Y41" i="17"/>
  <c r="X42" i="17"/>
  <c r="Y42" i="17"/>
  <c r="W43" i="17"/>
  <c r="W44" i="17"/>
  <c r="X43" i="17"/>
  <c r="Y43" i="17"/>
  <c r="W45" i="17"/>
  <c r="X44" i="17"/>
  <c r="Y44" i="17"/>
  <c r="W46" i="17"/>
  <c r="X45" i="17"/>
  <c r="Y45" i="17"/>
  <c r="W47" i="17"/>
  <c r="X46" i="17"/>
  <c r="Y46" i="17"/>
  <c r="X47" i="17"/>
  <c r="Y47" i="17"/>
  <c r="W48" i="17"/>
  <c r="W49" i="17"/>
  <c r="X48" i="17"/>
  <c r="Y48" i="17"/>
  <c r="W50" i="17"/>
  <c r="X49" i="17"/>
  <c r="Y49" i="17"/>
  <c r="W51" i="17"/>
  <c r="X50" i="17"/>
  <c r="Y50" i="17"/>
  <c r="X51" i="17"/>
  <c r="Y51" i="17"/>
  <c r="W52" i="17"/>
  <c r="W53" i="17"/>
  <c r="X52" i="17"/>
  <c r="Y52" i="17"/>
  <c r="W54" i="17"/>
  <c r="X53" i="17"/>
  <c r="Y53" i="17"/>
  <c r="W55" i="17"/>
  <c r="X54" i="17"/>
  <c r="Y54" i="17"/>
  <c r="W56" i="17"/>
  <c r="X55" i="17"/>
  <c r="Y55" i="17"/>
  <c r="W57" i="17"/>
  <c r="X56" i="17"/>
  <c r="Y56" i="17"/>
  <c r="W58" i="17"/>
  <c r="X57" i="17"/>
  <c r="Y57" i="17"/>
  <c r="X58" i="17"/>
  <c r="Y58" i="17"/>
  <c r="W59" i="17"/>
  <c r="W60" i="17"/>
  <c r="X59" i="17"/>
  <c r="Y59" i="17"/>
  <c r="C24" i="17"/>
  <c r="X60" i="17"/>
  <c r="Y60" i="17"/>
  <c r="W61" i="17"/>
  <c r="W62" i="17"/>
  <c r="X61" i="17"/>
  <c r="Y61" i="17"/>
  <c r="W63" i="17"/>
  <c r="X62" i="17"/>
  <c r="Y62" i="17"/>
  <c r="W64" i="17"/>
  <c r="X63" i="17"/>
  <c r="Y63" i="17"/>
  <c r="W65" i="17"/>
  <c r="X64" i="17"/>
  <c r="Y64" i="17"/>
  <c r="W66" i="17"/>
  <c r="X65" i="17"/>
  <c r="Y65" i="17"/>
  <c r="X66" i="17"/>
  <c r="Y66" i="17"/>
  <c r="W67" i="17"/>
  <c r="W68" i="17"/>
  <c r="X67" i="17"/>
  <c r="Y67" i="17"/>
  <c r="W69" i="17"/>
  <c r="X68" i="17"/>
  <c r="Y68" i="17"/>
  <c r="W70" i="17"/>
  <c r="X69" i="17"/>
  <c r="Y69" i="17"/>
  <c r="W71" i="17"/>
  <c r="X70" i="17"/>
  <c r="Y70" i="17"/>
  <c r="X71" i="17"/>
  <c r="Y71" i="17"/>
  <c r="W72" i="17"/>
  <c r="W73" i="17"/>
  <c r="X72" i="17"/>
  <c r="Y72" i="17"/>
  <c r="W74" i="17"/>
  <c r="X73" i="17"/>
  <c r="Y73" i="17"/>
  <c r="X74" i="17"/>
  <c r="Y74" i="17"/>
  <c r="W75" i="17"/>
  <c r="W76" i="17"/>
  <c r="X75" i="17"/>
  <c r="Y75" i="17"/>
  <c r="W77" i="17"/>
  <c r="X76" i="17"/>
  <c r="Y76" i="17"/>
  <c r="W78" i="17"/>
  <c r="X77" i="17"/>
  <c r="Y77" i="17"/>
  <c r="X78" i="17"/>
  <c r="Y78" i="17"/>
  <c r="W79" i="17"/>
  <c r="W80" i="17"/>
  <c r="X79" i="17"/>
  <c r="Y79" i="17"/>
  <c r="W81" i="17"/>
  <c r="X80" i="17"/>
  <c r="Y80" i="17"/>
  <c r="W82" i="17"/>
  <c r="X81" i="17"/>
  <c r="Y81" i="17"/>
  <c r="X82" i="17"/>
  <c r="Y82" i="17"/>
  <c r="W83" i="17"/>
  <c r="W84" i="17"/>
  <c r="X83" i="17"/>
  <c r="Y83" i="17"/>
  <c r="W85" i="17"/>
  <c r="X84" i="17"/>
  <c r="Y84" i="17"/>
  <c r="W86" i="17"/>
  <c r="X85" i="17"/>
  <c r="Y85" i="17"/>
  <c r="X86" i="17"/>
  <c r="Y86" i="17"/>
  <c r="W87" i="17"/>
  <c r="W88" i="17"/>
  <c r="X87" i="17"/>
  <c r="Y87" i="17"/>
  <c r="X88" i="17"/>
  <c r="Y88" i="17"/>
  <c r="W89" i="17"/>
  <c r="W90" i="17"/>
  <c r="X89" i="17"/>
  <c r="Y89" i="17"/>
  <c r="X90" i="17"/>
  <c r="Y90" i="17"/>
  <c r="W91" i="17"/>
  <c r="W92" i="17"/>
  <c r="X91" i="17"/>
  <c r="Y91" i="17"/>
  <c r="X92" i="17"/>
  <c r="Y92" i="17"/>
  <c r="W93" i="17"/>
  <c r="W94" i="17"/>
  <c r="X93" i="17"/>
  <c r="Y93" i="17"/>
  <c r="X94" i="17"/>
  <c r="Y94" i="17"/>
  <c r="W95" i="17"/>
  <c r="W96" i="17"/>
  <c r="X95" i="17"/>
  <c r="Y95" i="17"/>
  <c r="X96" i="17"/>
  <c r="Y96" i="17"/>
  <c r="W97" i="17"/>
  <c r="W98" i="17"/>
  <c r="X97" i="17"/>
  <c r="Y97" i="17"/>
  <c r="X98" i="17"/>
  <c r="Y98" i="17"/>
  <c r="W99" i="17"/>
  <c r="W100" i="17"/>
  <c r="X99" i="17"/>
  <c r="Y99" i="17"/>
  <c r="X100" i="17"/>
  <c r="Y100" i="17"/>
  <c r="W101" i="17"/>
  <c r="W102" i="17"/>
  <c r="X101" i="17"/>
  <c r="Y101" i="17"/>
  <c r="W103" i="17"/>
  <c r="X102" i="17"/>
  <c r="Y102" i="17"/>
  <c r="X103" i="17"/>
  <c r="Y103" i="17"/>
  <c r="W104" i="17"/>
  <c r="X104" i="17"/>
  <c r="Y104" i="17"/>
  <c r="W105" i="17"/>
  <c r="W106" i="17"/>
  <c r="X105" i="17"/>
  <c r="Y105" i="17"/>
  <c r="W107" i="17"/>
  <c r="X106" i="17"/>
  <c r="Y106" i="17"/>
  <c r="W108" i="17"/>
  <c r="X107" i="17"/>
  <c r="Y107" i="17"/>
  <c r="X108" i="17"/>
  <c r="Y108" i="17"/>
  <c r="W109" i="17"/>
  <c r="W110" i="17"/>
  <c r="X109" i="17"/>
  <c r="Y109" i="17"/>
  <c r="W111" i="17"/>
  <c r="X110" i="17"/>
  <c r="Y110" i="17"/>
  <c r="W112" i="17"/>
  <c r="X111" i="17"/>
  <c r="Y111" i="17"/>
  <c r="W113" i="17"/>
  <c r="X112" i="17"/>
  <c r="Y112" i="17"/>
  <c r="W114" i="17"/>
  <c r="X113" i="17"/>
  <c r="Y113" i="17"/>
  <c r="X114" i="17"/>
  <c r="Y114" i="17"/>
  <c r="W115" i="17"/>
  <c r="W116" i="17"/>
  <c r="X115" i="17"/>
  <c r="Y115" i="17"/>
  <c r="W117" i="17"/>
  <c r="X116" i="17"/>
  <c r="Y116" i="17"/>
  <c r="W118" i="17"/>
  <c r="X117" i="17"/>
  <c r="Y117" i="17"/>
  <c r="X118" i="17"/>
  <c r="Y118" i="17"/>
  <c r="W119" i="17"/>
  <c r="W120" i="17"/>
  <c r="X119" i="17"/>
  <c r="Y119" i="17"/>
  <c r="X120" i="17"/>
  <c r="Y120" i="17"/>
  <c r="W121" i="17"/>
  <c r="W122" i="17"/>
  <c r="X121" i="17"/>
  <c r="Y121" i="17"/>
  <c r="W123" i="17"/>
  <c r="X122" i="17"/>
  <c r="Y122" i="17"/>
  <c r="W124" i="17"/>
  <c r="X123" i="17"/>
  <c r="Y123" i="17"/>
  <c r="X124" i="17"/>
  <c r="Y124" i="17"/>
  <c r="W125" i="17"/>
  <c r="W126" i="17"/>
  <c r="X125" i="17"/>
  <c r="Y125" i="17"/>
  <c r="X126" i="17"/>
  <c r="Y126" i="17"/>
  <c r="W127" i="17"/>
  <c r="W128" i="17"/>
  <c r="X127" i="17"/>
  <c r="Y127" i="17"/>
  <c r="W129" i="17"/>
  <c r="X128" i="17"/>
  <c r="Y128" i="17"/>
  <c r="W130" i="17"/>
  <c r="X129" i="17"/>
  <c r="Y129" i="17"/>
  <c r="X130" i="17"/>
  <c r="Y130" i="17"/>
  <c r="W131" i="17"/>
  <c r="W132" i="17"/>
  <c r="X131" i="17"/>
  <c r="Y131" i="17"/>
  <c r="X132" i="17"/>
  <c r="Y132" i="17"/>
  <c r="W133" i="17"/>
  <c r="W134" i="17"/>
  <c r="X133" i="17"/>
  <c r="Y133" i="17"/>
  <c r="X134" i="17"/>
  <c r="Y134" i="17"/>
  <c r="W135" i="17"/>
  <c r="W136" i="17"/>
  <c r="X135" i="17"/>
  <c r="Y135" i="17"/>
  <c r="W137" i="17"/>
  <c r="X136" i="17"/>
  <c r="Y136" i="17"/>
  <c r="W138" i="17"/>
  <c r="X137" i="17"/>
  <c r="Y137" i="17"/>
  <c r="X138" i="17"/>
  <c r="Y138" i="17"/>
  <c r="W139" i="17"/>
  <c r="W140" i="17"/>
  <c r="X139" i="17"/>
  <c r="Y139" i="17"/>
  <c r="W141" i="17"/>
  <c r="X140" i="17"/>
  <c r="Y140" i="17"/>
  <c r="W142" i="17"/>
  <c r="X141" i="17"/>
  <c r="Y141" i="17"/>
  <c r="X142" i="17"/>
  <c r="Y142" i="17"/>
  <c r="W143" i="17"/>
  <c r="W144" i="17"/>
  <c r="X143" i="17"/>
  <c r="Y143" i="17"/>
  <c r="W145" i="17"/>
  <c r="X144" i="17"/>
  <c r="Y144" i="17"/>
  <c r="W146" i="17"/>
  <c r="X145" i="17"/>
  <c r="Y145" i="17"/>
  <c r="X146" i="17"/>
  <c r="Y146" i="17"/>
  <c r="W147" i="17"/>
  <c r="W148" i="17"/>
  <c r="X147" i="17"/>
  <c r="Y147" i="17"/>
  <c r="W149" i="17"/>
  <c r="X148" i="17"/>
  <c r="Y148" i="17"/>
  <c r="W150" i="17"/>
  <c r="X149" i="17"/>
  <c r="Y149" i="17"/>
  <c r="X150" i="17"/>
  <c r="Y150" i="17"/>
  <c r="W151" i="17"/>
  <c r="W152" i="17"/>
  <c r="X151" i="17"/>
  <c r="Y151" i="17"/>
  <c r="W153" i="17"/>
  <c r="X152" i="17"/>
  <c r="Y152" i="17"/>
  <c r="W154" i="17"/>
  <c r="X153" i="17"/>
  <c r="Y153" i="17"/>
  <c r="X154" i="17"/>
  <c r="Y154" i="17"/>
  <c r="W155" i="17"/>
  <c r="W156" i="17"/>
  <c r="X155" i="17"/>
  <c r="Y155" i="17"/>
  <c r="W157" i="17"/>
  <c r="X156" i="17"/>
  <c r="Y156" i="17"/>
  <c r="W158" i="17"/>
  <c r="X157" i="17"/>
  <c r="Y157" i="17"/>
  <c r="W159" i="17"/>
  <c r="X158" i="17"/>
  <c r="Y158" i="17"/>
  <c r="W160" i="17"/>
  <c r="X159" i="17"/>
  <c r="Y159" i="17"/>
  <c r="W161" i="17"/>
  <c r="X160" i="17"/>
  <c r="Y160" i="17"/>
  <c r="W162" i="17"/>
  <c r="X161" i="17"/>
  <c r="Y161" i="17"/>
  <c r="W163" i="17"/>
  <c r="X162" i="17"/>
  <c r="Y162" i="17"/>
  <c r="W164" i="17"/>
  <c r="X163" i="17"/>
  <c r="Y163" i="17"/>
  <c r="W165" i="17"/>
  <c r="X164" i="17"/>
  <c r="Y164" i="17"/>
  <c r="W166" i="17"/>
  <c r="X165" i="17"/>
  <c r="Y165" i="17"/>
  <c r="W167" i="17"/>
  <c r="X166" i="17"/>
  <c r="Y166" i="17"/>
  <c r="X167" i="17"/>
  <c r="Y167" i="17"/>
  <c r="W168" i="17"/>
  <c r="X168" i="17"/>
  <c r="Y168" i="17"/>
  <c r="Y169" i="17"/>
  <c r="C25" i="17"/>
  <c r="C26" i="17"/>
  <c r="C27" i="17"/>
</calcChain>
</file>

<file path=xl/sharedStrings.xml><?xml version="1.0" encoding="utf-8"?>
<sst xmlns="http://schemas.openxmlformats.org/spreadsheetml/2006/main" count="536" uniqueCount="70">
  <si>
    <t>Property</t>
  </si>
  <si>
    <t>Wind</t>
  </si>
  <si>
    <t>Natural Gas</t>
  </si>
  <si>
    <t>Cash Flows</t>
  </si>
  <si>
    <t>Construction</t>
  </si>
  <si>
    <t>Year</t>
  </si>
  <si>
    <t>Revenue</t>
  </si>
  <si>
    <t>Cost</t>
  </si>
  <si>
    <t>Net</t>
  </si>
  <si>
    <t>PW</t>
  </si>
  <si>
    <t>Life</t>
  </si>
  <si>
    <t>Capital ($/MW)</t>
  </si>
  <si>
    <t>O&amp;M ($/MW)</t>
  </si>
  <si>
    <t>Fuel (m³/MWh)</t>
  </si>
  <si>
    <t>Capacity</t>
  </si>
  <si>
    <t>Power (MW)</t>
  </si>
  <si>
    <t>Revenue (/MWh)</t>
  </si>
  <si>
    <t>Production (MWh/yr)</t>
  </si>
  <si>
    <t>Total R ($/yr)</t>
  </si>
  <si>
    <t>Capital ($)</t>
  </si>
  <si>
    <t>O&amp;M ($/yr)</t>
  </si>
  <si>
    <t>tax</t>
  </si>
  <si>
    <t>i</t>
  </si>
  <si>
    <t>def = http://credit.bankofcanada.ca/financialindicators/eir</t>
  </si>
  <si>
    <t>reference</t>
  </si>
  <si>
    <t>src=http://www.bankofcanada.ca/rates/interest-rates/canadian-interest-rates/?rangeType=dates&amp;rangeValue=1&amp;rangeWeeklyValue=1&amp;rangeMonthlyValue=1&amp;ByDate_frequency=daily&amp;lP=lookup_canadian_interest.php&amp;sR=2007-11-03&amp;se=BUSEFFRATE&amp;dF=2017-10-21&amp;dT=2017-11-04</t>
  </si>
  <si>
    <t>$/m³</t>
  </si>
  <si>
    <t>base cost</t>
  </si>
  <si>
    <t>with transport and storage included</t>
  </si>
  <si>
    <t>Total Lifespan</t>
  </si>
  <si>
    <t>LCM</t>
  </si>
  <si>
    <t>Repeated</t>
  </si>
  <si>
    <t>Total PW</t>
  </si>
  <si>
    <t>MIRR</t>
  </si>
  <si>
    <t xml:space="preserve">Revenue </t>
  </si>
  <si>
    <t>Tax</t>
  </si>
  <si>
    <t>Net After Tax</t>
  </si>
  <si>
    <t>NG (kg CO2/MBTU)</t>
  </si>
  <si>
    <t>https://www.eia.gov/electricity/annual/html/epa_a_03.html</t>
  </si>
  <si>
    <t>BTU</t>
  </si>
  <si>
    <t>kWh</t>
  </si>
  <si>
    <t>MBTU</t>
  </si>
  <si>
    <t>MWh</t>
  </si>
  <si>
    <t>NG</t>
  </si>
  <si>
    <t>tonne/MWh</t>
  </si>
  <si>
    <t>tonnes</t>
  </si>
  <si>
    <t>price</t>
  </si>
  <si>
    <t>https://www.canada.ca/en/environment-climate-change/news/2017/05/pricing_carbon_pollutionincanadahowitwillwork.html</t>
  </si>
  <si>
    <t>BTCF</t>
  </si>
  <si>
    <t>UCC</t>
  </si>
  <si>
    <t>CCA</t>
  </si>
  <si>
    <t>Taxable Income</t>
  </si>
  <si>
    <t>NGNAT - WNAT</t>
  </si>
  <si>
    <t>Salvage value</t>
  </si>
  <si>
    <t>Reference</t>
  </si>
  <si>
    <t>IRR</t>
  </si>
  <si>
    <t>dw</t>
  </si>
  <si>
    <t>https://www.stikeman.com/en-ca/kh/canadian-energy-law/canadian-tax-considerations-for-windpower-and-solar-power-projects</t>
  </si>
  <si>
    <t>dng</t>
  </si>
  <si>
    <t>https://www.pwc.com/ca/en/energy-utilities/publications/pwc-oil-gas-taxation-2012-10-en.pdf</t>
  </si>
  <si>
    <t>Incremental IRR</t>
  </si>
  <si>
    <t>MARR = 3.08%</t>
  </si>
  <si>
    <t>NG vs do nothing</t>
  </si>
  <si>
    <t>NG vs W</t>
  </si>
  <si>
    <t>Incremental MIRR</t>
  </si>
  <si>
    <t>MIRR NG-W</t>
  </si>
  <si>
    <t>PWW</t>
  </si>
  <si>
    <t>PWNG</t>
  </si>
  <si>
    <t>FUEL</t>
  </si>
  <si>
    <t>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</si>
</sst>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([$$-409]* #,##0.00_);_([$$-409]* \(#,##0.00\);_([$$-409]* &quot;-&quot;??_);_(@_)"/>
    <numFmt numFmtId="166" formatCode="&quot;$&quot;#,##0.00"/>
    <numFmt numFmtId="167" formatCode="&quot;$&quot;#,##0.00;[Red]&quot;$&quot;#,##0.00"/>
    <numFmt numFmtId="168" formatCode="0.000%"/>
    <numFmt numFmtId="169" formatCode="_([$$-409]* #,##0_);_([$$-409]* \(#,##0\);_([$$-409]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6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  <xf numFmtId="8" fontId="0" fillId="0" borderId="0" xfId="0" applyNumberFormat="1"/>
    <xf numFmtId="44" fontId="0" fillId="0" borderId="0" xfId="1" applyNumberFormat="1" applyFont="1"/>
    <xf numFmtId="10" fontId="0" fillId="0" borderId="0" xfId="0" applyNumberFormat="1"/>
    <xf numFmtId="168" fontId="0" fillId="0" borderId="0" xfId="0" applyNumberFormat="1"/>
    <xf numFmtId="0" fontId="2" fillId="0" borderId="0" xfId="2"/>
    <xf numFmtId="165" fontId="0" fillId="0" borderId="0" xfId="1" applyNumberFormat="1" applyFont="1"/>
    <xf numFmtId="44" fontId="0" fillId="0" borderId="0" xfId="0" applyNumberFormat="1"/>
    <xf numFmtId="165" fontId="3" fillId="0" borderId="0" xfId="0" applyNumberFormat="1" applyFont="1"/>
    <xf numFmtId="169" fontId="0" fillId="0" borderId="0" xfId="0" applyNumberFormat="1"/>
    <xf numFmtId="44" fontId="3" fillId="0" borderId="0" xfId="1" applyNumberFormat="1" applyFont="1"/>
    <xf numFmtId="165" fontId="3" fillId="0" borderId="0" xfId="1" applyNumberFormat="1" applyFon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vs Present Worth</a:t>
            </a:r>
          </a:p>
        </c:rich>
      </c:tx>
      <c:layout>
        <c:manualLayout>
          <c:xMode val="edge"/>
          <c:yMode val="edge"/>
          <c:x val="0.42451830610589736"/>
          <c:y val="4.087923646734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Charts!$B$2:$B$8</c:f>
              <c:numCache>
                <c:formatCode>General</c:formatCode>
                <c:ptCount val="7"/>
                <c:pt idx="0">
                  <c:v>4068215581.9103355</c:v>
                </c:pt>
                <c:pt idx="1">
                  <c:v>2079000979.6227226</c:v>
                </c:pt>
                <c:pt idx="2">
                  <c:v>1168397288.4233751</c:v>
                </c:pt>
                <c:pt idx="3">
                  <c:v>668254569.92515159</c:v>
                </c:pt>
                <c:pt idx="4">
                  <c:v>352439474.39769864</c:v>
                </c:pt>
                <c:pt idx="5">
                  <c:v>-350194379.65715301</c:v>
                </c:pt>
                <c:pt idx="6">
                  <c:v>-780826093.63646662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C-4F41-8ED7-0A72079824A1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Natural Gas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Charts!$C$2:$C$8</c:f>
              <c:numCache>
                <c:formatCode>General</c:formatCode>
                <c:ptCount val="7"/>
                <c:pt idx="0">
                  <c:v>10065922733.163836</c:v>
                </c:pt>
                <c:pt idx="1">
                  <c:v>5717950942.8573303</c:v>
                </c:pt>
                <c:pt idx="2">
                  <c:v>3716762414.538476</c:v>
                </c:pt>
                <c:pt idx="3">
                  <c:v>2630186015.7455726</c:v>
                </c:pt>
                <c:pt idx="4">
                  <c:v>1960527375.2606816</c:v>
                </c:pt>
                <c:pt idx="5">
                  <c:v>601885264.61596107</c:v>
                </c:pt>
                <c:pt idx="6">
                  <c:v>-39511126.240396261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8C-4F41-8ED7-0A7207982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35832"/>
        <c:axId val="579533536"/>
      </c:scatterChart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Charts!$A$10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Charts!$B$10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8C-4F41-8ED7-0A7207982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96240"/>
        <c:axId val="637860128"/>
      </c:scatterChart>
      <c:valAx>
        <c:axId val="57953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(%)</a:t>
                </a:r>
              </a:p>
            </c:rich>
          </c:tx>
          <c:layout>
            <c:manualLayout>
              <c:xMode val="edge"/>
              <c:yMode val="edge"/>
              <c:x val="0.49647708840227089"/>
              <c:y val="0.83460171289618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33536"/>
        <c:crossesAt val="-2000000000"/>
        <c:crossBetween val="midCat"/>
        <c:majorUnit val="2"/>
      </c:valAx>
      <c:valAx>
        <c:axId val="5795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35832"/>
        <c:crosses val="autoZero"/>
        <c:crossBetween val="midCat"/>
      </c:valAx>
      <c:valAx>
        <c:axId val="637860128"/>
        <c:scaling>
          <c:orientation val="minMax"/>
          <c:max val="12000000000"/>
          <c:min val="-200000000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6240"/>
        <c:crossesAt val="3.0000000000000006E-2"/>
        <c:crossBetween val="midCat"/>
      </c:valAx>
      <c:valAx>
        <c:axId val="182896240"/>
        <c:scaling>
          <c:orientation val="minMax"/>
          <c:max val="0.22000000000000003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60128"/>
        <c:crossesAt val="0"/>
        <c:crossBetween val="midCat"/>
        <c:majorUnit val="2.0000000000000004E-2"/>
      </c:valAx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Charts!$H$1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Charts!$G$2:$G$7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xVal>
          <c:yVal>
            <c:numRef>
              <c:f>Charts!$H$2:$H$7</c:f>
              <c:numCache>
                <c:formatCode>_([$$-409]* #,##0.00_);_([$$-409]* \(#,##0.00\);_([$$-409]* "-"??_);_(@_)</c:formatCode>
                <c:ptCount val="6"/>
                <c:pt idx="0">
                  <c:v>-2296482559.3940177</c:v>
                </c:pt>
                <c:pt idx="1">
                  <c:v>-533690626.46178317</c:v>
                </c:pt>
                <c:pt idx="2">
                  <c:v>848990806.27016962</c:v>
                </c:pt>
                <c:pt idx="3">
                  <c:v>2184899601.8557997</c:v>
                </c:pt>
                <c:pt idx="4">
                  <c:v>3509933694.4233494</c:v>
                </c:pt>
                <c:pt idx="5">
                  <c:v>4831016483.916419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9-4E27-A41A-0784C28D32CB}"/>
            </c:ext>
          </c:extLst>
        </c:ser>
        <c:ser>
          <c:idx val="1"/>
          <c:order val="1"/>
          <c:tx>
            <c:strRef>
              <c:f>Charts!$I$1</c:f>
              <c:strCache>
                <c:ptCount val="1"/>
                <c:pt idx="0">
                  <c:v>Natural Gas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Charts!$G$2:$G$7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xVal>
          <c:yVal>
            <c:numRef>
              <c:f>Charts!$I$2:$I$7</c:f>
              <c:numCache>
                <c:formatCode>_([$$-409]* #,##0.00_);_([$$-409]* \(#,##0.00\);_([$$-409]* "-"??_);_(@_)</c:formatCode>
                <c:ptCount val="6"/>
                <c:pt idx="0">
                  <c:v>-3967679440.7938285</c:v>
                </c:pt>
                <c:pt idx="1">
                  <c:v>27538493.494439632</c:v>
                </c:pt>
                <c:pt idx="2">
                  <c:v>3012552956.8089976</c:v>
                </c:pt>
                <c:pt idx="3">
                  <c:v>5979694374.9739332</c:v>
                </c:pt>
                <c:pt idx="4">
                  <c:v>8945776584.1283264</c:v>
                </c:pt>
                <c:pt idx="5">
                  <c:v>11911858793.282722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9-4E27-A41A-0784C28D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02200"/>
        <c:axId val="627303184"/>
      </c:scatterChart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Charts!$A$10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Charts!$B$10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9-4E27-A41A-0784C28D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95824"/>
        <c:axId val="687395168"/>
      </c:scatterChart>
      <c:valAx>
        <c:axId val="62730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($/MWh)</a:t>
                </a:r>
              </a:p>
            </c:rich>
          </c:tx>
          <c:layout>
            <c:manualLayout>
              <c:xMode val="edge"/>
              <c:yMode val="edge"/>
              <c:x val="0.4572000660056848"/>
              <c:y val="0.85497349081364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03184"/>
        <c:crossesAt val="-8000000000"/>
        <c:crossBetween val="midCat"/>
      </c:valAx>
      <c:valAx>
        <c:axId val="6273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02200"/>
        <c:crosses val="autoZero"/>
        <c:crossBetween val="midCat"/>
        <c:majorUnit val="4000000000"/>
      </c:valAx>
      <c:valAx>
        <c:axId val="687395168"/>
        <c:scaling>
          <c:orientation val="minMax"/>
          <c:max val="16000000000"/>
          <c:min val="-800000000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95824"/>
        <c:crosses val="autoZero"/>
        <c:crossBetween val="midCat"/>
        <c:majorUnit val="4000000000"/>
      </c:valAx>
      <c:valAx>
        <c:axId val="6873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95168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</a:t>
            </a:r>
          </a:p>
        </c:rich>
      </c:tx>
      <c:layout>
        <c:manualLayout>
          <c:xMode val="edge"/>
          <c:yMode val="edge"/>
          <c:x val="0.46645692883895129"/>
          <c:y val="4.6153846153846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Charts!$K$1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Charts!$K$2:$K$11</c:f>
              <c:numCache>
                <c:formatCode>General</c:formatCode>
                <c:ptCount val="10"/>
                <c:pt idx="0">
                  <c:v>-1224393279.0332029</c:v>
                </c:pt>
                <c:pt idx="1">
                  <c:v>-262669385.547903</c:v>
                </c:pt>
                <c:pt idx="2">
                  <c:v>556749307.49006999</c:v>
                </c:pt>
                <c:pt idx="3">
                  <c:v>1356641439.7755723</c:v>
                </c:pt>
                <c:pt idx="4">
                  <c:v>2148957376.2318201</c:v>
                </c:pt>
                <c:pt idx="5">
                  <c:v>2937795107.865387</c:v>
                </c:pt>
                <c:pt idx="6">
                  <c:v>3724490795.9778004</c:v>
                </c:pt>
                <c:pt idx="7">
                  <c:v>4509836999.5089197</c:v>
                </c:pt>
                <c:pt idx="8">
                  <c:v>5294948451.7892609</c:v>
                </c:pt>
                <c:pt idx="9">
                  <c:v>6078867375.5461721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B-495D-8957-EE7C0DFADB85}"/>
            </c:ext>
          </c:extLst>
        </c:ser>
        <c:ser>
          <c:idx val="1"/>
          <c:order val="1"/>
          <c:tx>
            <c:strRef>
              <c:f>Charts!$L$1</c:f>
              <c:strCache>
                <c:ptCount val="1"/>
                <c:pt idx="0">
                  <c:v>Natural Gas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Charts!$L$2:$L$11</c:f>
              <c:numCache>
                <c:formatCode>General</c:formatCode>
                <c:ptCount val="10"/>
                <c:pt idx="0">
                  <c:v>-601462276.50560641</c:v>
                </c:pt>
                <c:pt idx="1">
                  <c:v>48035988.898065343</c:v>
                </c:pt>
                <c:pt idx="2">
                  <c:v>587778822.16032553</c:v>
                </c:pt>
                <c:pt idx="3">
                  <c:v>1119480165.8855233</c:v>
                </c:pt>
                <c:pt idx="4">
                  <c:v>1649358645.7991695</c:v>
                </c:pt>
                <c:pt idx="5">
                  <c:v>2178499080.2489686</c:v>
                </c:pt>
                <c:pt idx="6">
                  <c:v>2707473401.0386705</c:v>
                </c:pt>
                <c:pt idx="7">
                  <c:v>3236041883.5067077</c:v>
                </c:pt>
                <c:pt idx="8">
                  <c:v>3764582566.2812076</c:v>
                </c:pt>
                <c:pt idx="9">
                  <c:v>4293123249.055706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B-495D-8957-EE7C0DFAD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80440"/>
        <c:axId val="629378800"/>
      </c:scatterChart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Charts!$A$10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Charts!$B$10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B-495D-8957-EE7C0DFAD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97224"/>
        <c:axId val="682152320"/>
      </c:scatterChart>
      <c:valAx>
        <c:axId val="62938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</a:p>
            </c:rich>
          </c:tx>
          <c:layout>
            <c:manualLayout>
              <c:xMode val="edge"/>
              <c:yMode val="edge"/>
              <c:x val="0.50015630068713324"/>
              <c:y val="0.75856329497274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78800"/>
        <c:crossesAt val="-2000000000"/>
        <c:crossBetween val="midCat"/>
      </c:valAx>
      <c:valAx>
        <c:axId val="6293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80440"/>
        <c:crosses val="autoZero"/>
        <c:crossBetween val="midCat"/>
      </c:valAx>
      <c:valAx>
        <c:axId val="682152320"/>
        <c:scaling>
          <c:orientation val="minMax"/>
          <c:max val="8000000000"/>
          <c:min val="-200000000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7224"/>
        <c:crossesAt val="0"/>
        <c:crossBetween val="midCat"/>
        <c:minorUnit val="8000000000"/>
      </c:valAx>
      <c:valAx>
        <c:axId val="18289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5232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</a:t>
            </a:r>
            <a:r>
              <a:rPr lang="en-US" baseline="0"/>
              <a:t> Price vs Present Worth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Charts!$E$1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Charts!$D$2:$D$13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xVal>
          <c:yVal>
            <c:numRef>
              <c:f>Charts!$E$2:$E$13</c:f>
              <c:numCache>
                <c:formatCode>_([$$-409]* #,##0_);_([$$-409]* \(#,##0\);_([$$-409]* "-"??_);_(@_)</c:formatCode>
                <c:ptCount val="12"/>
                <c:pt idx="0">
                  <c:v>1117786700.9384301</c:v>
                </c:pt>
                <c:pt idx="1">
                  <c:v>1117786700.9384301</c:v>
                </c:pt>
                <c:pt idx="2">
                  <c:v>1117786700.9384301</c:v>
                </c:pt>
                <c:pt idx="3">
                  <c:v>1117786700.9384301</c:v>
                </c:pt>
                <c:pt idx="4">
                  <c:v>1117786700.9384301</c:v>
                </c:pt>
                <c:pt idx="5">
                  <c:v>1117786700.9384301</c:v>
                </c:pt>
                <c:pt idx="6">
                  <c:v>1117786700.9384301</c:v>
                </c:pt>
                <c:pt idx="7">
                  <c:v>1117786700.9384301</c:v>
                </c:pt>
                <c:pt idx="8">
                  <c:v>1117786700.9384301</c:v>
                </c:pt>
                <c:pt idx="9">
                  <c:v>1117786700.9384301</c:v>
                </c:pt>
                <c:pt idx="10">
                  <c:v>1117786700.9384301</c:v>
                </c:pt>
                <c:pt idx="11">
                  <c:v>1117786700.9384301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3-43EA-A638-FAB7315B75F9}"/>
            </c:ext>
          </c:extLst>
        </c:ser>
        <c:ser>
          <c:idx val="1"/>
          <c:order val="1"/>
          <c:tx>
            <c:strRef>
              <c:f>Charts!$F$1</c:f>
              <c:strCache>
                <c:ptCount val="1"/>
                <c:pt idx="0">
                  <c:v>Natural Gas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Charts!$D$2:$D$13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</c:numCache>
            </c:numRef>
          </c:xVal>
          <c:yVal>
            <c:numRef>
              <c:f>Charts!$F$2:$F$13</c:f>
              <c:numCache>
                <c:formatCode>_([$$-409]* #,##0.00_);_([$$-409]* \(#,##0.00\);_([$$-409]* "-"??_);_(@_)</c:formatCode>
                <c:ptCount val="12"/>
                <c:pt idx="0">
                  <c:v>5535849951.8393555</c:v>
                </c:pt>
                <c:pt idx="1">
                  <c:v>4449812409.2417183</c:v>
                </c:pt>
                <c:pt idx="2">
                  <c:v>3906789744.1284156</c:v>
                </c:pt>
                <c:pt idx="3" formatCode="_([$$-409]* #,##0_);_([$$-409]* \(#,##0\);_([$$-409]* &quot;-&quot;??_);_(@_)">
                  <c:v>3363767079.0151043</c:v>
                </c:pt>
                <c:pt idx="4">
                  <c:v>2820744413.9017973</c:v>
                </c:pt>
                <c:pt idx="5">
                  <c:v>2277341339.1449728</c:v>
                </c:pt>
                <c:pt idx="6">
                  <c:v>1733807661.2050409</c:v>
                </c:pt>
                <c:pt idx="7">
                  <c:v>1189525814.8912752</c:v>
                </c:pt>
                <c:pt idx="8">
                  <c:v>643618907.25130296</c:v>
                </c:pt>
                <c:pt idx="9">
                  <c:v>90552490.028837562</c:v>
                </c:pt>
                <c:pt idx="10" formatCode="_([$$-409]* #,##0_);_([$$-409]* \(#,##0\);_([$$-409]* &quot;-&quot;??_);_(@_)">
                  <c:v>-565379828.05299103</c:v>
                </c:pt>
                <c:pt idx="11">
                  <c:v>-1308931943.4985464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3-43EA-A638-FAB7315B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52592"/>
        <c:axId val="421253576"/>
      </c:scatterChart>
      <c:valAx>
        <c:axId val="4212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Price (</a:t>
                </a:r>
                <a:r>
                  <a:rPr lang="en-US"/>
                  <a:t>$/m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860759303705394"/>
              <c:y val="0.844711600206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3576"/>
        <c:crosses val="autoZero"/>
        <c:crossBetween val="midCat"/>
      </c:valAx>
      <c:valAx>
        <c:axId val="42125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</a:t>
            </a:r>
            <a:r>
              <a:rPr lang="en-US" baseline="0"/>
              <a:t> Rate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'Historical Tax Rates'!$A$1:$A$52</c:f>
              <c:numCache>
                <c:formatCode>m/d/yyyy</c:formatCode>
                <c:ptCount val="52"/>
                <c:pt idx="0">
                  <c:v>42699</c:v>
                </c:pt>
                <c:pt idx="1">
                  <c:v>42706</c:v>
                </c:pt>
                <c:pt idx="2">
                  <c:v>42713</c:v>
                </c:pt>
                <c:pt idx="3">
                  <c:v>42720</c:v>
                </c:pt>
                <c:pt idx="4">
                  <c:v>42727</c:v>
                </c:pt>
                <c:pt idx="5">
                  <c:v>42734</c:v>
                </c:pt>
                <c:pt idx="6">
                  <c:v>42741</c:v>
                </c:pt>
                <c:pt idx="7">
                  <c:v>42748</c:v>
                </c:pt>
                <c:pt idx="8">
                  <c:v>42755</c:v>
                </c:pt>
                <c:pt idx="9">
                  <c:v>42762</c:v>
                </c:pt>
                <c:pt idx="10">
                  <c:v>42769</c:v>
                </c:pt>
                <c:pt idx="11">
                  <c:v>42776</c:v>
                </c:pt>
                <c:pt idx="12">
                  <c:v>42783</c:v>
                </c:pt>
                <c:pt idx="13">
                  <c:v>42790</c:v>
                </c:pt>
                <c:pt idx="14">
                  <c:v>42797</c:v>
                </c:pt>
                <c:pt idx="15">
                  <c:v>42804</c:v>
                </c:pt>
                <c:pt idx="16">
                  <c:v>42811</c:v>
                </c:pt>
                <c:pt idx="17">
                  <c:v>42818</c:v>
                </c:pt>
                <c:pt idx="18">
                  <c:v>42825</c:v>
                </c:pt>
                <c:pt idx="19">
                  <c:v>42832</c:v>
                </c:pt>
                <c:pt idx="20">
                  <c:v>42839</c:v>
                </c:pt>
                <c:pt idx="21">
                  <c:v>42846</c:v>
                </c:pt>
                <c:pt idx="22">
                  <c:v>42853</c:v>
                </c:pt>
                <c:pt idx="23">
                  <c:v>42860</c:v>
                </c:pt>
                <c:pt idx="24">
                  <c:v>42867</c:v>
                </c:pt>
                <c:pt idx="25">
                  <c:v>42874</c:v>
                </c:pt>
                <c:pt idx="26">
                  <c:v>42881</c:v>
                </c:pt>
                <c:pt idx="27">
                  <c:v>42888</c:v>
                </c:pt>
                <c:pt idx="28">
                  <c:v>42895</c:v>
                </c:pt>
                <c:pt idx="29">
                  <c:v>42902</c:v>
                </c:pt>
                <c:pt idx="30">
                  <c:v>42909</c:v>
                </c:pt>
                <c:pt idx="31">
                  <c:v>42916</c:v>
                </c:pt>
                <c:pt idx="32">
                  <c:v>42923</c:v>
                </c:pt>
                <c:pt idx="33">
                  <c:v>42930</c:v>
                </c:pt>
                <c:pt idx="34">
                  <c:v>42937</c:v>
                </c:pt>
                <c:pt idx="35">
                  <c:v>42944</c:v>
                </c:pt>
                <c:pt idx="36">
                  <c:v>42951</c:v>
                </c:pt>
                <c:pt idx="37">
                  <c:v>42958</c:v>
                </c:pt>
                <c:pt idx="38">
                  <c:v>42965</c:v>
                </c:pt>
                <c:pt idx="39">
                  <c:v>42972</c:v>
                </c:pt>
                <c:pt idx="40">
                  <c:v>42979</c:v>
                </c:pt>
                <c:pt idx="41">
                  <c:v>42986</c:v>
                </c:pt>
                <c:pt idx="42">
                  <c:v>42993</c:v>
                </c:pt>
                <c:pt idx="43">
                  <c:v>43000</c:v>
                </c:pt>
                <c:pt idx="44">
                  <c:v>43007</c:v>
                </c:pt>
                <c:pt idx="45">
                  <c:v>43014</c:v>
                </c:pt>
                <c:pt idx="46">
                  <c:v>43021</c:v>
                </c:pt>
                <c:pt idx="47">
                  <c:v>43028</c:v>
                </c:pt>
                <c:pt idx="48">
                  <c:v>43035</c:v>
                </c:pt>
                <c:pt idx="49">
                  <c:v>43042</c:v>
                </c:pt>
                <c:pt idx="50">
                  <c:v>43049</c:v>
                </c:pt>
                <c:pt idx="51">
                  <c:v>43056</c:v>
                </c:pt>
              </c:numCache>
            </c:numRef>
          </c:xVal>
          <c:yVal>
            <c:numRef>
              <c:f>'Historical Tax Rates'!$B$1:$B$52</c:f>
              <c:numCache>
                <c:formatCode>General</c:formatCode>
                <c:ptCount val="52"/>
                <c:pt idx="0">
                  <c:v>2.74</c:v>
                </c:pt>
                <c:pt idx="1">
                  <c:v>2.74</c:v>
                </c:pt>
                <c:pt idx="2">
                  <c:v>2.75</c:v>
                </c:pt>
                <c:pt idx="3">
                  <c:v>2.78</c:v>
                </c:pt>
                <c:pt idx="4">
                  <c:v>2.79</c:v>
                </c:pt>
                <c:pt idx="5">
                  <c:v>2.77</c:v>
                </c:pt>
                <c:pt idx="6">
                  <c:v>2.76</c:v>
                </c:pt>
                <c:pt idx="7">
                  <c:v>2.74</c:v>
                </c:pt>
                <c:pt idx="8">
                  <c:v>2.73</c:v>
                </c:pt>
                <c:pt idx="9">
                  <c:v>2.73</c:v>
                </c:pt>
                <c:pt idx="10">
                  <c:v>2.71</c:v>
                </c:pt>
                <c:pt idx="11">
                  <c:v>2.68</c:v>
                </c:pt>
                <c:pt idx="12">
                  <c:v>2.68</c:v>
                </c:pt>
                <c:pt idx="13">
                  <c:v>2.66</c:v>
                </c:pt>
                <c:pt idx="14">
                  <c:v>2.67</c:v>
                </c:pt>
                <c:pt idx="15">
                  <c:v>2.7</c:v>
                </c:pt>
                <c:pt idx="16">
                  <c:v>2.71</c:v>
                </c:pt>
                <c:pt idx="17">
                  <c:v>2.67</c:v>
                </c:pt>
                <c:pt idx="18">
                  <c:v>2.66</c:v>
                </c:pt>
                <c:pt idx="19">
                  <c:v>2.67</c:v>
                </c:pt>
                <c:pt idx="20">
                  <c:v>2.65</c:v>
                </c:pt>
                <c:pt idx="21">
                  <c:v>2.63</c:v>
                </c:pt>
                <c:pt idx="22">
                  <c:v>2.62</c:v>
                </c:pt>
                <c:pt idx="23">
                  <c:v>2.62</c:v>
                </c:pt>
                <c:pt idx="24">
                  <c:v>2.63</c:v>
                </c:pt>
                <c:pt idx="25">
                  <c:v>2.62</c:v>
                </c:pt>
                <c:pt idx="26">
                  <c:v>2.62</c:v>
                </c:pt>
                <c:pt idx="27">
                  <c:v>2.61</c:v>
                </c:pt>
                <c:pt idx="28">
                  <c:v>2.62</c:v>
                </c:pt>
                <c:pt idx="29">
                  <c:v>2.68</c:v>
                </c:pt>
                <c:pt idx="30">
                  <c:v>2.68</c:v>
                </c:pt>
                <c:pt idx="31">
                  <c:v>2.76</c:v>
                </c:pt>
                <c:pt idx="32">
                  <c:v>2.82</c:v>
                </c:pt>
                <c:pt idx="33">
                  <c:v>2.86</c:v>
                </c:pt>
                <c:pt idx="34">
                  <c:v>2.95</c:v>
                </c:pt>
                <c:pt idx="35">
                  <c:v>2.98</c:v>
                </c:pt>
                <c:pt idx="36">
                  <c:v>2.95</c:v>
                </c:pt>
                <c:pt idx="37">
                  <c:v>2.94</c:v>
                </c:pt>
                <c:pt idx="38">
                  <c:v>2.95</c:v>
                </c:pt>
                <c:pt idx="39">
                  <c:v>2.96</c:v>
                </c:pt>
                <c:pt idx="40">
                  <c:v>2.96</c:v>
                </c:pt>
                <c:pt idx="41">
                  <c:v>3.02</c:v>
                </c:pt>
                <c:pt idx="42">
                  <c:v>3.16</c:v>
                </c:pt>
                <c:pt idx="43">
                  <c:v>3.16</c:v>
                </c:pt>
                <c:pt idx="44">
                  <c:v>3.15</c:v>
                </c:pt>
                <c:pt idx="45">
                  <c:v>3.15</c:v>
                </c:pt>
                <c:pt idx="46">
                  <c:v>3.14</c:v>
                </c:pt>
                <c:pt idx="47">
                  <c:v>3.11</c:v>
                </c:pt>
                <c:pt idx="48">
                  <c:v>3.08</c:v>
                </c:pt>
                <c:pt idx="49">
                  <c:v>3.07</c:v>
                </c:pt>
                <c:pt idx="50">
                  <c:v>3.07</c:v>
                </c:pt>
                <c:pt idx="51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3-4A75-8727-18A23411C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37816"/>
        <c:axId val="681637488"/>
      </c:scatterChart>
      <c:valAx>
        <c:axId val="68163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37488"/>
        <c:crosses val="autoZero"/>
        <c:crossBetween val="midCat"/>
      </c:valAx>
      <c:valAx>
        <c:axId val="6816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3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1164946</xdr:colOff>
      <xdr:row>11</xdr:row>
      <xdr:rowOff>114714</xdr:rowOff>
    </xdr:from>
    <xdr:to>
      <xdr:col>19</xdr:col>
      <xdr:colOff>259246</xdr:colOff>
      <xdr:row>31</xdr:row>
      <xdr:rowOff>73302</xdr:rowOff>
    </xdr:to>
    <xdr:graphicFrame macro="">
      <xdr:nvGraphicFramePr>
        <xdr:cNvPr id="67" name="Chart 2">
          <a:extLst>
            <a:ext uri="{FF2B5EF4-FFF2-40B4-BE49-F238E27FC236}">
              <a16:creationId xmlns:a16="http://schemas.microsoft.com/office/drawing/2014/main" id="{BDDC9D2D-B6DC-4BDB-BD7B-8B2EFEC45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165654</xdr:colOff>
      <xdr:row>8</xdr:row>
      <xdr:rowOff>190499</xdr:rowOff>
    </xdr:from>
    <xdr:to>
      <xdr:col>10</xdr:col>
      <xdr:colOff>140806</xdr:colOff>
      <xdr:row>28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0E3C2C-0B2C-461D-BE30-54F33AE6C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662610</xdr:colOff>
      <xdr:row>14</xdr:row>
      <xdr:rowOff>165650</xdr:rowOff>
    </xdr:from>
    <xdr:to>
      <xdr:col>22</xdr:col>
      <xdr:colOff>438979</xdr:colOff>
      <xdr:row>34</xdr:row>
      <xdr:rowOff>165652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F4EFAB-4CBB-47E7-8AB0-F4351F3A6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558249</xdr:colOff>
      <xdr:row>2</xdr:row>
      <xdr:rowOff>163167</xdr:rowOff>
    </xdr:from>
    <xdr:to>
      <xdr:col>12</xdr:col>
      <xdr:colOff>185949</xdr:colOff>
      <xdr:row>22</xdr:row>
      <xdr:rowOff>121755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91C7DB-68F3-4711-8422-F04C870F0907}"/>
            </a:ext>
            <a:ext uri="{147F2762-F138-4A5C-976F-8EAC2B608ADB}">
              <a16:predDERef xmlns:a16="http://schemas.microsoft.com/office/drawing/2014/main" pred="{BDDC9D2D-B6DC-4BDB-BD7B-8B2EFEC45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0.42665</cdr:x>
      <cdr:y>0.12174</cdr:y>
    </cdr:from>
    <cdr:to>
      <cdr:x>0.42665</cdr:x>
      <cdr:y>0.77609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0487E3B-28D4-4045-A8A4-9C43D37EECB0}"/>
            </a:ext>
          </a:extLst>
        </cdr:cNvPr>
        <cdr:cNvCxnSpPr/>
      </cdr:nvCxnSpPr>
      <cdr:spPr>
        <a:xfrm xmlns:a="http://schemas.openxmlformats.org/drawingml/2006/main" flipV="1">
          <a:off x="2890630" y="463826"/>
          <a:ext cx="0" cy="249306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0.74233</cdr:x>
      <cdr:y>0.33913</cdr:y>
    </cdr:from>
    <cdr:to>
      <cdr:x>0.76564</cdr:x>
      <cdr:y>0.37826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C3058E39-3D4D-4EEA-B352-050ED8EAAE6B}"/>
            </a:ext>
          </a:extLst>
        </cdr:cNvPr>
        <cdr:cNvSpPr/>
      </cdr:nvSpPr>
      <cdr:spPr>
        <a:xfrm xmlns:a="http://schemas.openxmlformats.org/drawingml/2006/main">
          <a:off x="5010977" y="1292089"/>
          <a:ext cx="157370" cy="149087"/>
        </a:xfrm>
        <a:prstGeom xmlns:a="http://schemas.openxmlformats.org/drawingml/2006/main" prst="ellipse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0.36581</cdr:x>
      <cdr:y>0.52638</cdr:y>
    </cdr:from>
    <cdr:to>
      <cdr:x>0.38912</cdr:x>
      <cdr:y>0.56551</cdr:y>
    </cdr:to>
    <cdr:sp macro="" textlink="">
      <cdr:nvSpPr>
        <cdr:cNvPr id="6" name="Oval 5">
          <a:extLst xmlns:a="http://schemas.openxmlformats.org/drawingml/2006/main">
            <a:ext uri="{FF2B5EF4-FFF2-40B4-BE49-F238E27FC236}">
              <a16:creationId xmlns:a16="http://schemas.microsoft.com/office/drawing/2014/main" id="{D19ABC6C-EDC5-49D8-A029-C46AD6DED2E5}"/>
            </a:ext>
          </a:extLst>
        </cdr:cNvPr>
        <cdr:cNvSpPr/>
      </cdr:nvSpPr>
      <cdr:spPr>
        <a:xfrm xmlns:a="http://schemas.openxmlformats.org/drawingml/2006/main">
          <a:off x="2469321" y="2005495"/>
          <a:ext cx="157370" cy="149087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0.32946</cdr:x>
      <cdr:y>0.11648</cdr:y>
    </cdr:from>
    <cdr:to>
      <cdr:x>0.32946</cdr:x>
      <cdr:y>0.77363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03355DA-DA35-4A3E-9341-3ECB2435501B}"/>
            </a:ext>
          </a:extLst>
        </cdr:cNvPr>
        <cdr:cNvCxnSpPr/>
      </cdr:nvCxnSpPr>
      <cdr:spPr>
        <a:xfrm xmlns:a="http://schemas.openxmlformats.org/drawingml/2006/main">
          <a:off x="2274822" y="438979"/>
          <a:ext cx="0" cy="24765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4</xdr:row>
      <xdr:rowOff>47625</xdr:rowOff>
    </xdr:from>
    <xdr:to>
      <xdr:col>18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8D657-2CAC-41FB-AB6D-4521F4743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anada.ca/en/environment-climate-change/news/2017/05/pricing_carbon_pollutionincanadahowitwillwork.html" TargetMode="External"/><Relationship Id="rId1" Type="http://schemas.openxmlformats.org/officeDocument/2006/relationships/hyperlink" Target="https://www.eia.gov/electricity/annual/html/epa_a_03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wc.com/ca/en/energy-utilities/publications/pwc-oil-gas-taxation-2012-10-en.pdf" TargetMode="External"/><Relationship Id="rId1" Type="http://schemas.openxmlformats.org/officeDocument/2006/relationships/hyperlink" Target="https://www.stikeman.com/en-ca/kh/canadian-energy-law/canadian-tax-considerations-for-windpower-and-solar-power-proje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"/>
  <sheetViews>
    <sheetView topLeftCell="A7" workbookViewId="0" xr3:uid="{AEA406A1-0E4B-5B11-9CD5-51D6E497D94C}">
      <selection activeCell="A45" sqref="A45"/>
    </sheetView>
  </sheetViews>
  <sheetFormatPr defaultRowHeight="15"/>
  <cols>
    <col min="1" max="1" width="19.140625" customWidth="1"/>
    <col min="2" max="2" width="18" customWidth="1"/>
    <col min="3" max="3" width="18.28515625" customWidth="1"/>
    <col min="5" max="5" width="9.140625" bestFit="1" customWidth="1"/>
    <col min="6" max="6" width="15.85546875" style="2" bestFit="1" customWidth="1"/>
    <col min="7" max="7" width="17.5703125" bestFit="1" customWidth="1"/>
    <col min="8" max="9" width="18.5703125" bestFit="1" customWidth="1"/>
    <col min="10" max="11" width="9.140625" bestFit="1" customWidth="1"/>
    <col min="12" max="12" width="15" bestFit="1" customWidth="1"/>
    <col min="13" max="13" width="15.42578125" bestFit="1" customWidth="1"/>
    <col min="14" max="14" width="20.85546875" customWidth="1"/>
    <col min="15" max="15" width="17.5703125" customWidth="1"/>
  </cols>
  <sheetData>
    <row r="1" spans="1:15">
      <c r="A1" t="s">
        <v>0</v>
      </c>
      <c r="B1" t="s">
        <v>1</v>
      </c>
      <c r="C1" t="s">
        <v>2</v>
      </c>
      <c r="E1" t="s">
        <v>3</v>
      </c>
    </row>
    <row r="2" spans="1:15">
      <c r="A2" t="s">
        <v>4</v>
      </c>
      <c r="B2">
        <v>3</v>
      </c>
      <c r="C2">
        <v>5</v>
      </c>
      <c r="E2" t="s">
        <v>5</v>
      </c>
      <c r="F2" s="2" t="s">
        <v>6</v>
      </c>
      <c r="G2" t="s">
        <v>7</v>
      </c>
      <c r="H2" t="s">
        <v>8</v>
      </c>
      <c r="I2" t="s">
        <v>9</v>
      </c>
      <c r="K2" t="s">
        <v>5</v>
      </c>
      <c r="L2" t="s">
        <v>6</v>
      </c>
      <c r="M2" t="s">
        <v>7</v>
      </c>
      <c r="N2" t="s">
        <v>8</v>
      </c>
      <c r="O2" t="s">
        <v>9</v>
      </c>
    </row>
    <row r="3" spans="1:15">
      <c r="A3" t="s">
        <v>10</v>
      </c>
      <c r="B3">
        <v>30</v>
      </c>
      <c r="C3">
        <v>50</v>
      </c>
      <c r="E3">
        <v>0</v>
      </c>
      <c r="F3" s="2">
        <v>0</v>
      </c>
      <c r="G3" s="2">
        <f>B12</f>
        <v>1115200000</v>
      </c>
      <c r="H3" s="2">
        <f>$F3-$G3</f>
        <v>-1115200000</v>
      </c>
      <c r="I3" s="2">
        <f>H3/(1+$B$15)^E3</f>
        <v>-1115200000</v>
      </c>
      <c r="J3" s="2"/>
      <c r="K3">
        <v>0</v>
      </c>
      <c r="L3" s="7">
        <v>0</v>
      </c>
      <c r="M3" s="7">
        <f>C12</f>
        <v>366800000</v>
      </c>
      <c r="N3" s="7">
        <f>L3-M3</f>
        <v>-366800000</v>
      </c>
      <c r="O3" s="7">
        <f>N3/(1+$B$15)^K3</f>
        <v>-366800000</v>
      </c>
    </row>
    <row r="4" spans="1:15">
      <c r="A4" t="s">
        <v>11</v>
      </c>
      <c r="B4" s="1">
        <v>2788000</v>
      </c>
      <c r="C4" s="1">
        <v>917000</v>
      </c>
      <c r="E4">
        <v>1</v>
      </c>
      <c r="F4" s="2">
        <v>0</v>
      </c>
      <c r="G4" s="2">
        <v>0</v>
      </c>
      <c r="H4" s="2">
        <f t="shared" ref="H4:H36" si="0">$F4-$G4</f>
        <v>0</v>
      </c>
      <c r="I4" s="2">
        <f t="shared" ref="I4:I36" si="1">H4/(1+$B$15)^E4</f>
        <v>0</v>
      </c>
      <c r="J4" s="2"/>
      <c r="K4">
        <v>1</v>
      </c>
      <c r="L4" s="7">
        <v>0</v>
      </c>
      <c r="M4" s="7">
        <v>0</v>
      </c>
      <c r="N4" s="7">
        <f t="shared" ref="N4:N58" si="2">L4-M4</f>
        <v>0</v>
      </c>
      <c r="O4" s="7">
        <f t="shared" ref="O4:O58" si="3">N4/(1+$B$15)^K4</f>
        <v>0</v>
      </c>
    </row>
    <row r="5" spans="1:15">
      <c r="A5" t="s">
        <v>12</v>
      </c>
      <c r="B5" s="1">
        <v>49000</v>
      </c>
      <c r="C5" s="1">
        <v>13170</v>
      </c>
      <c r="E5">
        <v>2</v>
      </c>
      <c r="F5" s="2">
        <v>0</v>
      </c>
      <c r="G5" s="2">
        <v>0</v>
      </c>
      <c r="H5" s="2">
        <f t="shared" si="0"/>
        <v>0</v>
      </c>
      <c r="I5" s="2">
        <f t="shared" si="1"/>
        <v>0</v>
      </c>
      <c r="J5" s="2"/>
      <c r="K5">
        <v>2</v>
      </c>
      <c r="L5" s="7">
        <v>0</v>
      </c>
      <c r="M5" s="7">
        <v>0</v>
      </c>
      <c r="N5" s="7">
        <f t="shared" si="2"/>
        <v>0</v>
      </c>
      <c r="O5" s="7">
        <f t="shared" si="3"/>
        <v>0</v>
      </c>
    </row>
    <row r="6" spans="1:15">
      <c r="A6" t="s">
        <v>13</v>
      </c>
      <c r="B6">
        <v>0</v>
      </c>
      <c r="C6">
        <v>183</v>
      </c>
      <c r="E6">
        <v>3</v>
      </c>
      <c r="F6" s="2">
        <v>0</v>
      </c>
      <c r="G6" s="2">
        <v>0</v>
      </c>
      <c r="H6" s="2">
        <f t="shared" si="0"/>
        <v>0</v>
      </c>
      <c r="I6" s="2">
        <f t="shared" si="1"/>
        <v>0</v>
      </c>
      <c r="J6" s="2"/>
      <c r="K6">
        <v>3</v>
      </c>
      <c r="L6" s="7">
        <v>0</v>
      </c>
      <c r="M6" s="7">
        <v>0</v>
      </c>
      <c r="N6" s="7">
        <f t="shared" si="2"/>
        <v>0</v>
      </c>
      <c r="O6" s="7">
        <f t="shared" si="3"/>
        <v>0</v>
      </c>
    </row>
    <row r="7" spans="1:15">
      <c r="A7" t="s">
        <v>14</v>
      </c>
      <c r="B7">
        <v>0.37</v>
      </c>
      <c r="C7">
        <v>0.87</v>
      </c>
      <c r="E7">
        <v>4</v>
      </c>
      <c r="F7" s="2">
        <f>$B$11</f>
        <v>142612800</v>
      </c>
      <c r="G7" s="2">
        <f>$B$13</f>
        <v>19600000</v>
      </c>
      <c r="H7" s="2">
        <f t="shared" si="0"/>
        <v>123012800</v>
      </c>
      <c r="I7" s="2">
        <f>H7/(1+$B$15)^E7</f>
        <v>108956379.69124603</v>
      </c>
      <c r="J7" s="2"/>
      <c r="K7">
        <v>4</v>
      </c>
      <c r="L7" s="7">
        <v>0</v>
      </c>
      <c r="M7" s="7">
        <v>0</v>
      </c>
      <c r="N7" s="7">
        <f t="shared" si="2"/>
        <v>0</v>
      </c>
      <c r="O7" s="7">
        <f t="shared" si="3"/>
        <v>0</v>
      </c>
    </row>
    <row r="8" spans="1:15">
      <c r="A8" t="s">
        <v>15</v>
      </c>
      <c r="B8">
        <v>400</v>
      </c>
      <c r="C8">
        <v>400</v>
      </c>
      <c r="E8">
        <v>5</v>
      </c>
      <c r="F8" s="2">
        <f t="shared" ref="F8:F36" si="4">$B$11</f>
        <v>142612800</v>
      </c>
      <c r="G8" s="2">
        <f t="shared" ref="G8:G36" si="5">$B$13</f>
        <v>19600000</v>
      </c>
      <c r="H8" s="2">
        <f t="shared" si="0"/>
        <v>123012800</v>
      </c>
      <c r="I8" s="2">
        <f>H8/(1+$B$15)^E8</f>
        <v>105700795.19911334</v>
      </c>
      <c r="J8" s="2"/>
      <c r="K8">
        <v>5</v>
      </c>
      <c r="L8" s="7">
        <v>0</v>
      </c>
      <c r="M8" s="7">
        <v>0</v>
      </c>
      <c r="N8" s="7">
        <f t="shared" si="2"/>
        <v>0</v>
      </c>
      <c r="O8" s="7">
        <f t="shared" si="3"/>
        <v>0</v>
      </c>
    </row>
    <row r="9" spans="1:15">
      <c r="A9" t="s">
        <v>16</v>
      </c>
      <c r="B9" s="1">
        <v>110</v>
      </c>
      <c r="C9" s="1">
        <v>110</v>
      </c>
      <c r="E9">
        <v>6</v>
      </c>
      <c r="F9" s="2">
        <f t="shared" si="4"/>
        <v>142612800</v>
      </c>
      <c r="G9" s="2">
        <f t="shared" si="5"/>
        <v>19600000</v>
      </c>
      <c r="H9" s="2">
        <f t="shared" si="0"/>
        <v>123012800</v>
      </c>
      <c r="I9" s="2">
        <f t="shared" si="1"/>
        <v>102542486.61147976</v>
      </c>
      <c r="J9" s="2"/>
      <c r="K9">
        <v>6</v>
      </c>
      <c r="L9" s="3">
        <f>$C$11</f>
        <v>335332800</v>
      </c>
      <c r="M9" s="5">
        <f t="shared" ref="M9:M40" si="6">$C$13+$C$6*$A$17*$C$10</f>
        <v>64168108.867200002</v>
      </c>
      <c r="N9" s="3">
        <f t="shared" si="2"/>
        <v>271164691.13279998</v>
      </c>
      <c r="O9" s="2">
        <f t="shared" si="3"/>
        <v>226040718.6080732</v>
      </c>
    </row>
    <row r="10" spans="1:15">
      <c r="A10" t="s">
        <v>17</v>
      </c>
      <c r="B10">
        <f>365*24*B8*B7</f>
        <v>1296480</v>
      </c>
      <c r="C10">
        <f>365*24*C8*C7</f>
        <v>3048480</v>
      </c>
      <c r="E10">
        <v>7</v>
      </c>
      <c r="F10" s="2">
        <f t="shared" si="4"/>
        <v>142612800</v>
      </c>
      <c r="G10" s="2">
        <f t="shared" si="5"/>
        <v>19600000</v>
      </c>
      <c r="H10" s="2">
        <f t="shared" si="0"/>
        <v>123012800</v>
      </c>
      <c r="I10" s="2">
        <f t="shared" si="1"/>
        <v>99478547.353007168</v>
      </c>
      <c r="J10" s="2"/>
      <c r="K10">
        <v>7</v>
      </c>
      <c r="L10" s="3">
        <f t="shared" ref="L10:L58" si="7">$C$11</f>
        <v>335332800</v>
      </c>
      <c r="M10" s="6">
        <f t="shared" si="6"/>
        <v>64168108.867200002</v>
      </c>
      <c r="N10" s="3">
        <f t="shared" si="2"/>
        <v>271164691.13279998</v>
      </c>
      <c r="O10" s="2">
        <f t="shared" si="3"/>
        <v>219286688.59921736</v>
      </c>
    </row>
    <row r="11" spans="1:15">
      <c r="A11" t="s">
        <v>18</v>
      </c>
      <c r="B11" s="1">
        <f>B10*B9</f>
        <v>142612800</v>
      </c>
      <c r="C11" s="3">
        <f>C10*C9</f>
        <v>335332800</v>
      </c>
      <c r="E11">
        <v>8</v>
      </c>
      <c r="F11" s="2">
        <f t="shared" si="4"/>
        <v>142612800</v>
      </c>
      <c r="G11" s="2">
        <f t="shared" si="5"/>
        <v>19600000</v>
      </c>
      <c r="H11" s="2">
        <f t="shared" si="0"/>
        <v>123012800</v>
      </c>
      <c r="I11" s="2">
        <f t="shared" si="1"/>
        <v>96506157.695971236</v>
      </c>
      <c r="J11" s="2"/>
      <c r="K11">
        <v>8</v>
      </c>
      <c r="L11" s="3">
        <f t="shared" si="7"/>
        <v>335332800</v>
      </c>
      <c r="M11" s="6">
        <f t="shared" si="6"/>
        <v>64168108.867200002</v>
      </c>
      <c r="N11" s="3">
        <f t="shared" si="2"/>
        <v>271164691.13279998</v>
      </c>
      <c r="O11" s="2">
        <f t="shared" si="3"/>
        <v>212734467.01515067</v>
      </c>
    </row>
    <row r="12" spans="1:15">
      <c r="A12" t="s">
        <v>19</v>
      </c>
      <c r="B12" s="2">
        <f>B4*B8</f>
        <v>1115200000</v>
      </c>
      <c r="C12" s="3">
        <f>C4*C8</f>
        <v>366800000</v>
      </c>
      <c r="E12">
        <v>9</v>
      </c>
      <c r="F12" s="2">
        <f t="shared" si="4"/>
        <v>142612800</v>
      </c>
      <c r="G12" s="2">
        <f t="shared" si="5"/>
        <v>19600000</v>
      </c>
      <c r="H12" s="2">
        <f t="shared" si="0"/>
        <v>123012800</v>
      </c>
      <c r="I12" s="2">
        <f t="shared" si="1"/>
        <v>93622582.165280595</v>
      </c>
      <c r="J12" s="2"/>
      <c r="K12">
        <v>9</v>
      </c>
      <c r="L12" s="3">
        <f t="shared" si="7"/>
        <v>335332800</v>
      </c>
      <c r="M12" s="6">
        <f t="shared" si="6"/>
        <v>64168108.867200002</v>
      </c>
      <c r="N12" s="3">
        <f t="shared" si="2"/>
        <v>271164691.13279998</v>
      </c>
      <c r="O12" s="2">
        <f t="shared" si="3"/>
        <v>206378023.87965724</v>
      </c>
    </row>
    <row r="13" spans="1:15">
      <c r="A13" t="s">
        <v>20</v>
      </c>
      <c r="B13" s="1">
        <f>B5*B8</f>
        <v>19600000</v>
      </c>
      <c r="C13" s="1">
        <f>C5*C8</f>
        <v>5268000</v>
      </c>
      <c r="E13">
        <v>10</v>
      </c>
      <c r="F13" s="2">
        <f t="shared" si="4"/>
        <v>142612800</v>
      </c>
      <c r="G13" s="2">
        <f t="shared" si="5"/>
        <v>19600000</v>
      </c>
      <c r="H13" s="2">
        <f t="shared" si="0"/>
        <v>123012800</v>
      </c>
      <c r="I13" s="2">
        <f t="shared" si="1"/>
        <v>90825167.02103278</v>
      </c>
      <c r="J13" s="2"/>
      <c r="K13">
        <v>10</v>
      </c>
      <c r="L13" s="3">
        <f t="shared" si="7"/>
        <v>335332800</v>
      </c>
      <c r="M13" s="6">
        <f t="shared" si="6"/>
        <v>64168108.867200002</v>
      </c>
      <c r="N13" s="3">
        <f t="shared" si="2"/>
        <v>271164691.13279998</v>
      </c>
      <c r="O13" s="2">
        <f t="shared" si="3"/>
        <v>200211509.39043194</v>
      </c>
    </row>
    <row r="14" spans="1:15">
      <c r="A14" t="s">
        <v>21</v>
      </c>
      <c r="B14">
        <v>0.27</v>
      </c>
      <c r="C14">
        <v>0.27</v>
      </c>
      <c r="E14">
        <v>11</v>
      </c>
      <c r="F14" s="2">
        <f t="shared" si="4"/>
        <v>142612800</v>
      </c>
      <c r="G14" s="2">
        <f t="shared" si="5"/>
        <v>19600000</v>
      </c>
      <c r="H14" s="2">
        <f t="shared" si="0"/>
        <v>123012800</v>
      </c>
      <c r="I14" s="2">
        <f t="shared" si="1"/>
        <v>88111337.816291034</v>
      </c>
      <c r="J14" s="2"/>
      <c r="K14">
        <v>11</v>
      </c>
      <c r="L14" s="3">
        <f t="shared" si="7"/>
        <v>335332800</v>
      </c>
      <c r="M14" s="6">
        <f t="shared" si="6"/>
        <v>64168108.867200002</v>
      </c>
      <c r="N14" s="3">
        <f t="shared" si="2"/>
        <v>271164691.13279998</v>
      </c>
      <c r="O14" s="2">
        <f t="shared" si="3"/>
        <v>194229248.53553742</v>
      </c>
    </row>
    <row r="15" spans="1:15">
      <c r="A15" t="s">
        <v>22</v>
      </c>
      <c r="B15">
        <v>3.0800000000000001E-2</v>
      </c>
      <c r="C15" t="s">
        <v>23</v>
      </c>
      <c r="E15">
        <v>12</v>
      </c>
      <c r="F15" s="2">
        <f t="shared" si="4"/>
        <v>142612800</v>
      </c>
      <c r="G15" s="2">
        <f t="shared" si="5"/>
        <v>19600000</v>
      </c>
      <c r="H15" s="2">
        <f t="shared" si="0"/>
        <v>123012800</v>
      </c>
      <c r="I15" s="2">
        <f t="shared" si="1"/>
        <v>85478597.027833745</v>
      </c>
      <c r="J15" s="2"/>
      <c r="K15">
        <v>12</v>
      </c>
      <c r="L15" s="3">
        <f t="shared" si="7"/>
        <v>335332800</v>
      </c>
      <c r="M15" s="6">
        <f t="shared" si="6"/>
        <v>64168108.867200002</v>
      </c>
      <c r="N15" s="3">
        <f t="shared" si="2"/>
        <v>271164691.13279998</v>
      </c>
      <c r="O15" s="2">
        <f t="shared" si="3"/>
        <v>188425735.87071922</v>
      </c>
    </row>
    <row r="16" spans="1:15">
      <c r="A16" t="s">
        <v>24</v>
      </c>
      <c r="B16" t="s">
        <v>25</v>
      </c>
      <c r="E16">
        <v>13</v>
      </c>
      <c r="F16" s="2">
        <f t="shared" si="4"/>
        <v>142612800</v>
      </c>
      <c r="G16" s="2">
        <f t="shared" si="5"/>
        <v>19600000</v>
      </c>
      <c r="H16" s="2">
        <f t="shared" si="0"/>
        <v>123012800</v>
      </c>
      <c r="I16" s="2">
        <f t="shared" si="1"/>
        <v>82924521.757696688</v>
      </c>
      <c r="J16" s="2"/>
      <c r="K16">
        <v>13</v>
      </c>
      <c r="L16" s="3">
        <f t="shared" si="7"/>
        <v>335332800</v>
      </c>
      <c r="M16" s="6">
        <f t="shared" si="6"/>
        <v>64168108.867200002</v>
      </c>
      <c r="N16" s="3">
        <f t="shared" si="2"/>
        <v>271164691.13279998</v>
      </c>
      <c r="O16" s="2">
        <f t="shared" si="3"/>
        <v>182795630.45277381</v>
      </c>
    </row>
    <row r="17" spans="1:15">
      <c r="A17">
        <f>10.558/100</f>
        <v>0.10557999999999999</v>
      </c>
      <c r="B17" t="s">
        <v>26</v>
      </c>
      <c r="C17" t="s">
        <v>27</v>
      </c>
      <c r="E17">
        <v>14</v>
      </c>
      <c r="F17" s="2">
        <f t="shared" si="4"/>
        <v>142612800</v>
      </c>
      <c r="G17" s="2">
        <f t="shared" si="5"/>
        <v>19600000</v>
      </c>
      <c r="H17" s="2">
        <f t="shared" si="0"/>
        <v>123012800</v>
      </c>
      <c r="I17" s="2">
        <f t="shared" si="1"/>
        <v>80446761.503392205</v>
      </c>
      <c r="J17" s="2"/>
      <c r="K17">
        <v>14</v>
      </c>
      <c r="L17" s="3">
        <f t="shared" si="7"/>
        <v>335332800</v>
      </c>
      <c r="M17" s="6">
        <f t="shared" si="6"/>
        <v>64168108.867200002</v>
      </c>
      <c r="N17" s="3">
        <f t="shared" si="2"/>
        <v>271164691.13279998</v>
      </c>
      <c r="O17" s="2">
        <f t="shared" si="3"/>
        <v>177333750.9243052</v>
      </c>
    </row>
    <row r="18" spans="1:15">
      <c r="A18">
        <f>17.7694/100</f>
        <v>0.17769400000000002</v>
      </c>
      <c r="B18" t="s">
        <v>26</v>
      </c>
      <c r="C18" t="s">
        <v>28</v>
      </c>
      <c r="E18">
        <v>15</v>
      </c>
      <c r="F18" s="2">
        <f t="shared" si="4"/>
        <v>142612800</v>
      </c>
      <c r="G18" s="2">
        <f t="shared" si="5"/>
        <v>19600000</v>
      </c>
      <c r="H18" s="2">
        <f t="shared" si="0"/>
        <v>123012800</v>
      </c>
      <c r="I18" s="2">
        <f t="shared" si="1"/>
        <v>78043035.994753808</v>
      </c>
      <c r="J18" s="2"/>
      <c r="K18">
        <v>15</v>
      </c>
      <c r="L18" s="3">
        <f t="shared" si="7"/>
        <v>335332800</v>
      </c>
      <c r="M18" s="6">
        <f t="shared" si="6"/>
        <v>64168108.867200002</v>
      </c>
      <c r="N18" s="3">
        <f t="shared" si="2"/>
        <v>271164691.13279998</v>
      </c>
      <c r="O18" s="2">
        <f t="shared" si="3"/>
        <v>172035070.74534851</v>
      </c>
    </row>
    <row r="19" spans="1:15">
      <c r="E19">
        <v>16</v>
      </c>
      <c r="F19" s="2">
        <f t="shared" si="4"/>
        <v>142612800</v>
      </c>
      <c r="G19" s="2">
        <f t="shared" si="5"/>
        <v>19600000</v>
      </c>
      <c r="H19" s="2">
        <f t="shared" si="0"/>
        <v>123012800</v>
      </c>
      <c r="I19" s="2">
        <f t="shared" si="1"/>
        <v>75711133.095415011</v>
      </c>
      <c r="J19" s="2"/>
      <c r="K19">
        <v>16</v>
      </c>
      <c r="L19" s="3">
        <f t="shared" si="7"/>
        <v>335332800</v>
      </c>
      <c r="M19" s="6">
        <f t="shared" si="6"/>
        <v>64168108.867200002</v>
      </c>
      <c r="N19" s="3">
        <f t="shared" si="2"/>
        <v>271164691.13279998</v>
      </c>
      <c r="O19" s="2">
        <f t="shared" si="3"/>
        <v>166894713.56747037</v>
      </c>
    </row>
    <row r="20" spans="1:15">
      <c r="A20" t="s">
        <v>29</v>
      </c>
      <c r="B20">
        <v>33</v>
      </c>
      <c r="C20">
        <v>55</v>
      </c>
      <c r="E20">
        <v>17</v>
      </c>
      <c r="F20" s="2">
        <f t="shared" si="4"/>
        <v>142612800</v>
      </c>
      <c r="G20" s="2">
        <f t="shared" si="5"/>
        <v>19600000</v>
      </c>
      <c r="H20" s="2">
        <f t="shared" si="0"/>
        <v>123012800</v>
      </c>
      <c r="I20" s="2">
        <f t="shared" si="1"/>
        <v>73448906.76699166</v>
      </c>
      <c r="J20" s="2"/>
      <c r="K20">
        <v>17</v>
      </c>
      <c r="L20" s="3">
        <f t="shared" si="7"/>
        <v>335332800</v>
      </c>
      <c r="M20" s="6">
        <f t="shared" si="6"/>
        <v>64168108.867200002</v>
      </c>
      <c r="N20" s="3">
        <f t="shared" si="2"/>
        <v>271164691.13279998</v>
      </c>
      <c r="O20" s="2">
        <f t="shared" si="3"/>
        <v>161907948.7460908</v>
      </c>
    </row>
    <row r="21" spans="1:15">
      <c r="A21" t="s">
        <v>30</v>
      </c>
      <c r="B21">
        <v>165</v>
      </c>
      <c r="E21">
        <v>18</v>
      </c>
      <c r="F21" s="2">
        <f t="shared" si="4"/>
        <v>142612800</v>
      </c>
      <c r="G21" s="2">
        <f t="shared" si="5"/>
        <v>19600000</v>
      </c>
      <c r="H21" s="2">
        <f t="shared" si="0"/>
        <v>123012800</v>
      </c>
      <c r="I21" s="2">
        <f>H21/(1+$B$15)^E21</f>
        <v>71254275.094093591</v>
      </c>
      <c r="J21" s="2"/>
      <c r="K21">
        <v>18</v>
      </c>
      <c r="L21" s="3">
        <f t="shared" si="7"/>
        <v>335332800</v>
      </c>
      <c r="M21" s="6">
        <f t="shared" si="6"/>
        <v>64168108.867200002</v>
      </c>
      <c r="N21" s="3">
        <f t="shared" si="2"/>
        <v>271164691.13279998</v>
      </c>
      <c r="O21" s="2">
        <f t="shared" si="3"/>
        <v>157070186.98689446</v>
      </c>
    </row>
    <row r="22" spans="1:15">
      <c r="A22" t="s">
        <v>31</v>
      </c>
      <c r="B22">
        <v>5</v>
      </c>
      <c r="C22">
        <v>3</v>
      </c>
      <c r="E22">
        <v>19</v>
      </c>
      <c r="F22" s="2">
        <f t="shared" si="4"/>
        <v>142612800</v>
      </c>
      <c r="G22" s="2">
        <f t="shared" si="5"/>
        <v>19600000</v>
      </c>
      <c r="H22" s="2">
        <f t="shared" si="0"/>
        <v>123012800</v>
      </c>
      <c r="I22" s="2">
        <f t="shared" si="1"/>
        <v>69125218.368348464</v>
      </c>
      <c r="J22" s="2"/>
      <c r="K22">
        <v>19</v>
      </c>
      <c r="L22" s="3">
        <f t="shared" si="7"/>
        <v>335332800</v>
      </c>
      <c r="M22" s="6">
        <f t="shared" si="6"/>
        <v>64168108.867200002</v>
      </c>
      <c r="N22" s="3">
        <f t="shared" si="2"/>
        <v>271164691.13279998</v>
      </c>
      <c r="O22" s="2">
        <f t="shared" si="3"/>
        <v>152376976.12232679</v>
      </c>
    </row>
    <row r="23" spans="1:15">
      <c r="A23" t="s">
        <v>9</v>
      </c>
      <c r="B23" s="2">
        <f>I37</f>
        <v>1063578304.815076</v>
      </c>
      <c r="C23" s="2">
        <f>O59</f>
        <v>5538294688.8175802</v>
      </c>
      <c r="E23">
        <v>20</v>
      </c>
      <c r="F23" s="2">
        <f t="shared" si="4"/>
        <v>142612800</v>
      </c>
      <c r="G23" s="2">
        <f t="shared" si="5"/>
        <v>19600000</v>
      </c>
      <c r="H23" s="2">
        <f t="shared" si="0"/>
        <v>123012800</v>
      </c>
      <c r="I23" s="2">
        <f t="shared" si="1"/>
        <v>67059777.229674481</v>
      </c>
      <c r="J23" s="2"/>
      <c r="K23">
        <v>20</v>
      </c>
      <c r="L23" s="3">
        <f t="shared" si="7"/>
        <v>335332800</v>
      </c>
      <c r="M23" s="6">
        <f t="shared" si="6"/>
        <v>64168108.867200002</v>
      </c>
      <c r="N23" s="3">
        <f t="shared" si="2"/>
        <v>271164691.13279998</v>
      </c>
      <c r="O23" s="2">
        <f t="shared" si="3"/>
        <v>147823997.01428676</v>
      </c>
    </row>
    <row r="24" spans="1:15">
      <c r="A24" t="s">
        <v>32</v>
      </c>
      <c r="B24" s="2">
        <f>B23+B23/(1+B15)^33+B23/(1+B15)^(33*2)+B23/(1+B15)^(33*3)+B23/(1+B15)^(33*4)</f>
        <v>1670247777.9409926</v>
      </c>
      <c r="C24" s="2">
        <f>C23+C23/(1+B15)^55+C23/(1+B15)^110</f>
        <v>6779369458.600522</v>
      </c>
      <c r="E24">
        <v>21</v>
      </c>
      <c r="F24" s="2">
        <f t="shared" si="4"/>
        <v>142612800</v>
      </c>
      <c r="G24" s="2">
        <f t="shared" si="5"/>
        <v>19600000</v>
      </c>
      <c r="H24" s="2">
        <f t="shared" si="0"/>
        <v>123012800</v>
      </c>
      <c r="I24" s="2">
        <f t="shared" si="1"/>
        <v>65056050.863091268</v>
      </c>
      <c r="J24" s="2"/>
      <c r="K24">
        <v>21</v>
      </c>
      <c r="L24" s="3">
        <f t="shared" si="7"/>
        <v>335332800</v>
      </c>
      <c r="M24" s="6">
        <f t="shared" si="6"/>
        <v>64168108.867200002</v>
      </c>
      <c r="N24" s="3">
        <f t="shared" si="2"/>
        <v>271164691.13279998</v>
      </c>
      <c r="O24" s="2">
        <f t="shared" si="3"/>
        <v>143407059.57924598</v>
      </c>
    </row>
    <row r="25" spans="1:15">
      <c r="A25" t="s">
        <v>33</v>
      </c>
      <c r="B25" s="8">
        <f>MIRR(H3:H36,B15,B15)</f>
        <v>5.1933674093792126E-2</v>
      </c>
      <c r="C25" s="8">
        <f>MIRR(N3:N58,B15,B15)</f>
        <v>8.4216927073386127E-2</v>
      </c>
      <c r="E25">
        <v>22</v>
      </c>
      <c r="F25" s="2">
        <f t="shared" si="4"/>
        <v>142612800</v>
      </c>
      <c r="G25" s="2">
        <f t="shared" si="5"/>
        <v>19600000</v>
      </c>
      <c r="H25" s="2">
        <f t="shared" si="0"/>
        <v>123012800</v>
      </c>
      <c r="I25" s="2">
        <f t="shared" si="1"/>
        <v>63112195.249409452</v>
      </c>
      <c r="J25" s="2"/>
      <c r="K25">
        <v>22</v>
      </c>
      <c r="L25" s="3">
        <f t="shared" si="7"/>
        <v>335332800</v>
      </c>
      <c r="M25" s="6">
        <f t="shared" si="6"/>
        <v>64168108.867200002</v>
      </c>
      <c r="N25" s="3">
        <f t="shared" si="2"/>
        <v>271164691.13279998</v>
      </c>
      <c r="O25" s="2">
        <f t="shared" si="3"/>
        <v>139122098.93213618</v>
      </c>
    </row>
    <row r="26" spans="1:15">
      <c r="E26">
        <v>23</v>
      </c>
      <c r="F26" s="2">
        <f t="shared" si="4"/>
        <v>142612800</v>
      </c>
      <c r="G26" s="2">
        <f t="shared" si="5"/>
        <v>19600000</v>
      </c>
      <c r="H26" s="2">
        <f t="shared" si="0"/>
        <v>123012800</v>
      </c>
      <c r="I26" s="2">
        <f t="shared" si="1"/>
        <v>61226421.46818924</v>
      </c>
      <c r="J26" s="2"/>
      <c r="K26">
        <v>23</v>
      </c>
      <c r="L26" s="3">
        <f t="shared" si="7"/>
        <v>335332800</v>
      </c>
      <c r="M26" s="6">
        <f t="shared" si="6"/>
        <v>64168108.867200002</v>
      </c>
      <c r="N26" s="3">
        <f t="shared" si="2"/>
        <v>271164691.13279998</v>
      </c>
      <c r="O26" s="2">
        <f t="shared" si="3"/>
        <v>134965171.64545617</v>
      </c>
    </row>
    <row r="27" spans="1:15">
      <c r="E27">
        <v>24</v>
      </c>
      <c r="F27" s="2">
        <f t="shared" si="4"/>
        <v>142612800</v>
      </c>
      <c r="G27" s="2">
        <f t="shared" si="5"/>
        <v>19600000</v>
      </c>
      <c r="H27" s="2">
        <f t="shared" si="0"/>
        <v>123012800</v>
      </c>
      <c r="I27" s="2">
        <f t="shared" si="1"/>
        <v>59396994.051405929</v>
      </c>
      <c r="J27" s="2"/>
      <c r="K27">
        <v>24</v>
      </c>
      <c r="L27" s="3">
        <f t="shared" si="7"/>
        <v>335332800</v>
      </c>
      <c r="M27" s="6">
        <f t="shared" si="6"/>
        <v>64168108.867200002</v>
      </c>
      <c r="N27" s="3">
        <f t="shared" si="2"/>
        <v>271164691.13279998</v>
      </c>
      <c r="O27" s="2">
        <f t="shared" si="3"/>
        <v>130932452.12015535</v>
      </c>
    </row>
    <row r="28" spans="1:15">
      <c r="E28">
        <v>25</v>
      </c>
      <c r="F28" s="2">
        <f t="shared" si="4"/>
        <v>142612800</v>
      </c>
      <c r="G28" s="2">
        <f t="shared" si="5"/>
        <v>19600000</v>
      </c>
      <c r="H28" s="2">
        <f t="shared" si="0"/>
        <v>123012800</v>
      </c>
      <c r="I28" s="2">
        <f t="shared" si="1"/>
        <v>57622229.386307657</v>
      </c>
      <c r="J28" s="2"/>
      <c r="K28">
        <v>25</v>
      </c>
      <c r="L28" s="3">
        <f t="shared" si="7"/>
        <v>335332800</v>
      </c>
      <c r="M28" s="6">
        <f t="shared" si="6"/>
        <v>64168108.867200002</v>
      </c>
      <c r="N28" s="3">
        <f t="shared" si="2"/>
        <v>271164691.13279998</v>
      </c>
      <c r="O28" s="2">
        <f t="shared" si="3"/>
        <v>127020229.06495476</v>
      </c>
    </row>
    <row r="29" spans="1:15">
      <c r="E29">
        <v>26</v>
      </c>
      <c r="F29" s="2">
        <f t="shared" si="4"/>
        <v>142612800</v>
      </c>
      <c r="G29" s="2">
        <f t="shared" si="5"/>
        <v>19600000</v>
      </c>
      <c r="H29" s="2">
        <f t="shared" si="0"/>
        <v>123012800</v>
      </c>
      <c r="I29" s="2">
        <f t="shared" si="1"/>
        <v>55900494.165995009</v>
      </c>
      <c r="J29" s="2"/>
      <c r="K29">
        <v>26</v>
      </c>
      <c r="L29" s="3">
        <f t="shared" si="7"/>
        <v>335332800</v>
      </c>
      <c r="M29" s="6">
        <f t="shared" si="6"/>
        <v>64168108.867200002</v>
      </c>
      <c r="N29" s="3">
        <f t="shared" si="2"/>
        <v>271164691.13279998</v>
      </c>
      <c r="O29" s="2">
        <f t="shared" si="3"/>
        <v>123224902.08086413</v>
      </c>
    </row>
    <row r="30" spans="1:15">
      <c r="E30">
        <v>27</v>
      </c>
      <c r="F30" s="2">
        <f t="shared" si="4"/>
        <v>142612800</v>
      </c>
      <c r="G30" s="2">
        <f t="shared" si="5"/>
        <v>19600000</v>
      </c>
      <c r="H30" s="2">
        <f t="shared" si="0"/>
        <v>123012800</v>
      </c>
      <c r="I30" s="2">
        <f t="shared" si="1"/>
        <v>54230203.886297069</v>
      </c>
      <c r="J30" s="2"/>
      <c r="K30">
        <v>27</v>
      </c>
      <c r="L30" s="3">
        <f t="shared" si="7"/>
        <v>335332800</v>
      </c>
      <c r="M30" s="6">
        <f t="shared" si="6"/>
        <v>64168108.867200002</v>
      </c>
      <c r="N30" s="3">
        <f t="shared" si="2"/>
        <v>271164691.13279998</v>
      </c>
      <c r="O30" s="2">
        <f t="shared" si="3"/>
        <v>119542978.34775336</v>
      </c>
    </row>
    <row r="31" spans="1:15">
      <c r="E31">
        <v>28</v>
      </c>
      <c r="F31" s="2">
        <f t="shared" si="4"/>
        <v>142612800</v>
      </c>
      <c r="G31" s="2">
        <f t="shared" si="5"/>
        <v>19600000</v>
      </c>
      <c r="H31" s="2">
        <f t="shared" si="0"/>
        <v>123012800</v>
      </c>
      <c r="I31" s="2">
        <f t="shared" si="1"/>
        <v>52609821.387560204</v>
      </c>
      <c r="J31" s="2"/>
      <c r="K31">
        <v>28</v>
      </c>
      <c r="L31" s="3">
        <f t="shared" si="7"/>
        <v>335332800</v>
      </c>
      <c r="M31" s="6">
        <f t="shared" si="6"/>
        <v>64168108.867200002</v>
      </c>
      <c r="N31" s="3">
        <f t="shared" si="2"/>
        <v>271164691.13279998</v>
      </c>
      <c r="O31" s="2">
        <f t="shared" si="3"/>
        <v>115971069.40992756</v>
      </c>
    </row>
    <row r="32" spans="1:15">
      <c r="E32">
        <v>29</v>
      </c>
      <c r="F32" s="2">
        <f t="shared" si="4"/>
        <v>142612800</v>
      </c>
      <c r="G32" s="2">
        <f t="shared" si="5"/>
        <v>19600000</v>
      </c>
      <c r="H32" s="2">
        <f t="shared" si="0"/>
        <v>123012800</v>
      </c>
      <c r="I32" s="2">
        <f t="shared" si="1"/>
        <v>51037855.440007962</v>
      </c>
      <c r="J32" s="2"/>
      <c r="K32">
        <v>29</v>
      </c>
      <c r="L32" s="3">
        <f t="shared" si="7"/>
        <v>335332800</v>
      </c>
      <c r="M32" s="6">
        <f t="shared" si="6"/>
        <v>64168108.867200002</v>
      </c>
      <c r="N32" s="3">
        <f t="shared" si="2"/>
        <v>271164691.13279998</v>
      </c>
      <c r="O32" s="2">
        <f t="shared" si="3"/>
        <v>112505888.0577489</v>
      </c>
    </row>
    <row r="33" spans="5:15">
      <c r="E33">
        <v>30</v>
      </c>
      <c r="F33" s="2">
        <f t="shared" si="4"/>
        <v>142612800</v>
      </c>
      <c r="G33" s="2">
        <f t="shared" si="5"/>
        <v>19600000</v>
      </c>
      <c r="H33" s="2">
        <f t="shared" si="0"/>
        <v>123012800</v>
      </c>
      <c r="I33" s="2">
        <f t="shared" si="1"/>
        <v>49512859.371369772</v>
      </c>
      <c r="J33" s="2"/>
      <c r="K33">
        <v>30</v>
      </c>
      <c r="L33" s="3">
        <f t="shared" si="7"/>
        <v>335332800</v>
      </c>
      <c r="M33" s="6">
        <f t="shared" si="6"/>
        <v>64168108.867200002</v>
      </c>
      <c r="N33" s="3">
        <f t="shared" si="2"/>
        <v>271164691.13279998</v>
      </c>
      <c r="O33" s="2">
        <f t="shared" si="3"/>
        <v>109144245.30243394</v>
      </c>
    </row>
    <row r="34" spans="5:15">
      <c r="E34">
        <v>31</v>
      </c>
      <c r="F34" s="2">
        <f t="shared" si="4"/>
        <v>142612800</v>
      </c>
      <c r="G34" s="2">
        <f t="shared" si="5"/>
        <v>19600000</v>
      </c>
      <c r="H34" s="2">
        <f t="shared" si="0"/>
        <v>123012800</v>
      </c>
      <c r="I34" s="2">
        <f t="shared" si="1"/>
        <v>48033429.735515893</v>
      </c>
      <c r="J34" s="2"/>
      <c r="K34">
        <v>31</v>
      </c>
      <c r="L34" s="3">
        <f t="shared" si="7"/>
        <v>335332800</v>
      </c>
      <c r="M34" s="6">
        <f t="shared" si="6"/>
        <v>64168108.867200002</v>
      </c>
      <c r="N34" s="3">
        <f t="shared" si="2"/>
        <v>271164691.13279998</v>
      </c>
      <c r="O34" s="2">
        <f t="shared" si="3"/>
        <v>105883047.44124365</v>
      </c>
    </row>
    <row r="35" spans="5:15">
      <c r="E35">
        <v>32</v>
      </c>
      <c r="F35" s="2">
        <f t="shared" si="4"/>
        <v>142612800</v>
      </c>
      <c r="G35" s="2">
        <f t="shared" si="5"/>
        <v>19600000</v>
      </c>
      <c r="H35" s="2">
        <f t="shared" si="0"/>
        <v>123012800</v>
      </c>
      <c r="I35" s="2">
        <f t="shared" si="1"/>
        <v>46598205.020872988</v>
      </c>
      <c r="J35" s="2"/>
      <c r="K35">
        <v>32</v>
      </c>
      <c r="L35" s="3">
        <f t="shared" si="7"/>
        <v>335332800</v>
      </c>
      <c r="M35" s="6">
        <f t="shared" si="6"/>
        <v>64168108.867200002</v>
      </c>
      <c r="N35" s="3">
        <f t="shared" si="2"/>
        <v>271164691.13279998</v>
      </c>
      <c r="O35" s="2">
        <f t="shared" si="3"/>
        <v>102719293.2103644</v>
      </c>
    </row>
    <row r="36" spans="5:15">
      <c r="E36">
        <v>33</v>
      </c>
      <c r="F36" s="2">
        <f t="shared" si="4"/>
        <v>142612800</v>
      </c>
      <c r="G36" s="2">
        <f t="shared" si="5"/>
        <v>19600000</v>
      </c>
      <c r="H36" s="2">
        <f t="shared" si="0"/>
        <v>123012800</v>
      </c>
      <c r="I36" s="2">
        <f t="shared" si="1"/>
        <v>45205864.397432089</v>
      </c>
      <c r="J36" s="2"/>
      <c r="K36">
        <v>33</v>
      </c>
      <c r="L36" s="3">
        <f t="shared" si="7"/>
        <v>335332800</v>
      </c>
      <c r="M36" s="6">
        <f t="shared" si="6"/>
        <v>64168108.867200002</v>
      </c>
      <c r="N36" s="3">
        <f t="shared" si="2"/>
        <v>271164691.13279998</v>
      </c>
      <c r="O36" s="2">
        <f t="shared" si="3"/>
        <v>99650071.022860318</v>
      </c>
    </row>
    <row r="37" spans="5:15">
      <c r="G37" s="2"/>
      <c r="H37" s="2"/>
      <c r="I37" s="2">
        <f>SUM(I3:I36)</f>
        <v>1063578304.815076</v>
      </c>
      <c r="K37">
        <v>34</v>
      </c>
      <c r="L37" s="3">
        <f t="shared" si="7"/>
        <v>335332800</v>
      </c>
      <c r="M37" s="6">
        <f t="shared" si="6"/>
        <v>64168108.867200002</v>
      </c>
      <c r="N37" s="3">
        <f t="shared" si="2"/>
        <v>271164691.13279998</v>
      </c>
      <c r="O37" s="2">
        <f t="shared" si="3"/>
        <v>96672556.289154366</v>
      </c>
    </row>
    <row r="38" spans="5:15">
      <c r="G38" s="2"/>
      <c r="H38" s="2"/>
      <c r="I38" s="2"/>
      <c r="K38">
        <v>35</v>
      </c>
      <c r="L38" s="3">
        <f t="shared" si="7"/>
        <v>335332800</v>
      </c>
      <c r="M38" s="6">
        <f t="shared" si="6"/>
        <v>64168108.867200002</v>
      </c>
      <c r="N38" s="3">
        <f t="shared" si="2"/>
        <v>271164691.13279998</v>
      </c>
      <c r="O38" s="2">
        <f t="shared" si="3"/>
        <v>93784008.817573115</v>
      </c>
    </row>
    <row r="39" spans="5:15">
      <c r="G39" s="2"/>
      <c r="H39" s="2"/>
      <c r="I39" s="2"/>
      <c r="K39">
        <v>36</v>
      </c>
      <c r="L39" s="3">
        <f t="shared" si="7"/>
        <v>335332800</v>
      </c>
      <c r="M39" s="6">
        <f t="shared" si="6"/>
        <v>64168108.867200002</v>
      </c>
      <c r="N39" s="3">
        <f t="shared" si="2"/>
        <v>271164691.13279998</v>
      </c>
      <c r="O39" s="2">
        <f t="shared" si="3"/>
        <v>90981770.292562187</v>
      </c>
    </row>
    <row r="40" spans="5:15">
      <c r="G40" s="2"/>
      <c r="H40" s="2"/>
      <c r="I40" s="2"/>
      <c r="K40">
        <v>37</v>
      </c>
      <c r="L40" s="3">
        <f t="shared" si="7"/>
        <v>335332800</v>
      </c>
      <c r="M40" s="6">
        <f t="shared" si="6"/>
        <v>64168108.867200002</v>
      </c>
      <c r="N40" s="3">
        <f t="shared" si="2"/>
        <v>271164691.13279998</v>
      </c>
      <c r="O40" s="2">
        <f t="shared" si="3"/>
        <v>88263261.828252032</v>
      </c>
    </row>
    <row r="41" spans="5:15">
      <c r="G41" s="2"/>
      <c r="H41" s="2"/>
      <c r="I41" s="2"/>
      <c r="K41">
        <v>38</v>
      </c>
      <c r="L41" s="3">
        <f t="shared" si="7"/>
        <v>335332800</v>
      </c>
      <c r="M41" s="6">
        <f t="shared" ref="M41:M58" si="8">$C$13+$C$6*$A$17*$C$10</f>
        <v>64168108.867200002</v>
      </c>
      <c r="N41" s="3">
        <f t="shared" si="2"/>
        <v>271164691.13279998</v>
      </c>
      <c r="O41" s="2">
        <f t="shared" si="3"/>
        <v>85625981.595122263</v>
      </c>
    </row>
    <row r="42" spans="5:15">
      <c r="G42" s="2"/>
      <c r="H42" s="2"/>
      <c r="I42" s="2"/>
      <c r="K42">
        <v>39</v>
      </c>
      <c r="L42" s="3">
        <f t="shared" si="7"/>
        <v>335332800</v>
      </c>
      <c r="M42" s="6">
        <f t="shared" si="8"/>
        <v>64168108.867200002</v>
      </c>
      <c r="N42" s="3">
        <f t="shared" si="2"/>
        <v>271164691.13279998</v>
      </c>
      <c r="O42" s="2">
        <f t="shared" si="3"/>
        <v>83067502.517580792</v>
      </c>
    </row>
    <row r="43" spans="5:15">
      <c r="G43" s="2"/>
      <c r="H43" s="2"/>
      <c r="I43" s="2"/>
      <c r="K43">
        <v>40</v>
      </c>
      <c r="L43" s="3">
        <f t="shared" si="7"/>
        <v>335332800</v>
      </c>
      <c r="M43" s="6">
        <f t="shared" si="8"/>
        <v>64168108.867200002</v>
      </c>
      <c r="N43" s="3">
        <f t="shared" si="2"/>
        <v>271164691.13279998</v>
      </c>
      <c r="O43" s="2">
        <f t="shared" si="3"/>
        <v>80585470.040338352</v>
      </c>
    </row>
    <row r="44" spans="5:15">
      <c r="G44" s="2"/>
      <c r="H44" s="2"/>
      <c r="I44" s="2"/>
      <c r="K44">
        <v>41</v>
      </c>
      <c r="L44" s="3">
        <f t="shared" si="7"/>
        <v>335332800</v>
      </c>
      <c r="M44" s="6">
        <f t="shared" si="8"/>
        <v>64168108.867200002</v>
      </c>
      <c r="N44" s="3">
        <f t="shared" si="2"/>
        <v>271164691.13279998</v>
      </c>
      <c r="O44" s="2">
        <f t="shared" si="3"/>
        <v>78177599.961523429</v>
      </c>
    </row>
    <row r="45" spans="5:15">
      <c r="G45" s="2"/>
      <c r="H45" s="2"/>
      <c r="I45" s="2"/>
      <c r="K45">
        <v>42</v>
      </c>
      <c r="L45" s="3">
        <f t="shared" si="7"/>
        <v>335332800</v>
      </c>
      <c r="M45" s="6">
        <f t="shared" si="8"/>
        <v>64168108.867200002</v>
      </c>
      <c r="N45" s="3">
        <f t="shared" si="2"/>
        <v>271164691.13279998</v>
      </c>
      <c r="O45" s="2">
        <f t="shared" si="3"/>
        <v>75841676.330542728</v>
      </c>
    </row>
    <row r="46" spans="5:15">
      <c r="G46" s="2"/>
      <c r="H46" s="2"/>
      <c r="I46" s="2"/>
      <c r="K46">
        <v>43</v>
      </c>
      <c r="L46" s="3">
        <f t="shared" si="7"/>
        <v>335332800</v>
      </c>
      <c r="M46" s="6">
        <f t="shared" si="8"/>
        <v>64168108.867200002</v>
      </c>
      <c r="N46" s="3">
        <f t="shared" si="2"/>
        <v>271164691.13279998</v>
      </c>
      <c r="O46" s="2">
        <f t="shared" si="3"/>
        <v>73575549.408753142</v>
      </c>
    </row>
    <row r="47" spans="5:15">
      <c r="G47" s="2"/>
      <c r="H47" s="2"/>
      <c r="I47" s="2"/>
      <c r="K47">
        <v>44</v>
      </c>
      <c r="L47" s="3">
        <f t="shared" si="7"/>
        <v>335332800</v>
      </c>
      <c r="M47" s="6">
        <f t="shared" si="8"/>
        <v>64168108.867200002</v>
      </c>
      <c r="N47" s="3">
        <f t="shared" si="2"/>
        <v>271164691.13279998</v>
      </c>
      <c r="O47" s="2">
        <f t="shared" si="3"/>
        <v>71377133.691068232</v>
      </c>
    </row>
    <row r="48" spans="5:15">
      <c r="G48" s="2"/>
      <c r="H48" s="2"/>
      <c r="I48" s="2"/>
      <c r="K48">
        <v>45</v>
      </c>
      <c r="L48" s="3">
        <f t="shared" si="7"/>
        <v>335332800</v>
      </c>
      <c r="M48" s="6">
        <f t="shared" si="8"/>
        <v>64168108.867200002</v>
      </c>
      <c r="N48" s="3">
        <f t="shared" si="2"/>
        <v>271164691.13279998</v>
      </c>
      <c r="O48" s="2">
        <f t="shared" si="3"/>
        <v>69244405.986678526</v>
      </c>
    </row>
    <row r="49" spans="7:15">
      <c r="G49" s="2"/>
      <c r="H49" s="2"/>
      <c r="I49" s="2"/>
      <c r="K49">
        <v>46</v>
      </c>
      <c r="L49" s="3">
        <f t="shared" si="7"/>
        <v>335332800</v>
      </c>
      <c r="M49" s="6">
        <f t="shared" si="8"/>
        <v>64168108.867200002</v>
      </c>
      <c r="N49" s="3">
        <f t="shared" si="2"/>
        <v>271164691.13279998</v>
      </c>
      <c r="O49" s="2">
        <f t="shared" si="3"/>
        <v>67175403.55711925</v>
      </c>
    </row>
    <row r="50" spans="7:15">
      <c r="G50" s="2"/>
      <c r="H50" s="2"/>
      <c r="I50" s="2"/>
      <c r="K50">
        <v>47</v>
      </c>
      <c r="L50" s="3">
        <f t="shared" si="7"/>
        <v>335332800</v>
      </c>
      <c r="M50" s="6">
        <f t="shared" si="8"/>
        <v>64168108.867200002</v>
      </c>
      <c r="N50" s="3">
        <f t="shared" si="2"/>
        <v>271164691.13279998</v>
      </c>
      <c r="O50" s="2">
        <f t="shared" si="3"/>
        <v>65168222.30997213</v>
      </c>
    </row>
    <row r="51" spans="7:15">
      <c r="G51" s="2"/>
      <c r="H51" s="2"/>
      <c r="I51" s="2"/>
      <c r="K51">
        <v>48</v>
      </c>
      <c r="L51" s="3">
        <f t="shared" si="7"/>
        <v>335332800</v>
      </c>
      <c r="M51" s="6">
        <f t="shared" si="8"/>
        <v>64168108.867200002</v>
      </c>
      <c r="N51" s="3">
        <f t="shared" si="2"/>
        <v>271164691.13279998</v>
      </c>
      <c r="O51" s="2">
        <f t="shared" si="3"/>
        <v>63221015.046538711</v>
      </c>
    </row>
    <row r="52" spans="7:15">
      <c r="G52" s="2"/>
      <c r="H52" s="2"/>
      <c r="I52" s="2"/>
      <c r="K52">
        <v>49</v>
      </c>
      <c r="L52" s="3">
        <f t="shared" si="7"/>
        <v>335332800</v>
      </c>
      <c r="M52" s="6">
        <f t="shared" si="8"/>
        <v>64168108.867200002</v>
      </c>
      <c r="N52" s="3">
        <f t="shared" si="2"/>
        <v>271164691.13279998</v>
      </c>
      <c r="O52" s="2">
        <f t="shared" si="3"/>
        <v>61331989.761873037</v>
      </c>
    </row>
    <row r="53" spans="7:15">
      <c r="G53" s="2"/>
      <c r="H53" s="2"/>
      <c r="I53" s="2"/>
      <c r="K53">
        <v>50</v>
      </c>
      <c r="L53" s="3">
        <f t="shared" si="7"/>
        <v>335332800</v>
      </c>
      <c r="M53" s="6">
        <f t="shared" si="8"/>
        <v>64168108.867200002</v>
      </c>
      <c r="N53" s="3">
        <f t="shared" si="2"/>
        <v>271164691.13279998</v>
      </c>
      <c r="O53" s="2">
        <f t="shared" si="3"/>
        <v>59499407.995608293</v>
      </c>
    </row>
    <row r="54" spans="7:15">
      <c r="G54" s="2"/>
      <c r="H54" s="2"/>
      <c r="I54" s="2"/>
      <c r="K54">
        <v>51</v>
      </c>
      <c r="L54" s="3">
        <f t="shared" si="7"/>
        <v>335332800</v>
      </c>
      <c r="M54" s="6">
        <f t="shared" si="8"/>
        <v>64168108.867200002</v>
      </c>
      <c r="N54" s="3">
        <f t="shared" si="2"/>
        <v>271164691.13279998</v>
      </c>
      <c r="O54" s="2">
        <f t="shared" si="3"/>
        <v>57721583.232060835</v>
      </c>
    </row>
    <row r="55" spans="7:15">
      <c r="G55" s="2"/>
      <c r="H55" s="2"/>
      <c r="I55" s="2"/>
      <c r="K55">
        <v>52</v>
      </c>
      <c r="L55" s="3">
        <f t="shared" si="7"/>
        <v>335332800</v>
      </c>
      <c r="M55" s="6">
        <f t="shared" si="8"/>
        <v>64168108.867200002</v>
      </c>
      <c r="N55" s="3">
        <f t="shared" si="2"/>
        <v>271164691.13279998</v>
      </c>
      <c r="O55" s="2">
        <f t="shared" si="3"/>
        <v>55996879.348138176</v>
      </c>
    </row>
    <row r="56" spans="7:15">
      <c r="G56" s="2"/>
      <c r="H56" s="2"/>
      <c r="I56" s="2"/>
      <c r="K56">
        <v>53</v>
      </c>
      <c r="L56" s="3">
        <f t="shared" si="7"/>
        <v>335332800</v>
      </c>
      <c r="M56" s="6">
        <f t="shared" si="8"/>
        <v>64168108.867200002</v>
      </c>
      <c r="N56" s="3">
        <f t="shared" si="2"/>
        <v>271164691.13279998</v>
      </c>
      <c r="O56" s="2">
        <f t="shared" si="3"/>
        <v>54323709.107623376</v>
      </c>
    </row>
    <row r="57" spans="7:15">
      <c r="G57" s="2"/>
      <c r="H57" s="2"/>
      <c r="I57" s="2"/>
      <c r="K57">
        <v>54</v>
      </c>
      <c r="L57" s="3">
        <f t="shared" si="7"/>
        <v>335332800</v>
      </c>
      <c r="M57" s="6">
        <f t="shared" si="8"/>
        <v>64168108.867200002</v>
      </c>
      <c r="N57" s="3">
        <f t="shared" si="2"/>
        <v>271164691.13279998</v>
      </c>
      <c r="O57" s="2">
        <f t="shared" si="3"/>
        <v>52700532.700449519</v>
      </c>
    </row>
    <row r="58" spans="7:15">
      <c r="G58" s="2"/>
      <c r="H58" s="2"/>
      <c r="I58" s="2"/>
      <c r="K58">
        <v>55</v>
      </c>
      <c r="L58" s="3">
        <f t="shared" si="7"/>
        <v>335332800</v>
      </c>
      <c r="M58" s="6">
        <f t="shared" si="8"/>
        <v>64168108.867200002</v>
      </c>
      <c r="N58" s="3">
        <f t="shared" si="2"/>
        <v>271164691.13279998</v>
      </c>
      <c r="O58" s="2">
        <f t="shared" si="3"/>
        <v>51125856.325620428</v>
      </c>
    </row>
    <row r="59" spans="7:15">
      <c r="G59" s="2"/>
      <c r="H59" s="2"/>
      <c r="I59" s="2"/>
      <c r="O59" s="2">
        <f>SUM(O3:O58)</f>
        <v>5538294688.8175802</v>
      </c>
    </row>
    <row r="60" spans="7:15">
      <c r="G60" s="2"/>
      <c r="H60" s="2"/>
      <c r="I60" s="2"/>
    </row>
    <row r="61" spans="7:15">
      <c r="G61" s="2"/>
      <c r="H61" s="2"/>
      <c r="I61" s="2"/>
    </row>
    <row r="62" spans="7:15">
      <c r="G62" s="2"/>
      <c r="H62" s="2"/>
      <c r="I62" s="2"/>
    </row>
    <row r="63" spans="7:15">
      <c r="G63" s="2"/>
      <c r="H63" s="2"/>
      <c r="I63" s="2"/>
    </row>
    <row r="64" spans="7:15">
      <c r="G64" s="2"/>
      <c r="H64" s="2"/>
      <c r="I64" s="2"/>
    </row>
    <row r="65" spans="7:9">
      <c r="G65" s="2"/>
      <c r="H65" s="2"/>
      <c r="I65" s="2"/>
    </row>
    <row r="66" spans="7:9">
      <c r="G66" s="2"/>
      <c r="H66" s="2"/>
      <c r="I66" s="2"/>
    </row>
    <row r="67" spans="7:9">
      <c r="G67" s="2"/>
      <c r="H67" s="2"/>
      <c r="I67" s="2"/>
    </row>
    <row r="68" spans="7:9">
      <c r="G68" s="2"/>
      <c r="H68" s="2"/>
      <c r="I68" s="2"/>
    </row>
    <row r="69" spans="7:9">
      <c r="G69" s="2"/>
      <c r="H69" s="2"/>
      <c r="I69" s="2"/>
    </row>
    <row r="70" spans="7:9">
      <c r="G70" s="2"/>
      <c r="H70" s="2"/>
      <c r="I7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B43A-8066-4E8C-9C0A-4FF5A2A900F0}">
  <dimension ref="A1:Y169"/>
  <sheetViews>
    <sheetView topLeftCell="A26" workbookViewId="0" xr3:uid="{77F244E6-492A-5133-A734-6BB9BB697AC2}">
      <selection activeCell="C38" sqref="A32:C38"/>
    </sheetView>
  </sheetViews>
  <sheetFormatPr defaultRowHeight="15"/>
  <cols>
    <col min="1" max="1" width="19.140625" customWidth="1"/>
    <col min="2" max="2" width="18" customWidth="1"/>
    <col min="3" max="3" width="21" customWidth="1"/>
    <col min="6" max="6" width="15.85546875" style="2" bestFit="1" customWidth="1"/>
    <col min="7" max="7" width="17.5703125" bestFit="1" customWidth="1"/>
    <col min="8" max="8" width="18.5703125" bestFit="1" customWidth="1"/>
    <col min="9" max="12" width="18.5703125" customWidth="1"/>
    <col min="13" max="13" width="18.5703125" style="2" customWidth="1"/>
    <col min="14" max="14" width="18.5703125" bestFit="1" customWidth="1"/>
    <col min="17" max="17" width="15.140625" bestFit="1" customWidth="1"/>
    <col min="18" max="18" width="16.28515625" bestFit="1" customWidth="1"/>
    <col min="19" max="23" width="20.85546875" customWidth="1"/>
    <col min="24" max="24" width="20.85546875" style="11" customWidth="1"/>
    <col min="25" max="25" width="17.5703125" customWidth="1"/>
  </cols>
  <sheetData>
    <row r="1" spans="1:25">
      <c r="A1" t="s">
        <v>0</v>
      </c>
      <c r="B1" t="s">
        <v>1</v>
      </c>
      <c r="C1" t="s">
        <v>2</v>
      </c>
      <c r="E1" t="s">
        <v>3</v>
      </c>
      <c r="N1" s="2"/>
    </row>
    <row r="2" spans="1:25">
      <c r="A2" t="s">
        <v>4</v>
      </c>
      <c r="B2">
        <v>3</v>
      </c>
      <c r="C2">
        <v>5</v>
      </c>
      <c r="E2" t="s">
        <v>5</v>
      </c>
      <c r="F2" s="2" t="s">
        <v>34</v>
      </c>
      <c r="G2" t="s">
        <v>7</v>
      </c>
      <c r="H2" t="s">
        <v>48</v>
      </c>
      <c r="I2" t="s">
        <v>49</v>
      </c>
      <c r="J2" t="s">
        <v>50</v>
      </c>
      <c r="K2" t="s">
        <v>51</v>
      </c>
      <c r="L2" t="s">
        <v>35</v>
      </c>
      <c r="M2" s="2" t="s">
        <v>36</v>
      </c>
      <c r="N2" t="s">
        <v>9</v>
      </c>
      <c r="P2" t="s">
        <v>5</v>
      </c>
      <c r="Q2" t="s">
        <v>6</v>
      </c>
      <c r="R2" t="s">
        <v>7</v>
      </c>
      <c r="S2" t="s">
        <v>48</v>
      </c>
      <c r="T2" t="s">
        <v>49</v>
      </c>
      <c r="U2" t="s">
        <v>50</v>
      </c>
      <c r="V2" t="s">
        <v>51</v>
      </c>
      <c r="W2" t="s">
        <v>35</v>
      </c>
      <c r="X2" s="11" t="s">
        <v>36</v>
      </c>
      <c r="Y2" t="s">
        <v>9</v>
      </c>
    </row>
    <row r="3" spans="1:25">
      <c r="A3" t="s">
        <v>10</v>
      </c>
      <c r="B3">
        <v>30</v>
      </c>
      <c r="C3">
        <v>50</v>
      </c>
      <c r="E3">
        <v>0</v>
      </c>
      <c r="F3" s="2">
        <v>0</v>
      </c>
      <c r="G3" s="2">
        <f>B12</f>
        <v>1115200000</v>
      </c>
      <c r="H3" s="2">
        <f t="shared" ref="H3:H66" si="0">$F3-$G3</f>
        <v>-1115200000</v>
      </c>
      <c r="I3" s="2"/>
      <c r="J3" s="2"/>
      <c r="K3" s="2"/>
      <c r="L3" s="2">
        <v>0</v>
      </c>
      <c r="M3" s="2">
        <f t="shared" ref="M3" si="1">H3</f>
        <v>-1115200000</v>
      </c>
      <c r="N3" s="2">
        <f t="shared" ref="N3:N34" si="2">M3/((1+$B$16)^E3)</f>
        <v>-1115200000</v>
      </c>
      <c r="O3" s="2"/>
      <c r="P3">
        <v>0</v>
      </c>
      <c r="Q3" s="7">
        <v>0</v>
      </c>
      <c r="R3" s="7">
        <f>C12</f>
        <v>366800000</v>
      </c>
      <c r="S3" s="7">
        <f t="shared" ref="S3:S66" si="3">Q3-R3</f>
        <v>-366800000</v>
      </c>
      <c r="T3" s="7"/>
      <c r="U3" s="7"/>
      <c r="V3" s="7"/>
      <c r="W3" s="7">
        <f>V3*$B$15</f>
        <v>0</v>
      </c>
      <c r="X3" s="11">
        <f t="shared" ref="X3" si="4">S3</f>
        <v>-366800000</v>
      </c>
      <c r="Y3" s="7">
        <f t="shared" ref="Y3:Y34" si="5">X3/((1+$B$16)^P3)</f>
        <v>-366800000</v>
      </c>
    </row>
    <row r="4" spans="1:25">
      <c r="A4" t="s">
        <v>11</v>
      </c>
      <c r="B4" s="1">
        <v>2788000</v>
      </c>
      <c r="C4" s="1">
        <v>917000</v>
      </c>
      <c r="E4">
        <v>1</v>
      </c>
      <c r="F4" s="2">
        <v>0</v>
      </c>
      <c r="G4" s="2">
        <v>0</v>
      </c>
      <c r="H4" s="2">
        <f t="shared" si="0"/>
        <v>0</v>
      </c>
      <c r="I4" s="2">
        <f>-H3</f>
        <v>1115200000</v>
      </c>
      <c r="J4" s="2">
        <f t="shared" ref="J4:J67" si="6">I4*0.3</f>
        <v>334560000</v>
      </c>
      <c r="K4" s="2">
        <f t="shared" ref="K4:K67" si="7">H4-J4</f>
        <v>-334560000</v>
      </c>
      <c r="L4" s="2">
        <f>K4*$B$15</f>
        <v>-90331200</v>
      </c>
      <c r="M4" s="2">
        <f>IF(L4&lt;0,H4,H4-L4)</f>
        <v>0</v>
      </c>
      <c r="N4" s="2">
        <f t="shared" si="2"/>
        <v>0</v>
      </c>
      <c r="O4" s="2"/>
      <c r="P4">
        <v>1</v>
      </c>
      <c r="Q4" s="7">
        <v>0</v>
      </c>
      <c r="R4" s="7">
        <v>0</v>
      </c>
      <c r="S4" s="7">
        <f t="shared" si="3"/>
        <v>0</v>
      </c>
      <c r="T4" s="7">
        <f>-S3</f>
        <v>366800000</v>
      </c>
      <c r="U4" s="7">
        <f t="shared" ref="U4:U35" si="8">T4*$B$29</f>
        <v>91700000</v>
      </c>
      <c r="V4" s="7">
        <f t="shared" ref="V4:V67" si="9">S4-U4</f>
        <v>-91700000</v>
      </c>
      <c r="W4" s="7">
        <f>V4*$B$15+W3</f>
        <v>-24759000</v>
      </c>
      <c r="X4" s="11">
        <f>IF(W4&lt;0,S4,S4-W4)</f>
        <v>0</v>
      </c>
      <c r="Y4" s="7">
        <f t="shared" si="5"/>
        <v>0</v>
      </c>
    </row>
    <row r="5" spans="1:25">
      <c r="A5" t="s">
        <v>12</v>
      </c>
      <c r="B5" s="1">
        <v>49000</v>
      </c>
      <c r="C5" s="1">
        <v>13170</v>
      </c>
      <c r="E5">
        <v>2</v>
      </c>
      <c r="F5" s="2">
        <v>0</v>
      </c>
      <c r="G5" s="2">
        <v>0</v>
      </c>
      <c r="H5" s="2">
        <f t="shared" si="0"/>
        <v>0</v>
      </c>
      <c r="I5" s="2">
        <f t="shared" ref="I5:I36" si="10">I4-J4</f>
        <v>780640000</v>
      </c>
      <c r="J5" s="2">
        <f t="shared" si="6"/>
        <v>234192000</v>
      </c>
      <c r="K5" s="2">
        <f t="shared" si="7"/>
        <v>-234192000</v>
      </c>
      <c r="L5" s="2">
        <f t="shared" ref="L5:L36" si="11">IF(L4&lt;0,K5*$B$15+L4,K5*$B$15)</f>
        <v>-153563040</v>
      </c>
      <c r="M5" s="2">
        <f t="shared" ref="M5:M68" si="12">IF(L5&lt;0,H5,H5-L5)</f>
        <v>0</v>
      </c>
      <c r="N5" s="2">
        <f t="shared" si="2"/>
        <v>0</v>
      </c>
      <c r="O5" s="2"/>
      <c r="P5">
        <v>2</v>
      </c>
      <c r="Q5" s="7">
        <v>0</v>
      </c>
      <c r="R5" s="7">
        <v>0</v>
      </c>
      <c r="S5" s="7">
        <f t="shared" si="3"/>
        <v>0</v>
      </c>
      <c r="T5" s="7">
        <f>T4-U4</f>
        <v>275100000</v>
      </c>
      <c r="U5" s="7">
        <f t="shared" si="8"/>
        <v>68775000</v>
      </c>
      <c r="V5" s="7">
        <f t="shared" si="9"/>
        <v>-68775000</v>
      </c>
      <c r="W5" s="7">
        <f t="shared" ref="W5:W36" si="13">IF(W4&lt;0,V5*$B$15+W4,V5*$B$15)</f>
        <v>-43328250</v>
      </c>
      <c r="X5" s="11">
        <f t="shared" ref="X5:X68" si="14">IF(W5&lt;0,S5,S5-W5)</f>
        <v>0</v>
      </c>
      <c r="Y5" s="7">
        <f t="shared" si="5"/>
        <v>0</v>
      </c>
    </row>
    <row r="6" spans="1:25">
      <c r="A6" t="s">
        <v>13</v>
      </c>
      <c r="B6">
        <v>0</v>
      </c>
      <c r="C6">
        <v>183</v>
      </c>
      <c r="E6">
        <v>3</v>
      </c>
      <c r="F6" s="2">
        <v>0</v>
      </c>
      <c r="G6" s="2">
        <v>0</v>
      </c>
      <c r="H6" s="2">
        <f t="shared" si="0"/>
        <v>0</v>
      </c>
      <c r="I6" s="2">
        <f t="shared" si="10"/>
        <v>546448000</v>
      </c>
      <c r="J6" s="2">
        <f t="shared" si="6"/>
        <v>163934400</v>
      </c>
      <c r="K6" s="2">
        <f t="shared" si="7"/>
        <v>-163934400</v>
      </c>
      <c r="L6" s="2">
        <f t="shared" si="11"/>
        <v>-197825328</v>
      </c>
      <c r="M6" s="2">
        <f t="shared" si="12"/>
        <v>0</v>
      </c>
      <c r="N6" s="2">
        <f t="shared" si="2"/>
        <v>0</v>
      </c>
      <c r="O6" s="2"/>
      <c r="P6">
        <v>3</v>
      </c>
      <c r="Q6" s="7">
        <v>0</v>
      </c>
      <c r="R6" s="7">
        <v>0</v>
      </c>
      <c r="S6" s="7">
        <f t="shared" si="3"/>
        <v>0</v>
      </c>
      <c r="T6" s="7">
        <f t="shared" ref="T6:T58" si="15">T5-U5</f>
        <v>206325000</v>
      </c>
      <c r="U6" s="7">
        <f t="shared" si="8"/>
        <v>51581250</v>
      </c>
      <c r="V6" s="7">
        <f t="shared" si="9"/>
        <v>-51581250</v>
      </c>
      <c r="W6" s="7">
        <f t="shared" si="13"/>
        <v>-57255187.5</v>
      </c>
      <c r="X6" s="11">
        <f t="shared" si="14"/>
        <v>0</v>
      </c>
      <c r="Y6" s="7">
        <f t="shared" si="5"/>
        <v>0</v>
      </c>
    </row>
    <row r="7" spans="1:25">
      <c r="A7" t="s">
        <v>14</v>
      </c>
      <c r="B7">
        <v>0.37</v>
      </c>
      <c r="C7">
        <v>0.87</v>
      </c>
      <c r="E7">
        <v>4</v>
      </c>
      <c r="F7" s="2">
        <f t="shared" ref="F7:F36" si="16">$B$11</f>
        <v>324120000</v>
      </c>
      <c r="G7" s="2">
        <f t="shared" ref="G7:G35" si="17">$B$13</f>
        <v>19600000</v>
      </c>
      <c r="H7" s="2">
        <f t="shared" si="0"/>
        <v>304520000</v>
      </c>
      <c r="I7" s="2">
        <f t="shared" si="10"/>
        <v>382513600</v>
      </c>
      <c r="J7" s="2">
        <f t="shared" si="6"/>
        <v>114754080</v>
      </c>
      <c r="K7" s="2">
        <f t="shared" si="7"/>
        <v>189765920</v>
      </c>
      <c r="L7" s="2">
        <f t="shared" si="11"/>
        <v>-146588529.59999999</v>
      </c>
      <c r="M7" s="2">
        <f t="shared" si="12"/>
        <v>304520000</v>
      </c>
      <c r="N7" s="2">
        <f t="shared" si="2"/>
        <v>269723124.28932798</v>
      </c>
      <c r="O7" s="2"/>
      <c r="P7">
        <v>4</v>
      </c>
      <c r="Q7" s="7">
        <v>0</v>
      </c>
      <c r="R7" s="7">
        <v>0</v>
      </c>
      <c r="S7" s="7">
        <f t="shared" si="3"/>
        <v>0</v>
      </c>
      <c r="T7" s="7">
        <f t="shared" si="15"/>
        <v>154743750</v>
      </c>
      <c r="U7" s="7">
        <f t="shared" si="8"/>
        <v>38685937.5</v>
      </c>
      <c r="V7" s="7">
        <f t="shared" si="9"/>
        <v>-38685937.5</v>
      </c>
      <c r="W7" s="7">
        <f t="shared" si="13"/>
        <v>-67700390.625</v>
      </c>
      <c r="X7" s="11">
        <f t="shared" si="14"/>
        <v>0</v>
      </c>
      <c r="Y7" s="7">
        <f t="shared" si="5"/>
        <v>0</v>
      </c>
    </row>
    <row r="8" spans="1:25">
      <c r="A8" t="s">
        <v>15</v>
      </c>
      <c r="B8">
        <v>400</v>
      </c>
      <c r="C8">
        <v>400</v>
      </c>
      <c r="E8">
        <v>5</v>
      </c>
      <c r="F8" s="2">
        <f t="shared" si="16"/>
        <v>324120000</v>
      </c>
      <c r="G8" s="2">
        <f t="shared" si="17"/>
        <v>19600000</v>
      </c>
      <c r="H8" s="2">
        <f t="shared" si="0"/>
        <v>304520000</v>
      </c>
      <c r="I8" s="2">
        <f t="shared" si="10"/>
        <v>267759520</v>
      </c>
      <c r="J8" s="2">
        <f t="shared" si="6"/>
        <v>80327856</v>
      </c>
      <c r="K8" s="2">
        <f t="shared" si="7"/>
        <v>224192144</v>
      </c>
      <c r="L8" s="2">
        <f t="shared" si="11"/>
        <v>-86056650.719999999</v>
      </c>
      <c r="M8" s="2">
        <f t="shared" si="12"/>
        <v>304520000</v>
      </c>
      <c r="N8" s="2">
        <f t="shared" si="2"/>
        <v>261663876.88138142</v>
      </c>
      <c r="O8" s="2"/>
      <c r="P8">
        <v>5</v>
      </c>
      <c r="Q8" s="7">
        <v>0</v>
      </c>
      <c r="R8" s="7">
        <v>0</v>
      </c>
      <c r="S8" s="7">
        <f t="shared" si="3"/>
        <v>0</v>
      </c>
      <c r="T8" s="7">
        <f t="shared" si="15"/>
        <v>116057812.5</v>
      </c>
      <c r="U8" s="7">
        <f t="shared" si="8"/>
        <v>29014453.125</v>
      </c>
      <c r="V8" s="7">
        <f t="shared" si="9"/>
        <v>-29014453.125</v>
      </c>
      <c r="W8" s="7">
        <f t="shared" si="13"/>
        <v>-75534292.96875</v>
      </c>
      <c r="X8" s="11">
        <f t="shared" si="14"/>
        <v>0</v>
      </c>
      <c r="Y8" s="7">
        <f t="shared" si="5"/>
        <v>0</v>
      </c>
    </row>
    <row r="9" spans="1:25">
      <c r="A9" t="s">
        <v>16</v>
      </c>
      <c r="B9" s="1">
        <f>A31</f>
        <v>250</v>
      </c>
      <c r="C9" s="1">
        <f>B9</f>
        <v>250</v>
      </c>
      <c r="E9">
        <v>6</v>
      </c>
      <c r="F9" s="2">
        <f t="shared" si="16"/>
        <v>324120000</v>
      </c>
      <c r="G9" s="2">
        <f t="shared" si="17"/>
        <v>19600000</v>
      </c>
      <c r="H9" s="2">
        <f t="shared" si="0"/>
        <v>304520000</v>
      </c>
      <c r="I9" s="2">
        <f t="shared" si="10"/>
        <v>187431664</v>
      </c>
      <c r="J9" s="2">
        <f t="shared" si="6"/>
        <v>56229499.199999996</v>
      </c>
      <c r="K9" s="2">
        <f t="shared" si="7"/>
        <v>248290500.80000001</v>
      </c>
      <c r="L9" s="2">
        <f t="shared" si="11"/>
        <v>-19018215.503999993</v>
      </c>
      <c r="M9" s="2">
        <f t="shared" si="12"/>
        <v>304520000</v>
      </c>
      <c r="N9" s="2">
        <f t="shared" si="2"/>
        <v>253845437.4091787</v>
      </c>
      <c r="O9" s="2"/>
      <c r="P9">
        <v>6</v>
      </c>
      <c r="Q9" s="3">
        <f t="shared" ref="Q9:Q58" si="18">$C$11</f>
        <v>762120000</v>
      </c>
      <c r="R9" s="6">
        <f>$C$13+$C$6*$A$18*$C$10+50*'Carbon Tax'!$B$6</f>
        <v>131999782.44834734</v>
      </c>
      <c r="S9" s="3">
        <f t="shared" si="3"/>
        <v>630120217.55165267</v>
      </c>
      <c r="T9" s="7">
        <f t="shared" si="15"/>
        <v>87043359.375</v>
      </c>
      <c r="U9" s="7">
        <f t="shared" si="8"/>
        <v>21760839.84375</v>
      </c>
      <c r="V9" s="7">
        <f t="shared" si="9"/>
        <v>608359377.70790267</v>
      </c>
      <c r="W9" s="7">
        <f t="shared" si="13"/>
        <v>88722739.012383729</v>
      </c>
      <c r="X9" s="11">
        <f t="shared" si="14"/>
        <v>541397478.53926897</v>
      </c>
      <c r="Y9" s="7">
        <f t="shared" si="5"/>
        <v>451304609.72030467</v>
      </c>
    </row>
    <row r="10" spans="1:25">
      <c r="A10" t="s">
        <v>17</v>
      </c>
      <c r="B10">
        <f>365*24*B8*B7</f>
        <v>1296480</v>
      </c>
      <c r="C10">
        <f>365*24*C8*C7</f>
        <v>3048480</v>
      </c>
      <c r="E10">
        <v>7</v>
      </c>
      <c r="F10" s="2">
        <f t="shared" si="16"/>
        <v>324120000</v>
      </c>
      <c r="G10" s="2">
        <f t="shared" si="17"/>
        <v>19600000</v>
      </c>
      <c r="H10" s="2">
        <f t="shared" si="0"/>
        <v>304520000</v>
      </c>
      <c r="I10" s="2">
        <f t="shared" si="10"/>
        <v>131202164.80000001</v>
      </c>
      <c r="J10" s="2">
        <f t="shared" si="6"/>
        <v>39360649.440000005</v>
      </c>
      <c r="K10" s="2">
        <f t="shared" si="7"/>
        <v>265159350.56</v>
      </c>
      <c r="L10" s="2">
        <f t="shared" si="11"/>
        <v>52574809.147200018</v>
      </c>
      <c r="M10" s="2">
        <f t="shared" si="12"/>
        <v>251945190.85279998</v>
      </c>
      <c r="N10" s="2">
        <f t="shared" si="2"/>
        <v>203744176.20453066</v>
      </c>
      <c r="O10" s="2"/>
      <c r="P10">
        <v>7</v>
      </c>
      <c r="Q10" s="3">
        <f t="shared" si="18"/>
        <v>762120000</v>
      </c>
      <c r="R10" s="6">
        <f>$C$13+$C$6*$A$18*$C$10+50*'Carbon Tax'!$B$6</f>
        <v>131999782.44834734</v>
      </c>
      <c r="S10" s="3">
        <f t="shared" si="3"/>
        <v>630120217.55165267</v>
      </c>
      <c r="T10" s="7">
        <f t="shared" si="15"/>
        <v>65282519.53125</v>
      </c>
      <c r="U10" s="7">
        <f t="shared" si="8"/>
        <v>16320629.8828125</v>
      </c>
      <c r="V10" s="7">
        <f t="shared" si="9"/>
        <v>613799587.66884017</v>
      </c>
      <c r="W10" s="7">
        <f t="shared" si="13"/>
        <v>165725888.67058685</v>
      </c>
      <c r="X10" s="11">
        <f t="shared" si="14"/>
        <v>464394328.88106585</v>
      </c>
      <c r="Y10" s="7">
        <f t="shared" si="5"/>
        <v>375548505.814542</v>
      </c>
    </row>
    <row r="11" spans="1:25">
      <c r="A11" t="s">
        <v>18</v>
      </c>
      <c r="B11" s="1">
        <f>B10*B9</f>
        <v>324120000</v>
      </c>
      <c r="C11" s="3">
        <f>C10*C9</f>
        <v>762120000</v>
      </c>
      <c r="E11">
        <v>8</v>
      </c>
      <c r="F11" s="2">
        <f t="shared" si="16"/>
        <v>324120000</v>
      </c>
      <c r="G11" s="2">
        <f t="shared" si="17"/>
        <v>19600000</v>
      </c>
      <c r="H11" s="2">
        <f t="shared" si="0"/>
        <v>304520000</v>
      </c>
      <c r="I11" s="2">
        <f t="shared" si="10"/>
        <v>91841515.360000014</v>
      </c>
      <c r="J11" s="2">
        <f t="shared" si="6"/>
        <v>27552454.608000003</v>
      </c>
      <c r="K11" s="2">
        <f t="shared" si="7"/>
        <v>276967545.39200002</v>
      </c>
      <c r="L11" s="2">
        <f t="shared" si="11"/>
        <v>74781237.255840003</v>
      </c>
      <c r="M11" s="2">
        <f t="shared" si="12"/>
        <v>229738762.74416</v>
      </c>
      <c r="N11" s="2">
        <f t="shared" si="2"/>
        <v>180234945.19485146</v>
      </c>
      <c r="O11" s="2"/>
      <c r="P11">
        <v>8</v>
      </c>
      <c r="Q11" s="3">
        <f t="shared" si="18"/>
        <v>762120000</v>
      </c>
      <c r="R11" s="6">
        <f>$C$13+$C$6*$A$18*$C$10+50*'Carbon Tax'!$B$6</f>
        <v>131999782.44834734</v>
      </c>
      <c r="S11" s="3">
        <f t="shared" si="3"/>
        <v>630120217.55165267</v>
      </c>
      <c r="T11" s="7">
        <f t="shared" si="15"/>
        <v>48961889.6484375</v>
      </c>
      <c r="U11" s="7">
        <f t="shared" si="8"/>
        <v>12240472.412109375</v>
      </c>
      <c r="V11" s="7">
        <f t="shared" si="9"/>
        <v>617879745.13954329</v>
      </c>
      <c r="W11" s="7">
        <f t="shared" si="13"/>
        <v>166827531.1876767</v>
      </c>
      <c r="X11" s="11">
        <f t="shared" si="14"/>
        <v>463292686.363976</v>
      </c>
      <c r="Y11" s="7">
        <f t="shared" si="5"/>
        <v>363462965.23314655</v>
      </c>
    </row>
    <row r="12" spans="1:25">
      <c r="A12" t="s">
        <v>19</v>
      </c>
      <c r="B12" s="2">
        <f>B4*B8</f>
        <v>1115200000</v>
      </c>
      <c r="C12" s="3">
        <f>C4*C8</f>
        <v>366800000</v>
      </c>
      <c r="E12">
        <v>9</v>
      </c>
      <c r="F12" s="2">
        <f t="shared" si="16"/>
        <v>324120000</v>
      </c>
      <c r="G12" s="2">
        <f t="shared" si="17"/>
        <v>19600000</v>
      </c>
      <c r="H12" s="2">
        <f t="shared" si="0"/>
        <v>304520000</v>
      </c>
      <c r="I12" s="2">
        <f t="shared" si="10"/>
        <v>64289060.752000012</v>
      </c>
      <c r="J12" s="2">
        <f t="shared" si="6"/>
        <v>19286718.225600004</v>
      </c>
      <c r="K12" s="2">
        <f t="shared" si="7"/>
        <v>285233281.7744</v>
      </c>
      <c r="L12" s="2">
        <f t="shared" si="11"/>
        <v>77012986.079088002</v>
      </c>
      <c r="M12" s="2">
        <f t="shared" si="12"/>
        <v>227507013.920912</v>
      </c>
      <c r="N12" s="2">
        <f t="shared" si="2"/>
        <v>173151038.78611183</v>
      </c>
      <c r="O12" s="2"/>
      <c r="P12">
        <v>9</v>
      </c>
      <c r="Q12" s="3">
        <f t="shared" si="18"/>
        <v>762120000</v>
      </c>
      <c r="R12" s="6">
        <f>$C$13+$C$6*$A$18*$C$10+50*'Carbon Tax'!$B$6</f>
        <v>131999782.44834734</v>
      </c>
      <c r="S12" s="3">
        <f t="shared" si="3"/>
        <v>630120217.55165267</v>
      </c>
      <c r="T12" s="7">
        <f t="shared" si="15"/>
        <v>36721417.236328125</v>
      </c>
      <c r="U12" s="7">
        <f t="shared" si="8"/>
        <v>9180354.3090820313</v>
      </c>
      <c r="V12" s="7">
        <f t="shared" si="9"/>
        <v>620939863.24257064</v>
      </c>
      <c r="W12" s="7">
        <f t="shared" si="13"/>
        <v>167653763.07549408</v>
      </c>
      <c r="X12" s="11">
        <f t="shared" si="14"/>
        <v>462466454.47615862</v>
      </c>
      <c r="Y12" s="7">
        <f t="shared" si="5"/>
        <v>351973970.45575869</v>
      </c>
    </row>
    <row r="13" spans="1:25">
      <c r="A13" t="s">
        <v>20</v>
      </c>
      <c r="B13" s="1">
        <f>B5*B8</f>
        <v>19600000</v>
      </c>
      <c r="C13" s="1">
        <f>C5*C8</f>
        <v>5268000</v>
      </c>
      <c r="E13">
        <v>10</v>
      </c>
      <c r="F13" s="2">
        <f t="shared" si="16"/>
        <v>324120000</v>
      </c>
      <c r="G13" s="2">
        <f t="shared" si="17"/>
        <v>19600000</v>
      </c>
      <c r="H13" s="2">
        <f t="shared" si="0"/>
        <v>304520000</v>
      </c>
      <c r="I13" s="2">
        <f t="shared" si="10"/>
        <v>45002342.526400007</v>
      </c>
      <c r="J13" s="2">
        <f t="shared" si="6"/>
        <v>13500702.757920003</v>
      </c>
      <c r="K13" s="2">
        <f t="shared" si="7"/>
        <v>291019297.24207997</v>
      </c>
      <c r="L13" s="2">
        <f t="shared" si="11"/>
        <v>78575210.255361602</v>
      </c>
      <c r="M13" s="2">
        <f t="shared" si="12"/>
        <v>225944789.74463838</v>
      </c>
      <c r="N13" s="2">
        <f t="shared" si="2"/>
        <v>166823885.53133428</v>
      </c>
      <c r="O13" s="2"/>
      <c r="P13">
        <v>10</v>
      </c>
      <c r="Q13" s="3">
        <f t="shared" si="18"/>
        <v>762120000</v>
      </c>
      <c r="R13" s="6">
        <f>$C$13+$C$6*$A$18*$C$10+50*'Carbon Tax'!$B$6</f>
        <v>131999782.44834734</v>
      </c>
      <c r="S13" s="3">
        <f t="shared" si="3"/>
        <v>630120217.55165267</v>
      </c>
      <c r="T13" s="7">
        <f t="shared" si="15"/>
        <v>27541062.927246094</v>
      </c>
      <c r="U13" s="7">
        <f t="shared" si="8"/>
        <v>6885265.7318115234</v>
      </c>
      <c r="V13" s="7">
        <f t="shared" si="9"/>
        <v>623234951.81984115</v>
      </c>
      <c r="W13" s="7">
        <f t="shared" si="13"/>
        <v>168273436.99135712</v>
      </c>
      <c r="X13" s="11">
        <f t="shared" si="14"/>
        <v>461846780.56029558</v>
      </c>
      <c r="Y13" s="7">
        <f t="shared" si="5"/>
        <v>340999562.50500047</v>
      </c>
    </row>
    <row r="14" spans="1:25">
      <c r="E14">
        <v>11</v>
      </c>
      <c r="F14" s="2">
        <f t="shared" si="16"/>
        <v>324120000</v>
      </c>
      <c r="G14" s="2">
        <f t="shared" si="17"/>
        <v>19600000</v>
      </c>
      <c r="H14" s="2">
        <f t="shared" si="0"/>
        <v>304520000</v>
      </c>
      <c r="I14" s="2">
        <f t="shared" si="10"/>
        <v>31501639.768480003</v>
      </c>
      <c r="J14" s="2">
        <f t="shared" si="6"/>
        <v>9450491.9305440001</v>
      </c>
      <c r="K14" s="2">
        <f t="shared" si="7"/>
        <v>295069508.06945598</v>
      </c>
      <c r="L14" s="2">
        <f t="shared" si="11"/>
        <v>79668767.178753123</v>
      </c>
      <c r="M14" s="2">
        <f t="shared" si="12"/>
        <v>224851232.82124686</v>
      </c>
      <c r="N14" s="2">
        <f t="shared" si="2"/>
        <v>161055946.48298705</v>
      </c>
      <c r="O14" s="2"/>
      <c r="P14">
        <v>11</v>
      </c>
      <c r="Q14" s="3">
        <f t="shared" si="18"/>
        <v>762120000</v>
      </c>
      <c r="R14" s="6">
        <f>$C$13+$C$6*$A$18*$C$10+50*'Carbon Tax'!$B$6</f>
        <v>131999782.44834734</v>
      </c>
      <c r="S14" s="3">
        <f t="shared" si="3"/>
        <v>630120217.55165267</v>
      </c>
      <c r="T14" s="7">
        <f t="shared" si="15"/>
        <v>20655797.19543457</v>
      </c>
      <c r="U14" s="7">
        <f t="shared" si="8"/>
        <v>5163949.2988586426</v>
      </c>
      <c r="V14" s="7">
        <f t="shared" si="9"/>
        <v>624956268.25279403</v>
      </c>
      <c r="W14" s="7">
        <f t="shared" si="13"/>
        <v>168738192.4282544</v>
      </c>
      <c r="X14" s="11">
        <f t="shared" si="14"/>
        <v>461382025.1233983</v>
      </c>
      <c r="Y14" s="7">
        <f t="shared" si="5"/>
        <v>330477702.14166516</v>
      </c>
    </row>
    <row r="15" spans="1:25">
      <c r="A15" t="s">
        <v>21</v>
      </c>
      <c r="B15">
        <v>0.27</v>
      </c>
      <c r="C15">
        <v>0.27</v>
      </c>
      <c r="E15">
        <v>12</v>
      </c>
      <c r="F15" s="2">
        <f t="shared" si="16"/>
        <v>324120000</v>
      </c>
      <c r="G15" s="2">
        <f t="shared" si="17"/>
        <v>19600000</v>
      </c>
      <c r="H15" s="2">
        <f t="shared" si="0"/>
        <v>304520000</v>
      </c>
      <c r="I15" s="2">
        <f t="shared" si="10"/>
        <v>22051147.837936003</v>
      </c>
      <c r="J15" s="2">
        <f t="shared" si="6"/>
        <v>6615344.3513808008</v>
      </c>
      <c r="K15" s="2">
        <f t="shared" si="7"/>
        <v>297904655.64861917</v>
      </c>
      <c r="L15" s="2">
        <f t="shared" si="11"/>
        <v>80434257.025127187</v>
      </c>
      <c r="M15" s="2">
        <f t="shared" si="12"/>
        <v>224085742.97487283</v>
      </c>
      <c r="N15" s="2">
        <f t="shared" si="2"/>
        <v>155711722.06007734</v>
      </c>
      <c r="O15" s="2"/>
      <c r="P15">
        <v>12</v>
      </c>
      <c r="Q15" s="3">
        <f t="shared" si="18"/>
        <v>762120000</v>
      </c>
      <c r="R15" s="6">
        <f>$C$13+$C$6*$A$18*$C$10+50*'Carbon Tax'!$B$6</f>
        <v>131999782.44834734</v>
      </c>
      <c r="S15" s="3">
        <f t="shared" si="3"/>
        <v>630120217.55165267</v>
      </c>
      <c r="T15" s="7">
        <f t="shared" si="15"/>
        <v>15491847.896575928</v>
      </c>
      <c r="U15" s="7">
        <f t="shared" si="8"/>
        <v>3872961.9741439819</v>
      </c>
      <c r="V15" s="7">
        <f t="shared" si="9"/>
        <v>626247255.57750869</v>
      </c>
      <c r="W15" s="7">
        <f t="shared" si="13"/>
        <v>169086759.00592735</v>
      </c>
      <c r="X15" s="11">
        <f t="shared" si="14"/>
        <v>461033458.54572535</v>
      </c>
      <c r="Y15" s="7">
        <f t="shared" si="5"/>
        <v>320360915.44439721</v>
      </c>
    </row>
    <row r="16" spans="1:25">
      <c r="A16" t="s">
        <v>22</v>
      </c>
      <c r="B16">
        <v>3.0800000000000001E-2</v>
      </c>
      <c r="E16">
        <v>13</v>
      </c>
      <c r="F16" s="2">
        <f t="shared" si="16"/>
        <v>324120000</v>
      </c>
      <c r="G16" s="2">
        <f t="shared" si="17"/>
        <v>19600000</v>
      </c>
      <c r="H16" s="2">
        <f t="shared" si="0"/>
        <v>304520000</v>
      </c>
      <c r="I16" s="2">
        <f t="shared" si="10"/>
        <v>15435803.486555202</v>
      </c>
      <c r="J16" s="2">
        <f t="shared" si="6"/>
        <v>4630741.04596656</v>
      </c>
      <c r="K16" s="2">
        <f t="shared" si="7"/>
        <v>299889258.95403343</v>
      </c>
      <c r="L16" s="2">
        <f t="shared" si="11"/>
        <v>80970099.917589039</v>
      </c>
      <c r="M16" s="2">
        <f t="shared" si="12"/>
        <v>223549900.08241096</v>
      </c>
      <c r="N16" s="2">
        <f t="shared" si="2"/>
        <v>150697883.09277415</v>
      </c>
      <c r="O16" s="2"/>
      <c r="P16">
        <v>13</v>
      </c>
      <c r="Q16" s="3">
        <f t="shared" si="18"/>
        <v>762120000</v>
      </c>
      <c r="R16" s="6">
        <f>$C$13+$C$6*$A$18*$C$10+50*'Carbon Tax'!$B$6</f>
        <v>131999782.44834734</v>
      </c>
      <c r="S16" s="3">
        <f t="shared" si="3"/>
        <v>630120217.55165267</v>
      </c>
      <c r="T16" s="7">
        <f t="shared" si="15"/>
        <v>11618885.922431946</v>
      </c>
      <c r="U16" s="7">
        <f t="shared" si="8"/>
        <v>2904721.4806079865</v>
      </c>
      <c r="V16" s="7">
        <f t="shared" si="9"/>
        <v>627215496.07104468</v>
      </c>
      <c r="W16" s="7">
        <f t="shared" si="13"/>
        <v>169348183.93918207</v>
      </c>
      <c r="X16" s="11">
        <f t="shared" si="14"/>
        <v>460772033.61247063</v>
      </c>
      <c r="Y16" s="7">
        <f t="shared" si="5"/>
        <v>310612395.83714432</v>
      </c>
    </row>
    <row r="17" spans="1:25">
      <c r="A17" t="s">
        <v>24</v>
      </c>
      <c r="B17" t="s">
        <v>25</v>
      </c>
      <c r="E17">
        <v>14</v>
      </c>
      <c r="F17" s="2">
        <f t="shared" si="16"/>
        <v>324120000</v>
      </c>
      <c r="G17" s="2">
        <f t="shared" si="17"/>
        <v>19600000</v>
      </c>
      <c r="H17" s="2">
        <f t="shared" si="0"/>
        <v>304520000</v>
      </c>
      <c r="I17" s="2">
        <f t="shared" si="10"/>
        <v>10805062.440588642</v>
      </c>
      <c r="J17" s="2">
        <f t="shared" si="6"/>
        <v>3241518.7321765926</v>
      </c>
      <c r="K17" s="2">
        <f t="shared" si="7"/>
        <v>301278481.2678234</v>
      </c>
      <c r="L17" s="2">
        <f t="shared" si="11"/>
        <v>81345189.94231233</v>
      </c>
      <c r="M17" s="2">
        <f t="shared" si="12"/>
        <v>223174810.05768767</v>
      </c>
      <c r="N17" s="2">
        <f t="shared" si="2"/>
        <v>145949776.91976491</v>
      </c>
      <c r="O17" s="2"/>
      <c r="P17">
        <v>14</v>
      </c>
      <c r="Q17" s="3">
        <f t="shared" si="18"/>
        <v>762120000</v>
      </c>
      <c r="R17" s="6">
        <f>$C$13+$C$6*$A$18*$C$10+50*'Carbon Tax'!$B$6</f>
        <v>131999782.44834734</v>
      </c>
      <c r="S17" s="3">
        <f t="shared" si="3"/>
        <v>630120217.55165267</v>
      </c>
      <c r="T17" s="7">
        <f t="shared" si="15"/>
        <v>8714164.4418239594</v>
      </c>
      <c r="U17" s="7">
        <f t="shared" si="8"/>
        <v>2178541.1104559898</v>
      </c>
      <c r="V17" s="7">
        <f t="shared" si="9"/>
        <v>627941676.44119668</v>
      </c>
      <c r="W17" s="7">
        <f t="shared" si="13"/>
        <v>169544252.63912311</v>
      </c>
      <c r="X17" s="11">
        <f t="shared" si="14"/>
        <v>460575964.91252959</v>
      </c>
      <c r="Y17" s="7">
        <f t="shared" si="5"/>
        <v>301203165.87796557</v>
      </c>
    </row>
    <row r="18" spans="1:25">
      <c r="A18">
        <f>A19</f>
        <v>0.17769400000000002</v>
      </c>
      <c r="B18" t="s">
        <v>54</v>
      </c>
      <c r="E18">
        <v>15</v>
      </c>
      <c r="F18" s="2">
        <f t="shared" si="16"/>
        <v>324120000</v>
      </c>
      <c r="G18" s="2">
        <f t="shared" si="17"/>
        <v>19600000</v>
      </c>
      <c r="H18" s="2">
        <f t="shared" si="0"/>
        <v>304520000</v>
      </c>
      <c r="I18" s="2">
        <f t="shared" si="10"/>
        <v>7563543.7084120493</v>
      </c>
      <c r="J18" s="2">
        <f t="shared" si="6"/>
        <v>2269063.1125236149</v>
      </c>
      <c r="K18" s="2">
        <f t="shared" si="7"/>
        <v>302250936.88747638</v>
      </c>
      <c r="L18" s="2">
        <f t="shared" si="11"/>
        <v>81607752.959618628</v>
      </c>
      <c r="M18" s="2">
        <f t="shared" si="12"/>
        <v>222912247.04038137</v>
      </c>
      <c r="N18" s="2">
        <f t="shared" si="2"/>
        <v>141422262.71935877</v>
      </c>
      <c r="O18" s="2"/>
      <c r="P18">
        <v>15</v>
      </c>
      <c r="Q18" s="3">
        <f t="shared" si="18"/>
        <v>762120000</v>
      </c>
      <c r="R18" s="6">
        <f>$C$13+$C$6*$A$18*$C$10+50*'Carbon Tax'!$B$6</f>
        <v>131999782.44834734</v>
      </c>
      <c r="S18" s="3">
        <f t="shared" si="3"/>
        <v>630120217.55165267</v>
      </c>
      <c r="T18" s="7">
        <f t="shared" si="15"/>
        <v>6535623.3313679695</v>
      </c>
      <c r="U18" s="7">
        <f t="shared" si="8"/>
        <v>1633905.8328419924</v>
      </c>
      <c r="V18" s="7">
        <f t="shared" si="9"/>
        <v>628486311.71881068</v>
      </c>
      <c r="W18" s="7">
        <f t="shared" si="13"/>
        <v>169691304.16407889</v>
      </c>
      <c r="X18" s="11">
        <f t="shared" si="14"/>
        <v>460428913.38757378</v>
      </c>
      <c r="Y18" s="7">
        <f t="shared" si="5"/>
        <v>292110010.18212581</v>
      </c>
    </row>
    <row r="19" spans="1:25">
      <c r="A19">
        <f>17.7694/100</f>
        <v>0.17769400000000002</v>
      </c>
      <c r="B19" t="s">
        <v>26</v>
      </c>
      <c r="C19" t="s">
        <v>28</v>
      </c>
      <c r="E19">
        <v>16</v>
      </c>
      <c r="F19" s="2">
        <f t="shared" si="16"/>
        <v>324120000</v>
      </c>
      <c r="G19" s="2">
        <f t="shared" si="17"/>
        <v>19600000</v>
      </c>
      <c r="H19" s="2">
        <f t="shared" si="0"/>
        <v>304520000</v>
      </c>
      <c r="I19" s="2">
        <f t="shared" si="10"/>
        <v>5294480.595888434</v>
      </c>
      <c r="J19" s="2">
        <f t="shared" si="6"/>
        <v>1588344.1787665302</v>
      </c>
      <c r="K19" s="2">
        <f t="shared" si="7"/>
        <v>302931655.82123345</v>
      </c>
      <c r="L19" s="2">
        <f t="shared" si="11"/>
        <v>81791547.071733043</v>
      </c>
      <c r="M19" s="2">
        <f t="shared" si="12"/>
        <v>222728452.92826694</v>
      </c>
      <c r="N19" s="2">
        <f t="shared" si="2"/>
        <v>137083486.78989416</v>
      </c>
      <c r="O19" s="2"/>
      <c r="P19">
        <v>16</v>
      </c>
      <c r="Q19" s="3">
        <f t="shared" si="18"/>
        <v>762120000</v>
      </c>
      <c r="R19" s="6">
        <f>$C$13+$C$6*$A$18*$C$10+50*'Carbon Tax'!$B$6</f>
        <v>131999782.44834734</v>
      </c>
      <c r="S19" s="3">
        <f t="shared" si="3"/>
        <v>630120217.55165267</v>
      </c>
      <c r="T19" s="7">
        <f t="shared" si="15"/>
        <v>4901717.4985259771</v>
      </c>
      <c r="U19" s="7">
        <f t="shared" si="8"/>
        <v>1225429.3746314943</v>
      </c>
      <c r="V19" s="7">
        <f t="shared" si="9"/>
        <v>628894788.17702115</v>
      </c>
      <c r="W19" s="7">
        <f t="shared" si="13"/>
        <v>169801592.80779573</v>
      </c>
      <c r="X19" s="11">
        <f t="shared" si="14"/>
        <v>460318624.74385691</v>
      </c>
      <c r="Y19" s="7">
        <f t="shared" si="5"/>
        <v>283313969.47537613</v>
      </c>
    </row>
    <row r="20" spans="1:25">
      <c r="A20">
        <f>10.558/100</f>
        <v>0.10557999999999999</v>
      </c>
      <c r="B20" t="s">
        <v>26</v>
      </c>
      <c r="C20" t="s">
        <v>27</v>
      </c>
      <c r="E20">
        <v>17</v>
      </c>
      <c r="F20" s="2">
        <f t="shared" si="16"/>
        <v>324120000</v>
      </c>
      <c r="G20" s="2">
        <f t="shared" si="17"/>
        <v>19600000</v>
      </c>
      <c r="H20" s="2">
        <f t="shared" si="0"/>
        <v>304520000</v>
      </c>
      <c r="I20" s="2">
        <f t="shared" si="10"/>
        <v>3706136.417121904</v>
      </c>
      <c r="J20" s="2">
        <f t="shared" si="6"/>
        <v>1111840.9251365711</v>
      </c>
      <c r="K20" s="2">
        <f t="shared" si="7"/>
        <v>303408159.07486343</v>
      </c>
      <c r="L20" s="2">
        <f t="shared" si="11"/>
        <v>81920202.950213134</v>
      </c>
      <c r="M20" s="2">
        <f t="shared" si="12"/>
        <v>222599797.04978687</v>
      </c>
      <c r="N20" s="2">
        <f t="shared" si="2"/>
        <v>132910654.33728085</v>
      </c>
      <c r="O20" s="2"/>
      <c r="P20">
        <v>17</v>
      </c>
      <c r="Q20" s="3">
        <f t="shared" si="18"/>
        <v>762120000</v>
      </c>
      <c r="R20" s="6">
        <f>$C$13+$C$6*$A$18*$C$10+50*'Carbon Tax'!$B$6</f>
        <v>131999782.44834734</v>
      </c>
      <c r="S20" s="3">
        <f t="shared" si="3"/>
        <v>630120217.55165267</v>
      </c>
      <c r="T20" s="7">
        <f t="shared" si="15"/>
        <v>3676288.1238944829</v>
      </c>
      <c r="U20" s="7">
        <f t="shared" si="8"/>
        <v>919072.03097362071</v>
      </c>
      <c r="V20" s="7">
        <f t="shared" si="9"/>
        <v>629201145.520679</v>
      </c>
      <c r="W20" s="7">
        <f t="shared" si="13"/>
        <v>169884309.29058334</v>
      </c>
      <c r="X20" s="11">
        <f t="shared" si="14"/>
        <v>460235908.2610693</v>
      </c>
      <c r="Y20" s="7">
        <f t="shared" si="5"/>
        <v>274799242.97869009</v>
      </c>
    </row>
    <row r="21" spans="1:25">
      <c r="A21" t="s">
        <v>29</v>
      </c>
      <c r="B21">
        <v>33</v>
      </c>
      <c r="C21">
        <v>55</v>
      </c>
      <c r="E21">
        <v>18</v>
      </c>
      <c r="F21" s="2">
        <f t="shared" si="16"/>
        <v>324120000</v>
      </c>
      <c r="G21" s="2">
        <f t="shared" si="17"/>
        <v>19600000</v>
      </c>
      <c r="H21" s="2">
        <f t="shared" si="0"/>
        <v>304520000</v>
      </c>
      <c r="I21" s="2">
        <f t="shared" si="10"/>
        <v>2594295.4919853332</v>
      </c>
      <c r="J21" s="2">
        <f t="shared" si="6"/>
        <v>778288.64759559988</v>
      </c>
      <c r="K21" s="2">
        <f t="shared" si="7"/>
        <v>303741711.35240442</v>
      </c>
      <c r="L21" s="2">
        <f t="shared" si="11"/>
        <v>82010262.065149203</v>
      </c>
      <c r="M21" s="2">
        <f t="shared" si="12"/>
        <v>222509737.93485081</v>
      </c>
      <c r="N21" s="2">
        <f t="shared" si="2"/>
        <v>128887157.09198174</v>
      </c>
      <c r="O21" s="2"/>
      <c r="P21">
        <v>18</v>
      </c>
      <c r="Q21" s="3">
        <f t="shared" si="18"/>
        <v>762120000</v>
      </c>
      <c r="R21" s="6">
        <f>$C$13+$C$6*$A$18*$C$10+50*'Carbon Tax'!$B$6</f>
        <v>131999782.44834734</v>
      </c>
      <c r="S21" s="3">
        <f t="shared" si="3"/>
        <v>630120217.55165267</v>
      </c>
      <c r="T21" s="7">
        <f t="shared" si="15"/>
        <v>2757216.0929208621</v>
      </c>
      <c r="U21" s="7">
        <f t="shared" si="8"/>
        <v>689304.02323021553</v>
      </c>
      <c r="V21" s="7">
        <f t="shared" si="9"/>
        <v>629430913.52842247</v>
      </c>
      <c r="W21" s="7">
        <f t="shared" si="13"/>
        <v>169946346.65267408</v>
      </c>
      <c r="X21" s="11">
        <f t="shared" si="14"/>
        <v>460173870.89897859</v>
      </c>
      <c r="Y21" s="7">
        <f t="shared" si="5"/>
        <v>266552387.94783735</v>
      </c>
    </row>
    <row r="22" spans="1:25">
      <c r="A22" t="s">
        <v>30</v>
      </c>
      <c r="B22">
        <v>165</v>
      </c>
      <c r="E22">
        <v>19</v>
      </c>
      <c r="F22" s="2">
        <f t="shared" si="16"/>
        <v>324120000</v>
      </c>
      <c r="G22" s="2">
        <f t="shared" si="17"/>
        <v>19600000</v>
      </c>
      <c r="H22" s="2">
        <f t="shared" si="0"/>
        <v>304520000</v>
      </c>
      <c r="I22" s="2">
        <f t="shared" si="10"/>
        <v>1816006.8443897334</v>
      </c>
      <c r="J22" s="2">
        <f t="shared" si="6"/>
        <v>544802.05331691995</v>
      </c>
      <c r="K22" s="2">
        <f t="shared" si="7"/>
        <v>303975197.94668311</v>
      </c>
      <c r="L22" s="2">
        <f t="shared" si="11"/>
        <v>82073303.445604444</v>
      </c>
      <c r="M22" s="2">
        <f t="shared" si="12"/>
        <v>222446696.55439556</v>
      </c>
      <c r="N22" s="2">
        <f t="shared" si="2"/>
        <v>125000621.68034822</v>
      </c>
      <c r="O22" s="2"/>
      <c r="P22">
        <v>19</v>
      </c>
      <c r="Q22" s="3">
        <f t="shared" si="18"/>
        <v>762120000</v>
      </c>
      <c r="R22" s="6">
        <f>$C$13+$C$6*$A$18*$C$10+50*'Carbon Tax'!$B$6</f>
        <v>131999782.44834734</v>
      </c>
      <c r="S22" s="3">
        <f t="shared" si="3"/>
        <v>630120217.55165267</v>
      </c>
      <c r="T22" s="7">
        <f t="shared" si="15"/>
        <v>2067912.0696906466</v>
      </c>
      <c r="U22" s="7">
        <f t="shared" si="8"/>
        <v>516978.01742266165</v>
      </c>
      <c r="V22" s="7">
        <f t="shared" si="9"/>
        <v>629603239.53422999</v>
      </c>
      <c r="W22" s="7">
        <f t="shared" si="13"/>
        <v>169992874.67424211</v>
      </c>
      <c r="X22" s="11">
        <f t="shared" si="14"/>
        <v>460127342.87741053</v>
      </c>
      <c r="Y22" s="7">
        <f t="shared" si="5"/>
        <v>258561735.47508022</v>
      </c>
    </row>
    <row r="23" spans="1:25">
      <c r="A23" t="s">
        <v>31</v>
      </c>
      <c r="B23">
        <v>5</v>
      </c>
      <c r="C23">
        <v>3</v>
      </c>
      <c r="E23">
        <v>20</v>
      </c>
      <c r="F23" s="2">
        <f t="shared" si="16"/>
        <v>324120000</v>
      </c>
      <c r="G23" s="2">
        <f t="shared" si="17"/>
        <v>19600000</v>
      </c>
      <c r="H23" s="2">
        <f t="shared" si="0"/>
        <v>304520000</v>
      </c>
      <c r="I23" s="2">
        <f t="shared" si="10"/>
        <v>1271204.7910728133</v>
      </c>
      <c r="J23" s="2">
        <f t="shared" si="6"/>
        <v>381361.43732184399</v>
      </c>
      <c r="K23" s="2">
        <f t="shared" si="7"/>
        <v>304138638.56267816</v>
      </c>
      <c r="L23" s="2">
        <f t="shared" si="11"/>
        <v>82117432.41192311</v>
      </c>
      <c r="M23" s="2">
        <f t="shared" si="12"/>
        <v>222402567.58807689</v>
      </c>
      <c r="N23" s="2">
        <f t="shared" si="2"/>
        <v>121241583.29673056</v>
      </c>
      <c r="O23" s="2"/>
      <c r="P23">
        <v>20</v>
      </c>
      <c r="Q23" s="3">
        <f t="shared" si="18"/>
        <v>762120000</v>
      </c>
      <c r="R23" s="6">
        <f>$C$13+$C$6*$A$18*$C$10+50*'Carbon Tax'!$B$6</f>
        <v>131999782.44834734</v>
      </c>
      <c r="S23" s="3">
        <f t="shared" si="3"/>
        <v>630120217.55165267</v>
      </c>
      <c r="T23" s="7">
        <f t="shared" si="15"/>
        <v>1550934.052267985</v>
      </c>
      <c r="U23" s="7">
        <f t="shared" si="8"/>
        <v>387733.51306699624</v>
      </c>
      <c r="V23" s="7">
        <f t="shared" si="9"/>
        <v>629732484.03858566</v>
      </c>
      <c r="W23" s="7">
        <f t="shared" si="13"/>
        <v>170027770.69041815</v>
      </c>
      <c r="X23" s="11">
        <f t="shared" si="14"/>
        <v>460092446.86123455</v>
      </c>
      <c r="Y23" s="7">
        <f t="shared" si="5"/>
        <v>250816963.69459301</v>
      </c>
    </row>
    <row r="24" spans="1:25">
      <c r="A24" t="s">
        <v>9</v>
      </c>
      <c r="B24" s="2">
        <f>N1</f>
        <v>0</v>
      </c>
      <c r="C24" s="2">
        <f>Y59</f>
        <v>0</v>
      </c>
      <c r="E24">
        <v>21</v>
      </c>
      <c r="F24" s="2">
        <f t="shared" si="16"/>
        <v>324120000</v>
      </c>
      <c r="G24" s="2">
        <f t="shared" si="17"/>
        <v>19600000</v>
      </c>
      <c r="H24" s="2">
        <f t="shared" si="0"/>
        <v>304520000</v>
      </c>
      <c r="I24" s="2">
        <f t="shared" si="10"/>
        <v>889843.35375096928</v>
      </c>
      <c r="J24" s="2">
        <f t="shared" si="6"/>
        <v>266953.00612529076</v>
      </c>
      <c r="K24" s="2">
        <f t="shared" si="7"/>
        <v>304253046.99387473</v>
      </c>
      <c r="L24" s="2">
        <f t="shared" si="11"/>
        <v>82148322.688346177</v>
      </c>
      <c r="M24" s="2">
        <f t="shared" si="12"/>
        <v>222371677.31165382</v>
      </c>
      <c r="N24" s="2">
        <f t="shared" si="2"/>
        <v>117602584.03757878</v>
      </c>
      <c r="O24" s="2"/>
      <c r="P24">
        <v>21</v>
      </c>
      <c r="Q24" s="3">
        <f t="shared" si="18"/>
        <v>762120000</v>
      </c>
      <c r="R24" s="6">
        <f>$C$13+$C$6*$A$18*$C$10+50*'Carbon Tax'!$B$6</f>
        <v>131999782.44834734</v>
      </c>
      <c r="S24" s="3">
        <f t="shared" si="3"/>
        <v>630120217.55165267</v>
      </c>
      <c r="T24" s="7">
        <f t="shared" si="15"/>
        <v>1163200.5392009886</v>
      </c>
      <c r="U24" s="7">
        <f t="shared" si="8"/>
        <v>290800.13480024715</v>
      </c>
      <c r="V24" s="7">
        <f t="shared" si="9"/>
        <v>629829417.41685247</v>
      </c>
      <c r="W24" s="7">
        <f t="shared" si="13"/>
        <v>170053942.70255017</v>
      </c>
      <c r="X24" s="11">
        <f t="shared" si="14"/>
        <v>460066274.8491025</v>
      </c>
      <c r="Y24" s="7">
        <f t="shared" si="5"/>
        <v>243308785.56521061</v>
      </c>
    </row>
    <row r="25" spans="1:25">
      <c r="A25" t="s">
        <v>32</v>
      </c>
      <c r="B25" s="14">
        <f>N169</f>
        <v>4831016483.916419</v>
      </c>
      <c r="C25" s="14">
        <f>Y169</f>
        <v>11911858793.282722</v>
      </c>
      <c r="E25">
        <v>22</v>
      </c>
      <c r="F25" s="2">
        <f t="shared" si="16"/>
        <v>324120000</v>
      </c>
      <c r="G25" s="2">
        <f t="shared" si="17"/>
        <v>19600000</v>
      </c>
      <c r="H25" s="2">
        <f t="shared" si="0"/>
        <v>304520000</v>
      </c>
      <c r="I25" s="2">
        <f t="shared" si="10"/>
        <v>622890.34762567852</v>
      </c>
      <c r="J25" s="2">
        <f t="shared" si="6"/>
        <v>186867.10428770355</v>
      </c>
      <c r="K25" s="2">
        <f t="shared" si="7"/>
        <v>304333132.89571232</v>
      </c>
      <c r="L25" s="2">
        <f t="shared" si="11"/>
        <v>82169945.88184233</v>
      </c>
      <c r="M25" s="2">
        <f t="shared" si="12"/>
        <v>222350054.11815768</v>
      </c>
      <c r="N25" s="2">
        <f t="shared" si="2"/>
        <v>114077559.64600372</v>
      </c>
      <c r="O25" s="2"/>
      <c r="P25">
        <v>22</v>
      </c>
      <c r="Q25" s="3">
        <f t="shared" si="18"/>
        <v>762120000</v>
      </c>
      <c r="R25" s="6">
        <f>$C$13+$C$6*$A$18*$C$10+50*'Carbon Tax'!$B$6</f>
        <v>131999782.44834734</v>
      </c>
      <c r="S25" s="3">
        <f t="shared" si="3"/>
        <v>630120217.55165267</v>
      </c>
      <c r="T25" s="7">
        <f t="shared" si="15"/>
        <v>872400.40440074145</v>
      </c>
      <c r="U25" s="7">
        <f t="shared" si="8"/>
        <v>218100.10110018536</v>
      </c>
      <c r="V25" s="7">
        <f t="shared" si="9"/>
        <v>629902117.45055246</v>
      </c>
      <c r="W25" s="7">
        <f t="shared" si="13"/>
        <v>170073571.71164918</v>
      </c>
      <c r="X25" s="11">
        <f t="shared" si="14"/>
        <v>460046645.84000349</v>
      </c>
      <c r="Y25" s="7">
        <f t="shared" si="5"/>
        <v>236028720.06888896</v>
      </c>
    </row>
    <row r="26" spans="1:25">
      <c r="A26" t="s">
        <v>33</v>
      </c>
      <c r="B26" s="9">
        <f>MIRR(M3:M168,B16,B16)</f>
        <v>3.9455678945215844E-2</v>
      </c>
      <c r="C26" s="9">
        <f>MIRR(X3:X168,B16,B16)</f>
        <v>5.2967936528815818E-2</v>
      </c>
      <c r="E26">
        <v>23</v>
      </c>
      <c r="F26" s="2">
        <f t="shared" si="16"/>
        <v>324120000</v>
      </c>
      <c r="G26" s="2">
        <f t="shared" si="17"/>
        <v>19600000</v>
      </c>
      <c r="H26" s="2">
        <f t="shared" si="0"/>
        <v>304520000</v>
      </c>
      <c r="I26" s="2">
        <f t="shared" si="10"/>
        <v>436023.243337975</v>
      </c>
      <c r="J26" s="2">
        <f t="shared" si="6"/>
        <v>130806.9730013925</v>
      </c>
      <c r="K26" s="2">
        <f t="shared" si="7"/>
        <v>304389193.02699858</v>
      </c>
      <c r="L26" s="2">
        <f t="shared" si="11"/>
        <v>82185082.117289618</v>
      </c>
      <c r="M26" s="2">
        <f t="shared" si="12"/>
        <v>222334917.8827104</v>
      </c>
      <c r="N26" s="2">
        <f t="shared" si="2"/>
        <v>110661422.1396641</v>
      </c>
      <c r="O26" s="2"/>
      <c r="P26">
        <v>23</v>
      </c>
      <c r="Q26" s="3">
        <f t="shared" si="18"/>
        <v>762120000</v>
      </c>
      <c r="R26" s="6">
        <f>$C$13+$C$6*$A$18*$C$10+50*'Carbon Tax'!$B$6</f>
        <v>131999782.44834734</v>
      </c>
      <c r="S26" s="3">
        <f t="shared" si="3"/>
        <v>630120217.55165267</v>
      </c>
      <c r="T26" s="7">
        <f t="shared" si="15"/>
        <v>654300.30330055603</v>
      </c>
      <c r="U26" s="7">
        <f t="shared" si="8"/>
        <v>163575.07582513901</v>
      </c>
      <c r="V26" s="7">
        <f t="shared" si="9"/>
        <v>629956642.47582757</v>
      </c>
      <c r="W26" s="7">
        <f t="shared" si="13"/>
        <v>170088293.46847346</v>
      </c>
      <c r="X26" s="11">
        <f t="shared" si="14"/>
        <v>460031924.08317924</v>
      </c>
      <c r="Y26" s="7">
        <f t="shared" si="5"/>
        <v>228968924.15048489</v>
      </c>
    </row>
    <row r="27" spans="1:25">
      <c r="A27" t="s">
        <v>55</v>
      </c>
      <c r="B27" s="4">
        <f>IRR(M3:M168,0)</f>
        <v>0.14841317590782954</v>
      </c>
      <c r="C27" s="4">
        <f>IRR(X3:X168,0)</f>
        <v>0.32346981372934436</v>
      </c>
      <c r="E27">
        <v>24</v>
      </c>
      <c r="F27" s="2">
        <f t="shared" si="16"/>
        <v>324120000</v>
      </c>
      <c r="G27" s="2">
        <f t="shared" si="17"/>
        <v>19600000</v>
      </c>
      <c r="H27" s="2">
        <f t="shared" si="0"/>
        <v>304520000</v>
      </c>
      <c r="I27" s="2">
        <f t="shared" si="10"/>
        <v>305216.2703365825</v>
      </c>
      <c r="J27" s="2">
        <f t="shared" si="6"/>
        <v>91564.881100974744</v>
      </c>
      <c r="K27" s="2">
        <f t="shared" si="7"/>
        <v>304428435.11889905</v>
      </c>
      <c r="L27" s="2">
        <f t="shared" si="11"/>
        <v>82195677.482102752</v>
      </c>
      <c r="M27" s="2">
        <f t="shared" si="12"/>
        <v>222324322.51789725</v>
      </c>
      <c r="N27" s="2">
        <f t="shared" si="2"/>
        <v>107349775.48741591</v>
      </c>
      <c r="O27" s="2"/>
      <c r="P27">
        <v>24</v>
      </c>
      <c r="Q27" s="3">
        <f t="shared" si="18"/>
        <v>762120000</v>
      </c>
      <c r="R27" s="6">
        <f>$C$13+$C$6*$A$18*$C$10+50*'Carbon Tax'!$B$6</f>
        <v>131999782.44834734</v>
      </c>
      <c r="S27" s="3">
        <f t="shared" si="3"/>
        <v>630120217.55165267</v>
      </c>
      <c r="T27" s="7">
        <f t="shared" si="15"/>
        <v>490725.22747541702</v>
      </c>
      <c r="U27" s="7">
        <f t="shared" si="8"/>
        <v>122681.30686885426</v>
      </c>
      <c r="V27" s="7">
        <f t="shared" si="9"/>
        <v>629997536.24478376</v>
      </c>
      <c r="W27" s="7">
        <f t="shared" si="13"/>
        <v>170099334.78609163</v>
      </c>
      <c r="X27" s="11">
        <f t="shared" si="14"/>
        <v>460020882.76556104</v>
      </c>
      <c r="Y27" s="7">
        <f t="shared" si="5"/>
        <v>222122068.89972857</v>
      </c>
    </row>
    <row r="28" spans="1:25">
      <c r="A28" t="s">
        <v>56</v>
      </c>
      <c r="B28">
        <v>0.3</v>
      </c>
      <c r="C28" t="s">
        <v>57</v>
      </c>
      <c r="E28">
        <v>25</v>
      </c>
      <c r="F28" s="2">
        <f t="shared" si="16"/>
        <v>324120000</v>
      </c>
      <c r="G28" s="2">
        <f t="shared" si="17"/>
        <v>19600000</v>
      </c>
      <c r="H28" s="2">
        <f t="shared" si="0"/>
        <v>304520000</v>
      </c>
      <c r="I28" s="2">
        <f t="shared" si="10"/>
        <v>213651.38923560776</v>
      </c>
      <c r="J28" s="2">
        <f t="shared" si="6"/>
        <v>64095.416770682321</v>
      </c>
      <c r="K28" s="2">
        <f t="shared" si="7"/>
        <v>304455904.5832293</v>
      </c>
      <c r="L28" s="2">
        <f t="shared" si="11"/>
        <v>82203094.237471923</v>
      </c>
      <c r="M28" s="2">
        <f t="shared" si="12"/>
        <v>222316905.76252806</v>
      </c>
      <c r="N28" s="2">
        <f t="shared" si="2"/>
        <v>104138721.663945</v>
      </c>
      <c r="O28" s="2"/>
      <c r="P28">
        <v>25</v>
      </c>
      <c r="Q28" s="3">
        <f t="shared" si="18"/>
        <v>762120000</v>
      </c>
      <c r="R28" s="6">
        <f>$C$13+$C$6*$A$18*$C$10+50*'Carbon Tax'!$B$6</f>
        <v>131999782.44834734</v>
      </c>
      <c r="S28" s="3">
        <f t="shared" si="3"/>
        <v>630120217.55165267</v>
      </c>
      <c r="T28" s="7">
        <f t="shared" si="15"/>
        <v>368043.92060656275</v>
      </c>
      <c r="U28" s="7">
        <f t="shared" si="8"/>
        <v>92010.980151640688</v>
      </c>
      <c r="V28" s="7">
        <f t="shared" si="9"/>
        <v>630028206.57150102</v>
      </c>
      <c r="W28" s="7">
        <f t="shared" si="13"/>
        <v>170107615.77430528</v>
      </c>
      <c r="X28" s="11">
        <f t="shared" si="14"/>
        <v>460012601.77734739</v>
      </c>
      <c r="Y28" s="7">
        <f t="shared" si="5"/>
        <v>215481247.96936992</v>
      </c>
    </row>
    <row r="29" spans="1:25">
      <c r="A29" t="s">
        <v>58</v>
      </c>
      <c r="B29">
        <v>0.25</v>
      </c>
      <c r="C29" t="s">
        <v>59</v>
      </c>
      <c r="E29">
        <v>26</v>
      </c>
      <c r="F29" s="2">
        <f t="shared" si="16"/>
        <v>324120000</v>
      </c>
      <c r="G29" s="2">
        <f t="shared" si="17"/>
        <v>19600000</v>
      </c>
      <c r="H29" s="2">
        <f t="shared" si="0"/>
        <v>304520000</v>
      </c>
      <c r="I29" s="2">
        <f t="shared" si="10"/>
        <v>149555.97246492543</v>
      </c>
      <c r="J29" s="2">
        <f t="shared" si="6"/>
        <v>44866.79173947763</v>
      </c>
      <c r="K29" s="2">
        <f t="shared" si="7"/>
        <v>304475133.20826054</v>
      </c>
      <c r="L29" s="2">
        <f t="shared" si="11"/>
        <v>82208285.966230348</v>
      </c>
      <c r="M29" s="2">
        <f t="shared" si="12"/>
        <v>222311714.03376967</v>
      </c>
      <c r="N29" s="2">
        <f t="shared" si="2"/>
        <v>101024728.10453133</v>
      </c>
      <c r="O29" s="2"/>
      <c r="P29">
        <v>26</v>
      </c>
      <c r="Q29" s="3">
        <f t="shared" si="18"/>
        <v>762120000</v>
      </c>
      <c r="R29" s="6">
        <f>$C$13+$C$6*$A$18*$C$10+50*'Carbon Tax'!$B$6</f>
        <v>131999782.44834734</v>
      </c>
      <c r="S29" s="3">
        <f t="shared" si="3"/>
        <v>630120217.55165267</v>
      </c>
      <c r="T29" s="7">
        <f t="shared" si="15"/>
        <v>276032.94045492203</v>
      </c>
      <c r="U29" s="7">
        <f t="shared" si="8"/>
        <v>69008.235113730509</v>
      </c>
      <c r="V29" s="7">
        <f t="shared" si="9"/>
        <v>630051209.31653893</v>
      </c>
      <c r="W29" s="7">
        <f t="shared" si="13"/>
        <v>170113826.51546553</v>
      </c>
      <c r="X29" s="11">
        <f t="shared" si="14"/>
        <v>460006391.03618717</v>
      </c>
      <c r="Y29" s="7">
        <f t="shared" si="5"/>
        <v>209039909.49266094</v>
      </c>
    </row>
    <row r="30" spans="1:25">
      <c r="E30">
        <v>27</v>
      </c>
      <c r="F30" s="2">
        <f t="shared" si="16"/>
        <v>324120000</v>
      </c>
      <c r="G30" s="2">
        <f t="shared" si="17"/>
        <v>19600000</v>
      </c>
      <c r="H30" s="2">
        <f t="shared" si="0"/>
        <v>304520000</v>
      </c>
      <c r="I30" s="2">
        <f t="shared" si="10"/>
        <v>104689.1807254478</v>
      </c>
      <c r="J30" s="2">
        <f t="shared" si="6"/>
        <v>31406.754217634341</v>
      </c>
      <c r="K30" s="2">
        <f t="shared" si="7"/>
        <v>304488593.24578238</v>
      </c>
      <c r="L30" s="2">
        <f t="shared" si="11"/>
        <v>82211920.176361248</v>
      </c>
      <c r="M30" s="2">
        <f t="shared" si="12"/>
        <v>222308079.82363874</v>
      </c>
      <c r="N30" s="2">
        <f t="shared" si="2"/>
        <v>98004536.880772829</v>
      </c>
      <c r="O30" s="2"/>
      <c r="P30">
        <v>27</v>
      </c>
      <c r="Q30" s="3">
        <f t="shared" si="18"/>
        <v>762120000</v>
      </c>
      <c r="R30" s="6">
        <f>$C$13+$C$6*$A$18*$C$10+50*'Carbon Tax'!$B$6</f>
        <v>131999782.44834734</v>
      </c>
      <c r="S30" s="3">
        <f t="shared" si="3"/>
        <v>630120217.55165267</v>
      </c>
      <c r="T30" s="7">
        <f t="shared" si="15"/>
        <v>207024.70534119153</v>
      </c>
      <c r="U30" s="7">
        <f t="shared" si="8"/>
        <v>51756.176335297881</v>
      </c>
      <c r="V30" s="7">
        <f t="shared" si="9"/>
        <v>630068461.37531734</v>
      </c>
      <c r="W30" s="7">
        <f t="shared" si="13"/>
        <v>170118484.5713357</v>
      </c>
      <c r="X30" s="11">
        <f t="shared" si="14"/>
        <v>460001732.980317</v>
      </c>
      <c r="Y30" s="7">
        <f t="shared" si="5"/>
        <v>202791805.14200616</v>
      </c>
    </row>
    <row r="31" spans="1:25">
      <c r="A31">
        <v>250</v>
      </c>
      <c r="E31">
        <v>28</v>
      </c>
      <c r="F31" s="2">
        <f t="shared" si="16"/>
        <v>324120000</v>
      </c>
      <c r="G31" s="2">
        <f t="shared" si="17"/>
        <v>19600000</v>
      </c>
      <c r="H31" s="2">
        <f t="shared" si="0"/>
        <v>304520000</v>
      </c>
      <c r="I31" s="2">
        <f t="shared" si="10"/>
        <v>73282.426507813463</v>
      </c>
      <c r="J31" s="2">
        <f t="shared" si="6"/>
        <v>21984.727952344037</v>
      </c>
      <c r="K31" s="2">
        <f t="shared" si="7"/>
        <v>304498015.27204764</v>
      </c>
      <c r="L31" s="2">
        <f t="shared" si="11"/>
        <v>82214464.123452872</v>
      </c>
      <c r="M31" s="2">
        <f t="shared" si="12"/>
        <v>222305535.87654713</v>
      </c>
      <c r="N31" s="2">
        <f t="shared" si="2"/>
        <v>95075102.232702628</v>
      </c>
      <c r="O31" s="2"/>
      <c r="P31">
        <v>28</v>
      </c>
      <c r="Q31" s="3">
        <f t="shared" si="18"/>
        <v>762120000</v>
      </c>
      <c r="R31" s="6">
        <f>$C$13+$C$6*$A$18*$C$10+50*'Carbon Tax'!$B$6</f>
        <v>131999782.44834734</v>
      </c>
      <c r="S31" s="3">
        <f t="shared" si="3"/>
        <v>630120217.55165267</v>
      </c>
      <c r="T31" s="7">
        <f t="shared" si="15"/>
        <v>155268.52900589365</v>
      </c>
      <c r="U31" s="7">
        <f t="shared" si="8"/>
        <v>38817.132251473413</v>
      </c>
      <c r="V31" s="7">
        <f t="shared" si="9"/>
        <v>630081400.41940117</v>
      </c>
      <c r="W31" s="7">
        <f t="shared" si="13"/>
        <v>170121978.11323833</v>
      </c>
      <c r="X31" s="11">
        <f t="shared" si="14"/>
        <v>459998239.43841434</v>
      </c>
      <c r="Y31" s="7">
        <f t="shared" si="5"/>
        <v>196730951.70134434</v>
      </c>
    </row>
    <row r="32" spans="1:25">
      <c r="B32" s="2" t="s">
        <v>66</v>
      </c>
      <c r="C32" s="2" t="s">
        <v>67</v>
      </c>
      <c r="E32">
        <v>29</v>
      </c>
      <c r="F32" s="2">
        <f t="shared" si="16"/>
        <v>324120000</v>
      </c>
      <c r="G32" s="2">
        <f t="shared" si="17"/>
        <v>19600000</v>
      </c>
      <c r="H32" s="2">
        <f t="shared" si="0"/>
        <v>304520000</v>
      </c>
      <c r="I32" s="2">
        <f t="shared" si="10"/>
        <v>51297.698555469426</v>
      </c>
      <c r="J32" s="2">
        <f t="shared" si="6"/>
        <v>15389.309566640826</v>
      </c>
      <c r="K32" s="2">
        <f t="shared" si="7"/>
        <v>304504610.69043338</v>
      </c>
      <c r="L32" s="2">
        <f t="shared" si="11"/>
        <v>82216244.886417016</v>
      </c>
      <c r="M32" s="2">
        <f t="shared" si="12"/>
        <v>222303755.11358297</v>
      </c>
      <c r="N32" s="2">
        <f t="shared" si="2"/>
        <v>92233547.380906522</v>
      </c>
      <c r="O32" s="2"/>
      <c r="P32">
        <v>29</v>
      </c>
      <c r="Q32" s="3">
        <f t="shared" si="18"/>
        <v>762120000</v>
      </c>
      <c r="R32" s="6">
        <f>$C$13+$C$6*$A$18*$C$10+50*'Carbon Tax'!$B$6</f>
        <v>131999782.44834734</v>
      </c>
      <c r="S32" s="3">
        <f t="shared" si="3"/>
        <v>630120217.55165267</v>
      </c>
      <c r="T32" s="7">
        <f t="shared" si="15"/>
        <v>116451.39675442025</v>
      </c>
      <c r="U32" s="7">
        <f t="shared" si="8"/>
        <v>29112.849188605061</v>
      </c>
      <c r="V32" s="7">
        <f t="shared" si="9"/>
        <v>630091104.7024641</v>
      </c>
      <c r="W32" s="7">
        <f t="shared" si="13"/>
        <v>170124598.26966533</v>
      </c>
      <c r="X32" s="11">
        <f t="shared" si="14"/>
        <v>459995619.28198731</v>
      </c>
      <c r="Y32" s="7">
        <f t="shared" si="5"/>
        <v>190851601.78413147</v>
      </c>
    </row>
    <row r="33" spans="1:25">
      <c r="A33">
        <v>0</v>
      </c>
      <c r="B33" s="2">
        <v>-2296482559.3940177</v>
      </c>
      <c r="C33" s="2">
        <v>-3967679440.7938285</v>
      </c>
      <c r="E33">
        <v>30</v>
      </c>
      <c r="F33" s="2">
        <f t="shared" si="16"/>
        <v>324120000</v>
      </c>
      <c r="G33" s="2">
        <f t="shared" si="17"/>
        <v>19600000</v>
      </c>
      <c r="H33" s="2">
        <f t="shared" si="0"/>
        <v>304520000</v>
      </c>
      <c r="I33" s="2">
        <f t="shared" si="10"/>
        <v>35908.388988828599</v>
      </c>
      <c r="J33" s="2">
        <f t="shared" si="6"/>
        <v>10772.516696648579</v>
      </c>
      <c r="K33" s="2">
        <f t="shared" si="7"/>
        <v>304509227.48330337</v>
      </c>
      <c r="L33" s="2">
        <f t="shared" si="11"/>
        <v>82217491.420491919</v>
      </c>
      <c r="M33" s="2">
        <f t="shared" si="12"/>
        <v>222302508.57950807</v>
      </c>
      <c r="N33" s="2">
        <f t="shared" si="2"/>
        <v>89477134.454299927</v>
      </c>
      <c r="O33" s="2"/>
      <c r="P33">
        <v>30</v>
      </c>
      <c r="Q33" s="3">
        <f t="shared" si="18"/>
        <v>762120000</v>
      </c>
      <c r="R33" s="6">
        <f>$C$13+$C$6*$A$18*$C$10+50*'Carbon Tax'!$B$6</f>
        <v>131999782.44834734</v>
      </c>
      <c r="S33" s="3">
        <f t="shared" si="3"/>
        <v>630120217.55165267</v>
      </c>
      <c r="T33" s="7">
        <f t="shared" si="15"/>
        <v>87338.547565815184</v>
      </c>
      <c r="U33" s="7">
        <f t="shared" si="8"/>
        <v>21834.636891453796</v>
      </c>
      <c r="V33" s="7">
        <f t="shared" si="9"/>
        <v>630098382.91476119</v>
      </c>
      <c r="W33" s="7">
        <f t="shared" si="13"/>
        <v>170126563.38698554</v>
      </c>
      <c r="X33" s="11">
        <f t="shared" si="14"/>
        <v>459993654.16466713</v>
      </c>
      <c r="Y33" s="7">
        <f t="shared" si="5"/>
        <v>185148221.24508724</v>
      </c>
    </row>
    <row r="34" spans="1:25">
      <c r="A34">
        <v>50</v>
      </c>
      <c r="B34" s="2">
        <v>-533690626.46178317</v>
      </c>
      <c r="C34" s="2">
        <v>27538493.494439632</v>
      </c>
      <c r="E34">
        <v>31</v>
      </c>
      <c r="F34" s="2">
        <f t="shared" si="16"/>
        <v>324120000</v>
      </c>
      <c r="G34" s="2">
        <f t="shared" si="17"/>
        <v>19600000</v>
      </c>
      <c r="H34" s="2">
        <f t="shared" si="0"/>
        <v>304520000</v>
      </c>
      <c r="I34" s="2">
        <f t="shared" si="10"/>
        <v>25135.872292180022</v>
      </c>
      <c r="J34" s="2">
        <f t="shared" si="6"/>
        <v>7540.761687654006</v>
      </c>
      <c r="K34" s="2">
        <f t="shared" si="7"/>
        <v>304512459.23831236</v>
      </c>
      <c r="L34" s="2">
        <f t="shared" si="11"/>
        <v>82218363.994344339</v>
      </c>
      <c r="M34" s="2">
        <f t="shared" si="12"/>
        <v>222301636.00565565</v>
      </c>
      <c r="N34" s="2">
        <f t="shared" si="2"/>
        <v>86803243.346772775</v>
      </c>
      <c r="O34" s="2"/>
      <c r="P34">
        <v>31</v>
      </c>
      <c r="Q34" s="3">
        <f t="shared" si="18"/>
        <v>762120000</v>
      </c>
      <c r="R34" s="6">
        <f>$C$13+$C$6*$A$18*$C$10+50*'Carbon Tax'!$B$6</f>
        <v>131999782.44834734</v>
      </c>
      <c r="S34" s="3">
        <f t="shared" si="3"/>
        <v>630120217.55165267</v>
      </c>
      <c r="T34" s="7">
        <f t="shared" si="15"/>
        <v>65503.910674361388</v>
      </c>
      <c r="U34" s="7">
        <f t="shared" si="8"/>
        <v>16375.977668590347</v>
      </c>
      <c r="V34" s="7">
        <f t="shared" si="9"/>
        <v>630103841.57398403</v>
      </c>
      <c r="W34" s="7">
        <f t="shared" si="13"/>
        <v>170128037.22497571</v>
      </c>
      <c r="X34" s="11">
        <f t="shared" si="14"/>
        <v>459992180.32667696</v>
      </c>
      <c r="Y34" s="7">
        <f t="shared" si="5"/>
        <v>179615471.50059339</v>
      </c>
    </row>
    <row r="35" spans="1:25">
      <c r="A35">
        <v>100</v>
      </c>
      <c r="B35" s="2">
        <v>848990806.27016962</v>
      </c>
      <c r="C35" s="2">
        <v>3012552956.8089976</v>
      </c>
      <c r="E35">
        <v>32</v>
      </c>
      <c r="F35" s="2">
        <f t="shared" si="16"/>
        <v>324120000</v>
      </c>
      <c r="G35" s="2">
        <f t="shared" si="17"/>
        <v>19600000</v>
      </c>
      <c r="H35" s="2">
        <f t="shared" si="0"/>
        <v>304520000</v>
      </c>
      <c r="I35" s="2">
        <f t="shared" si="10"/>
        <v>17595.110604526017</v>
      </c>
      <c r="J35" s="2">
        <f t="shared" si="6"/>
        <v>5278.533181357805</v>
      </c>
      <c r="K35" s="2">
        <f t="shared" si="7"/>
        <v>304514721.46681863</v>
      </c>
      <c r="L35" s="2">
        <f t="shared" si="11"/>
        <v>82218974.796041042</v>
      </c>
      <c r="M35" s="2">
        <f t="shared" si="12"/>
        <v>222301025.20395896</v>
      </c>
      <c r="N35" s="2">
        <f t="shared" ref="N35:N66" si="19">M35/((1+$B$16)^E35)</f>
        <v>84209356.65885447</v>
      </c>
      <c r="O35" s="2"/>
      <c r="P35">
        <v>32</v>
      </c>
      <c r="Q35" s="3">
        <f t="shared" si="18"/>
        <v>762120000</v>
      </c>
      <c r="R35" s="6">
        <f>$C$13+$C$6*$A$18*$C$10+50*'Carbon Tax'!$B$6</f>
        <v>131999782.44834734</v>
      </c>
      <c r="S35" s="3">
        <f t="shared" si="3"/>
        <v>630120217.55165267</v>
      </c>
      <c r="T35" s="7">
        <f t="shared" si="15"/>
        <v>49127.933005771039</v>
      </c>
      <c r="U35" s="7">
        <f t="shared" si="8"/>
        <v>12281.98325144276</v>
      </c>
      <c r="V35" s="7">
        <f t="shared" si="9"/>
        <v>630107935.56840122</v>
      </c>
      <c r="W35" s="7">
        <f t="shared" si="13"/>
        <v>170129142.60346833</v>
      </c>
      <c r="X35" s="11">
        <f t="shared" si="14"/>
        <v>459991074.94818437</v>
      </c>
      <c r="Y35" s="7">
        <f t="shared" ref="Y35:Y66" si="20">X35/((1+$B$16)^P35)</f>
        <v>174248195.4577674</v>
      </c>
    </row>
    <row r="36" spans="1:25">
      <c r="A36">
        <v>150</v>
      </c>
      <c r="B36" s="2">
        <v>2184899601.8557997</v>
      </c>
      <c r="C36" s="2">
        <v>5979694374.9739332</v>
      </c>
      <c r="E36">
        <v>33</v>
      </c>
      <c r="F36" s="2">
        <f t="shared" si="16"/>
        <v>324120000</v>
      </c>
      <c r="G36" s="2">
        <f>$B$13+$B$12</f>
        <v>1134800000</v>
      </c>
      <c r="H36" s="2">
        <f t="shared" si="0"/>
        <v>-810680000</v>
      </c>
      <c r="I36" s="2">
        <f t="shared" si="10"/>
        <v>12316.577423168212</v>
      </c>
      <c r="J36" s="13">
        <v>0</v>
      </c>
      <c r="K36" s="13">
        <f>H36-J36+$B$12+$B$14</f>
        <v>304520000</v>
      </c>
      <c r="L36" s="2">
        <f t="shared" si="11"/>
        <v>82220400</v>
      </c>
      <c r="M36" s="13">
        <f>IF(L36&lt;0,H36,H36-L36+$B$14)</f>
        <v>-892900400</v>
      </c>
      <c r="N36" s="2">
        <f t="shared" si="19"/>
        <v>-328131173.36417729</v>
      </c>
      <c r="O36" s="2"/>
      <c r="P36">
        <v>33</v>
      </c>
      <c r="Q36" s="3">
        <f t="shared" si="18"/>
        <v>762120000</v>
      </c>
      <c r="R36" s="6">
        <f>$C$13+$C$6*$A$18*$C$10+50*'Carbon Tax'!$B$6</f>
        <v>131999782.44834734</v>
      </c>
      <c r="S36" s="3">
        <f t="shared" si="3"/>
        <v>630120217.55165267</v>
      </c>
      <c r="T36" s="7">
        <f t="shared" si="15"/>
        <v>36845.949754328278</v>
      </c>
      <c r="U36" s="7">
        <f t="shared" ref="U36:U57" si="21">T36*$B$29</f>
        <v>9211.4874385820694</v>
      </c>
      <c r="V36" s="7">
        <f t="shared" si="9"/>
        <v>630111006.06421411</v>
      </c>
      <c r="W36" s="7">
        <f t="shared" si="13"/>
        <v>170129971.63733783</v>
      </c>
      <c r="X36" s="11">
        <f t="shared" si="14"/>
        <v>459990245.91431487</v>
      </c>
      <c r="Y36" s="7">
        <f t="shared" si="20"/>
        <v>169041406.10525048</v>
      </c>
    </row>
    <row r="37" spans="1:25">
      <c r="A37">
        <v>200</v>
      </c>
      <c r="B37" s="2">
        <v>3509933694.4233494</v>
      </c>
      <c r="C37" s="2">
        <v>8945776584.1283264</v>
      </c>
      <c r="E37">
        <v>34</v>
      </c>
      <c r="F37" s="2">
        <v>0</v>
      </c>
      <c r="G37" s="2">
        <v>0</v>
      </c>
      <c r="H37" s="2">
        <f t="shared" si="0"/>
        <v>0</v>
      </c>
      <c r="I37" s="2">
        <v>1115200000</v>
      </c>
      <c r="J37" s="2">
        <f t="shared" si="6"/>
        <v>334560000</v>
      </c>
      <c r="K37" s="2">
        <f t="shared" si="7"/>
        <v>-334560000</v>
      </c>
      <c r="L37" s="2">
        <f>K37*$B$15</f>
        <v>-90331200</v>
      </c>
      <c r="M37" s="2">
        <f t="shared" si="12"/>
        <v>0</v>
      </c>
      <c r="N37" s="2">
        <f t="shared" si="19"/>
        <v>0</v>
      </c>
      <c r="P37">
        <v>34</v>
      </c>
      <c r="Q37" s="3">
        <f t="shared" si="18"/>
        <v>762120000</v>
      </c>
      <c r="R37" s="6">
        <f>$C$13+$C$6*$A$18*$C$10+50*'Carbon Tax'!$B$6</f>
        <v>131999782.44834734</v>
      </c>
      <c r="S37" s="3">
        <f t="shared" si="3"/>
        <v>630120217.55165267</v>
      </c>
      <c r="T37" s="7">
        <f t="shared" si="15"/>
        <v>27634.462315746208</v>
      </c>
      <c r="U37" s="7">
        <f t="shared" si="21"/>
        <v>6908.6155789365521</v>
      </c>
      <c r="V37" s="7">
        <f t="shared" si="9"/>
        <v>630113308.93607378</v>
      </c>
      <c r="W37" s="7">
        <f t="shared" ref="W37:W68" si="22">IF(W36&lt;0,V37*$B$15+W36,V37*$B$15)</f>
        <v>170130593.41273993</v>
      </c>
      <c r="X37" s="11">
        <f t="shared" si="14"/>
        <v>459989624.13891274</v>
      </c>
      <c r="Y37" s="7">
        <f t="shared" si="20"/>
        <v>163990277.07563186</v>
      </c>
    </row>
    <row r="38" spans="1:25">
      <c r="A38">
        <v>250</v>
      </c>
      <c r="B38" s="2">
        <v>4831016483.916419</v>
      </c>
      <c r="C38" s="2">
        <v>11911858793.282722</v>
      </c>
      <c r="E38">
        <v>35</v>
      </c>
      <c r="F38" s="2">
        <v>0</v>
      </c>
      <c r="G38" s="2">
        <v>0</v>
      </c>
      <c r="H38" s="2">
        <f t="shared" si="0"/>
        <v>0</v>
      </c>
      <c r="I38" s="2">
        <f>I37-J37</f>
        <v>780640000</v>
      </c>
      <c r="J38" s="2">
        <f t="shared" si="6"/>
        <v>234192000</v>
      </c>
      <c r="K38" s="2">
        <f t="shared" si="7"/>
        <v>-234192000</v>
      </c>
      <c r="L38" s="2">
        <f t="shared" ref="L38:L69" si="23">IF(L37&lt;0,K38*$B$15+L37,K38*$B$15)</f>
        <v>-153563040</v>
      </c>
      <c r="M38" s="2">
        <f t="shared" si="12"/>
        <v>0</v>
      </c>
      <c r="N38" s="2">
        <f t="shared" si="19"/>
        <v>0</v>
      </c>
      <c r="P38">
        <v>35</v>
      </c>
      <c r="Q38" s="3">
        <f t="shared" si="18"/>
        <v>762120000</v>
      </c>
      <c r="R38" s="6">
        <f>$C$13+$C$6*$A$18*$C$10+50*'Carbon Tax'!$B$6</f>
        <v>131999782.44834734</v>
      </c>
      <c r="S38" s="3">
        <f t="shared" si="3"/>
        <v>630120217.55165267</v>
      </c>
      <c r="T38" s="7">
        <f t="shared" si="15"/>
        <v>20725.846736809657</v>
      </c>
      <c r="U38" s="7">
        <f t="shared" si="21"/>
        <v>5181.4616842024143</v>
      </c>
      <c r="V38" s="7">
        <f t="shared" si="9"/>
        <v>630115036.08996844</v>
      </c>
      <c r="W38" s="7">
        <f t="shared" si="22"/>
        <v>170131059.74429148</v>
      </c>
      <c r="X38" s="11">
        <f t="shared" si="14"/>
        <v>459989157.80736119</v>
      </c>
      <c r="Y38" s="7">
        <f t="shared" si="20"/>
        <v>159090134.67637062</v>
      </c>
    </row>
    <row r="39" spans="1:25">
      <c r="E39">
        <v>36</v>
      </c>
      <c r="F39" s="2">
        <v>0</v>
      </c>
      <c r="G39" s="2">
        <v>0</v>
      </c>
      <c r="H39" s="2">
        <f t="shared" si="0"/>
        <v>0</v>
      </c>
      <c r="I39" s="2">
        <f t="shared" ref="I39:I69" si="24">I38-J38</f>
        <v>546448000</v>
      </c>
      <c r="J39" s="2">
        <f t="shared" si="6"/>
        <v>163934400</v>
      </c>
      <c r="K39" s="2">
        <f t="shared" si="7"/>
        <v>-163934400</v>
      </c>
      <c r="L39" s="2">
        <f t="shared" si="23"/>
        <v>-197825328</v>
      </c>
      <c r="M39" s="2">
        <f t="shared" si="12"/>
        <v>0</v>
      </c>
      <c r="N39" s="2">
        <f t="shared" si="19"/>
        <v>0</v>
      </c>
      <c r="P39">
        <v>36</v>
      </c>
      <c r="Q39" s="3">
        <f t="shared" si="18"/>
        <v>762120000</v>
      </c>
      <c r="R39" s="6">
        <f>$C$13+$C$6*$A$18*$C$10+50*'Carbon Tax'!$B$6</f>
        <v>131999782.44834734</v>
      </c>
      <c r="S39" s="3">
        <f t="shared" si="3"/>
        <v>630120217.55165267</v>
      </c>
      <c r="T39" s="7">
        <f t="shared" si="15"/>
        <v>15544.385052607242</v>
      </c>
      <c r="U39" s="7">
        <f t="shared" si="21"/>
        <v>3886.0962631518105</v>
      </c>
      <c r="V39" s="7">
        <f t="shared" si="9"/>
        <v>630116331.4553895</v>
      </c>
      <c r="W39" s="7">
        <f t="shared" si="22"/>
        <v>170131409.49295518</v>
      </c>
      <c r="X39" s="11">
        <f t="shared" si="14"/>
        <v>459988808.05869746</v>
      </c>
      <c r="Y39" s="7">
        <f t="shared" si="20"/>
        <v>154336451.02212077</v>
      </c>
    </row>
    <row r="40" spans="1:25">
      <c r="E40">
        <v>37</v>
      </c>
      <c r="F40" s="2">
        <f t="shared" ref="F40:F69" si="25">$B$11</f>
        <v>324120000</v>
      </c>
      <c r="G40" s="2">
        <f t="shared" ref="G40:G68" si="26">$B$13</f>
        <v>19600000</v>
      </c>
      <c r="H40" s="2">
        <f t="shared" si="0"/>
        <v>304520000</v>
      </c>
      <c r="I40" s="2">
        <f t="shared" si="24"/>
        <v>382513600</v>
      </c>
      <c r="J40" s="2">
        <f t="shared" si="6"/>
        <v>114754080</v>
      </c>
      <c r="K40" s="2">
        <f t="shared" si="7"/>
        <v>189765920</v>
      </c>
      <c r="L40" s="2">
        <f t="shared" si="23"/>
        <v>-146588529.59999999</v>
      </c>
      <c r="M40" s="2">
        <f t="shared" si="12"/>
        <v>304520000</v>
      </c>
      <c r="N40" s="2">
        <f t="shared" si="19"/>
        <v>99120310.906467289</v>
      </c>
      <c r="P40">
        <v>37</v>
      </c>
      <c r="Q40" s="3">
        <f t="shared" si="18"/>
        <v>762120000</v>
      </c>
      <c r="R40" s="6">
        <f>$C$13+$C$6*$A$18*$C$10+50*'Carbon Tax'!$B$6</f>
        <v>131999782.44834734</v>
      </c>
      <c r="S40" s="3">
        <f t="shared" si="3"/>
        <v>630120217.55165267</v>
      </c>
      <c r="T40" s="7">
        <f t="shared" si="15"/>
        <v>11658.288789455431</v>
      </c>
      <c r="U40" s="7">
        <f t="shared" si="21"/>
        <v>2914.5721973638579</v>
      </c>
      <c r="V40" s="7">
        <f t="shared" si="9"/>
        <v>630117302.97945535</v>
      </c>
      <c r="W40" s="7">
        <f t="shared" si="22"/>
        <v>170131671.80445296</v>
      </c>
      <c r="X40" s="11">
        <f t="shared" si="14"/>
        <v>459988545.74719971</v>
      </c>
      <c r="Y40" s="7">
        <f t="shared" si="20"/>
        <v>149724838.00038153</v>
      </c>
    </row>
    <row r="41" spans="1:25">
      <c r="B41" s="2"/>
      <c r="C41" s="2"/>
      <c r="E41">
        <v>38</v>
      </c>
      <c r="F41" s="2">
        <f t="shared" si="25"/>
        <v>324120000</v>
      </c>
      <c r="G41" s="2">
        <f t="shared" si="26"/>
        <v>19600000</v>
      </c>
      <c r="H41" s="2">
        <f t="shared" si="0"/>
        <v>304520000</v>
      </c>
      <c r="I41" s="2">
        <f t="shared" si="24"/>
        <v>267759520</v>
      </c>
      <c r="J41" s="2">
        <f t="shared" si="6"/>
        <v>80327856</v>
      </c>
      <c r="K41" s="2">
        <f t="shared" si="7"/>
        <v>224192144</v>
      </c>
      <c r="L41" s="2">
        <f t="shared" si="23"/>
        <v>-86056650.719999999</v>
      </c>
      <c r="M41" s="2">
        <f t="shared" si="12"/>
        <v>304520000</v>
      </c>
      <c r="N41" s="2">
        <f t="shared" si="19"/>
        <v>96158625.248804122</v>
      </c>
      <c r="P41">
        <v>38</v>
      </c>
      <c r="Q41" s="3">
        <f t="shared" si="18"/>
        <v>762120000</v>
      </c>
      <c r="R41" s="6">
        <f>$C$13+$C$6*$A$18*$C$10+50*'Carbon Tax'!$B$6</f>
        <v>131999782.44834734</v>
      </c>
      <c r="S41" s="3">
        <f t="shared" si="3"/>
        <v>630120217.55165267</v>
      </c>
      <c r="T41" s="7">
        <f t="shared" si="15"/>
        <v>8743.7165920915741</v>
      </c>
      <c r="U41" s="7">
        <f t="shared" si="21"/>
        <v>2185.9291480228935</v>
      </c>
      <c r="V41" s="7">
        <f t="shared" si="9"/>
        <v>630118031.62250459</v>
      </c>
      <c r="W41" s="7">
        <f t="shared" si="22"/>
        <v>170131868.53807625</v>
      </c>
      <c r="X41" s="11">
        <f t="shared" si="14"/>
        <v>459988349.01357639</v>
      </c>
      <c r="Y41" s="7">
        <f t="shared" si="20"/>
        <v>145251041.87446672</v>
      </c>
    </row>
    <row r="42" spans="1:25">
      <c r="B42" s="2"/>
      <c r="C42" s="2"/>
      <c r="E42">
        <v>39</v>
      </c>
      <c r="F42" s="2">
        <f t="shared" si="25"/>
        <v>324120000</v>
      </c>
      <c r="G42" s="2">
        <f t="shared" si="26"/>
        <v>19600000</v>
      </c>
      <c r="H42" s="2">
        <f t="shared" si="0"/>
        <v>304520000</v>
      </c>
      <c r="I42" s="2">
        <f t="shared" si="24"/>
        <v>187431664</v>
      </c>
      <c r="J42" s="2">
        <f t="shared" si="6"/>
        <v>56229499.199999996</v>
      </c>
      <c r="K42" s="2">
        <f t="shared" si="7"/>
        <v>248290500.80000001</v>
      </c>
      <c r="L42" s="2">
        <f t="shared" si="23"/>
        <v>-19018215.503999993</v>
      </c>
      <c r="M42" s="2">
        <f t="shared" si="12"/>
        <v>304520000</v>
      </c>
      <c r="N42" s="2">
        <f t="shared" si="19"/>
        <v>93285433.885141775</v>
      </c>
      <c r="P42">
        <v>39</v>
      </c>
      <c r="Q42" s="3">
        <f t="shared" si="18"/>
        <v>762120000</v>
      </c>
      <c r="R42" s="6">
        <f>$C$13+$C$6*$A$18*$C$10+50*'Carbon Tax'!$B$6</f>
        <v>131999782.44834734</v>
      </c>
      <c r="S42" s="3">
        <f t="shared" si="3"/>
        <v>630120217.55165267</v>
      </c>
      <c r="T42" s="7">
        <f t="shared" si="15"/>
        <v>6557.787444068681</v>
      </c>
      <c r="U42" s="7">
        <f t="shared" si="21"/>
        <v>1639.4468610171702</v>
      </c>
      <c r="V42" s="7">
        <f t="shared" si="9"/>
        <v>630118578.10479164</v>
      </c>
      <c r="W42" s="7">
        <f t="shared" si="22"/>
        <v>170132016.08829376</v>
      </c>
      <c r="X42" s="11">
        <f t="shared" si="14"/>
        <v>459988201.46335888</v>
      </c>
      <c r="Y42" s="7">
        <f t="shared" si="20"/>
        <v>140910938.38025561</v>
      </c>
    </row>
    <row r="43" spans="1:25">
      <c r="B43" s="2"/>
      <c r="C43" s="2"/>
      <c r="E43">
        <v>40</v>
      </c>
      <c r="F43" s="2">
        <f t="shared" si="25"/>
        <v>324120000</v>
      </c>
      <c r="G43" s="2">
        <f t="shared" si="26"/>
        <v>19600000</v>
      </c>
      <c r="H43" s="2">
        <f t="shared" si="0"/>
        <v>304520000</v>
      </c>
      <c r="I43" s="2">
        <f t="shared" si="24"/>
        <v>131202164.80000001</v>
      </c>
      <c r="J43" s="2">
        <f t="shared" si="6"/>
        <v>39360649.440000005</v>
      </c>
      <c r="K43" s="2">
        <f t="shared" si="7"/>
        <v>265159350.56</v>
      </c>
      <c r="L43" s="2">
        <f t="shared" si="23"/>
        <v>52574809.147200018</v>
      </c>
      <c r="M43" s="2">
        <f t="shared" si="12"/>
        <v>251945190.85279998</v>
      </c>
      <c r="N43" s="2">
        <f t="shared" si="19"/>
        <v>74873765.992388755</v>
      </c>
      <c r="P43">
        <v>40</v>
      </c>
      <c r="Q43" s="3">
        <f t="shared" si="18"/>
        <v>762120000</v>
      </c>
      <c r="R43" s="6">
        <f>$C$13+$C$6*$A$18*$C$10+50*'Carbon Tax'!$B$6</f>
        <v>131999782.44834734</v>
      </c>
      <c r="S43" s="3">
        <f t="shared" si="3"/>
        <v>630120217.55165267</v>
      </c>
      <c r="T43" s="7">
        <f t="shared" si="15"/>
        <v>4918.3405830515112</v>
      </c>
      <c r="U43" s="7">
        <f t="shared" si="21"/>
        <v>1229.5851457628778</v>
      </c>
      <c r="V43" s="7">
        <f t="shared" si="9"/>
        <v>630118987.96650696</v>
      </c>
      <c r="W43" s="7">
        <f t="shared" si="22"/>
        <v>170132126.75095689</v>
      </c>
      <c r="X43" s="11">
        <f t="shared" si="14"/>
        <v>459988090.80069578</v>
      </c>
      <c r="Y43" s="7">
        <f t="shared" si="20"/>
        <v>136700528.21138898</v>
      </c>
    </row>
    <row r="44" spans="1:25">
      <c r="B44" s="2"/>
      <c r="C44" s="2"/>
      <c r="E44">
        <v>41</v>
      </c>
      <c r="F44" s="2">
        <f t="shared" si="25"/>
        <v>324120000</v>
      </c>
      <c r="G44" s="2">
        <f t="shared" si="26"/>
        <v>19600000</v>
      </c>
      <c r="H44" s="2">
        <f t="shared" si="0"/>
        <v>304520000</v>
      </c>
      <c r="I44" s="2">
        <f t="shared" si="24"/>
        <v>91841515.360000014</v>
      </c>
      <c r="J44" s="2">
        <f t="shared" si="6"/>
        <v>27552454.608000003</v>
      </c>
      <c r="K44" s="2">
        <f t="shared" si="7"/>
        <v>276967545.39200002</v>
      </c>
      <c r="L44" s="2">
        <f t="shared" si="23"/>
        <v>74781237.255840003</v>
      </c>
      <c r="M44" s="2">
        <f t="shared" si="12"/>
        <v>229738762.74416</v>
      </c>
      <c r="N44" s="2">
        <f t="shared" si="19"/>
        <v>66234379.610553205</v>
      </c>
      <c r="P44">
        <v>41</v>
      </c>
      <c r="Q44" s="3">
        <f t="shared" si="18"/>
        <v>762120000</v>
      </c>
      <c r="R44" s="6">
        <f>$C$13+$C$6*$A$18*$C$10+50*'Carbon Tax'!$B$6</f>
        <v>131999782.44834734</v>
      </c>
      <c r="S44" s="3">
        <f t="shared" si="3"/>
        <v>630120217.55165267</v>
      </c>
      <c r="T44" s="7">
        <f t="shared" si="15"/>
        <v>3688.7554372886334</v>
      </c>
      <c r="U44" s="7">
        <f t="shared" si="21"/>
        <v>922.18885932215835</v>
      </c>
      <c r="V44" s="7">
        <f t="shared" si="9"/>
        <v>630119295.36279333</v>
      </c>
      <c r="W44" s="7">
        <f t="shared" si="22"/>
        <v>170132209.74795422</v>
      </c>
      <c r="X44" s="11">
        <f t="shared" si="14"/>
        <v>459988007.80369842</v>
      </c>
      <c r="Y44" s="7">
        <f t="shared" si="20"/>
        <v>132615932.81539838</v>
      </c>
    </row>
    <row r="45" spans="1:25">
      <c r="B45" s="2"/>
      <c r="C45" s="2"/>
      <c r="E45">
        <v>42</v>
      </c>
      <c r="F45" s="2">
        <f t="shared" si="25"/>
        <v>324120000</v>
      </c>
      <c r="G45" s="2">
        <f t="shared" si="26"/>
        <v>19600000</v>
      </c>
      <c r="H45" s="2">
        <f t="shared" si="0"/>
        <v>304520000</v>
      </c>
      <c r="I45" s="2">
        <f t="shared" si="24"/>
        <v>64289060.752000012</v>
      </c>
      <c r="J45" s="2">
        <f t="shared" si="6"/>
        <v>19286718.225600004</v>
      </c>
      <c r="K45" s="2">
        <f t="shared" si="7"/>
        <v>285233281.7744</v>
      </c>
      <c r="L45" s="2">
        <f t="shared" si="23"/>
        <v>77012986.079088002</v>
      </c>
      <c r="M45" s="2">
        <f t="shared" si="12"/>
        <v>227507013.920912</v>
      </c>
      <c r="N45" s="2">
        <f t="shared" si="19"/>
        <v>63631121.148689203</v>
      </c>
      <c r="P45">
        <v>42</v>
      </c>
      <c r="Q45" s="3">
        <f t="shared" si="18"/>
        <v>762120000</v>
      </c>
      <c r="R45" s="6">
        <f>$C$13+$C$6*$A$18*$C$10+50*'Carbon Tax'!$B$6</f>
        <v>131999782.44834734</v>
      </c>
      <c r="S45" s="3">
        <f t="shared" si="3"/>
        <v>630120217.55165267</v>
      </c>
      <c r="T45" s="7">
        <f t="shared" si="15"/>
        <v>2766.5665779664751</v>
      </c>
      <c r="U45" s="7">
        <f t="shared" si="21"/>
        <v>691.64164449161876</v>
      </c>
      <c r="V45" s="7">
        <f t="shared" si="9"/>
        <v>630119525.91000819</v>
      </c>
      <c r="W45" s="7">
        <f t="shared" si="22"/>
        <v>170132271.99570224</v>
      </c>
      <c r="X45" s="11">
        <f t="shared" si="14"/>
        <v>459987945.5559504</v>
      </c>
      <c r="Y45" s="7">
        <f t="shared" si="20"/>
        <v>128653390.44352397</v>
      </c>
    </row>
    <row r="46" spans="1:25">
      <c r="B46" s="2"/>
      <c r="C46" s="2"/>
      <c r="E46">
        <v>43</v>
      </c>
      <c r="F46" s="2">
        <f t="shared" si="25"/>
        <v>324120000</v>
      </c>
      <c r="G46" s="2">
        <f t="shared" si="26"/>
        <v>19600000</v>
      </c>
      <c r="H46" s="2">
        <f t="shared" si="0"/>
        <v>304520000</v>
      </c>
      <c r="I46" s="2">
        <f t="shared" si="24"/>
        <v>45002342.526400007</v>
      </c>
      <c r="J46" s="2">
        <f t="shared" si="6"/>
        <v>13500702.757920003</v>
      </c>
      <c r="K46" s="2">
        <f t="shared" si="7"/>
        <v>291019297.24207997</v>
      </c>
      <c r="L46" s="2">
        <f t="shared" si="23"/>
        <v>78575210.255361602</v>
      </c>
      <c r="M46" s="2">
        <f t="shared" si="12"/>
        <v>225944789.74463838</v>
      </c>
      <c r="N46" s="2">
        <f t="shared" si="19"/>
        <v>61305961.229906403</v>
      </c>
      <c r="P46">
        <v>43</v>
      </c>
      <c r="Q46" s="3">
        <f t="shared" si="18"/>
        <v>762120000</v>
      </c>
      <c r="R46" s="6">
        <f>$C$13+$C$6*$A$18*$C$10+50*'Carbon Tax'!$B$6</f>
        <v>131999782.44834734</v>
      </c>
      <c r="S46" s="3">
        <f t="shared" si="3"/>
        <v>630120217.55165267</v>
      </c>
      <c r="T46" s="7">
        <f t="shared" si="15"/>
        <v>2074.9249334748565</v>
      </c>
      <c r="U46" s="7">
        <f t="shared" si="21"/>
        <v>518.73123336871413</v>
      </c>
      <c r="V46" s="7">
        <f t="shared" si="9"/>
        <v>630119698.82041931</v>
      </c>
      <c r="W46" s="7">
        <f t="shared" si="22"/>
        <v>170132318.68151322</v>
      </c>
      <c r="X46" s="11">
        <f t="shared" si="14"/>
        <v>459987898.87013948</v>
      </c>
      <c r="Y46" s="7">
        <f t="shared" si="20"/>
        <v>124809252.41175231</v>
      </c>
    </row>
    <row r="47" spans="1:25">
      <c r="B47" s="2"/>
      <c r="C47" s="2"/>
      <c r="E47">
        <v>44</v>
      </c>
      <c r="F47" s="2">
        <f t="shared" si="25"/>
        <v>324120000</v>
      </c>
      <c r="G47" s="2">
        <f t="shared" si="26"/>
        <v>19600000</v>
      </c>
      <c r="H47" s="2">
        <f t="shared" si="0"/>
        <v>304520000</v>
      </c>
      <c r="I47" s="2">
        <f t="shared" si="24"/>
        <v>31501639.768480003</v>
      </c>
      <c r="J47" s="2">
        <f t="shared" si="6"/>
        <v>9450491.9305440001</v>
      </c>
      <c r="K47" s="2">
        <f t="shared" si="7"/>
        <v>295069508.06945598</v>
      </c>
      <c r="L47" s="2">
        <f t="shared" si="23"/>
        <v>79668767.178753123</v>
      </c>
      <c r="M47" s="2">
        <f t="shared" si="12"/>
        <v>224851232.82124686</v>
      </c>
      <c r="N47" s="2">
        <f t="shared" si="19"/>
        <v>59186306.442175038</v>
      </c>
      <c r="P47">
        <v>44</v>
      </c>
      <c r="Q47" s="3">
        <f t="shared" si="18"/>
        <v>762120000</v>
      </c>
      <c r="R47" s="6">
        <f>$C$13+$C$6*$A$18*$C$10+50*'Carbon Tax'!$B$6</f>
        <v>131999782.44834734</v>
      </c>
      <c r="S47" s="3">
        <f t="shared" si="3"/>
        <v>630120217.55165267</v>
      </c>
      <c r="T47" s="7">
        <f t="shared" si="15"/>
        <v>1556.1937001061424</v>
      </c>
      <c r="U47" s="7">
        <f t="shared" si="21"/>
        <v>389.0484250265356</v>
      </c>
      <c r="V47" s="7">
        <f t="shared" si="9"/>
        <v>630119828.50322759</v>
      </c>
      <c r="W47" s="7">
        <f t="shared" si="22"/>
        <v>170132353.69587147</v>
      </c>
      <c r="X47" s="11">
        <f t="shared" si="14"/>
        <v>459987863.8557812</v>
      </c>
      <c r="Y47" s="7">
        <f t="shared" si="20"/>
        <v>121079979.54137607</v>
      </c>
    </row>
    <row r="48" spans="1:25">
      <c r="B48" s="2"/>
      <c r="C48" s="2"/>
      <c r="E48">
        <v>45</v>
      </c>
      <c r="F48" s="2">
        <f t="shared" si="25"/>
        <v>324120000</v>
      </c>
      <c r="G48" s="2">
        <f t="shared" si="26"/>
        <v>19600000</v>
      </c>
      <c r="H48" s="2">
        <f t="shared" si="0"/>
        <v>304520000</v>
      </c>
      <c r="I48" s="2">
        <f t="shared" si="24"/>
        <v>22051147.837936003</v>
      </c>
      <c r="J48" s="2">
        <f t="shared" si="6"/>
        <v>6615344.3513808008</v>
      </c>
      <c r="K48" s="2">
        <f t="shared" si="7"/>
        <v>297904655.64861917</v>
      </c>
      <c r="L48" s="2">
        <f t="shared" si="23"/>
        <v>80434257.025127187</v>
      </c>
      <c r="M48" s="2">
        <f t="shared" si="12"/>
        <v>224085742.97487283</v>
      </c>
      <c r="N48" s="2">
        <f t="shared" si="19"/>
        <v>57222362.165063225</v>
      </c>
      <c r="P48">
        <v>45</v>
      </c>
      <c r="Q48" s="3">
        <f t="shared" si="18"/>
        <v>762120000</v>
      </c>
      <c r="R48" s="6">
        <f>$C$13+$C$6*$A$18*$C$10+50*'Carbon Tax'!$B$6</f>
        <v>131999782.44834734</v>
      </c>
      <c r="S48" s="3">
        <f t="shared" si="3"/>
        <v>630120217.55165267</v>
      </c>
      <c r="T48" s="7">
        <f t="shared" si="15"/>
        <v>1167.1452750796068</v>
      </c>
      <c r="U48" s="7">
        <f t="shared" si="21"/>
        <v>291.7863187699017</v>
      </c>
      <c r="V48" s="7">
        <f t="shared" si="9"/>
        <v>630119925.76533389</v>
      </c>
      <c r="W48" s="7">
        <f t="shared" si="22"/>
        <v>170132379.95664015</v>
      </c>
      <c r="X48" s="11">
        <f t="shared" si="14"/>
        <v>459987837.59501255</v>
      </c>
      <c r="Y48" s="7">
        <f t="shared" si="20"/>
        <v>117462138.75524239</v>
      </c>
    </row>
    <row r="49" spans="2:25">
      <c r="B49" s="2"/>
      <c r="C49" s="2"/>
      <c r="E49">
        <v>46</v>
      </c>
      <c r="F49" s="2">
        <f t="shared" si="25"/>
        <v>324120000</v>
      </c>
      <c r="G49" s="2">
        <f t="shared" si="26"/>
        <v>19600000</v>
      </c>
      <c r="H49" s="2">
        <f t="shared" si="0"/>
        <v>304520000</v>
      </c>
      <c r="I49" s="2">
        <f t="shared" si="24"/>
        <v>15435803.486555202</v>
      </c>
      <c r="J49" s="2">
        <f t="shared" si="6"/>
        <v>4630741.04596656</v>
      </c>
      <c r="K49" s="2">
        <f t="shared" si="7"/>
        <v>299889258.95403343</v>
      </c>
      <c r="L49" s="2">
        <f t="shared" si="23"/>
        <v>80970099.917589039</v>
      </c>
      <c r="M49" s="2">
        <f t="shared" si="12"/>
        <v>223549900.08241096</v>
      </c>
      <c r="N49" s="2">
        <f t="shared" si="19"/>
        <v>55379830.945007518</v>
      </c>
      <c r="P49">
        <v>46</v>
      </c>
      <c r="Q49" s="3">
        <f t="shared" si="18"/>
        <v>762120000</v>
      </c>
      <c r="R49" s="6">
        <f>$C$13+$C$6*$A$18*$C$10+50*'Carbon Tax'!$B$6</f>
        <v>131999782.44834734</v>
      </c>
      <c r="S49" s="3">
        <f t="shared" si="3"/>
        <v>630120217.55165267</v>
      </c>
      <c r="T49" s="7">
        <f t="shared" si="15"/>
        <v>875.35895630970504</v>
      </c>
      <c r="U49" s="7">
        <f t="shared" si="21"/>
        <v>218.83973907742626</v>
      </c>
      <c r="V49" s="7">
        <f t="shared" si="9"/>
        <v>630119998.71191359</v>
      </c>
      <c r="W49" s="7">
        <f t="shared" si="22"/>
        <v>170132399.65221667</v>
      </c>
      <c r="X49" s="11">
        <f t="shared" si="14"/>
        <v>459987817.899436</v>
      </c>
      <c r="Y49" s="7">
        <f t="shared" si="20"/>
        <v>113952399.81159796</v>
      </c>
    </row>
    <row r="50" spans="2:25">
      <c r="B50" s="2"/>
      <c r="C50" s="2"/>
      <c r="E50">
        <v>47</v>
      </c>
      <c r="F50" s="2">
        <f t="shared" si="25"/>
        <v>324120000</v>
      </c>
      <c r="G50" s="2">
        <f t="shared" si="26"/>
        <v>19600000</v>
      </c>
      <c r="H50" s="2">
        <f t="shared" si="0"/>
        <v>304520000</v>
      </c>
      <c r="I50" s="2">
        <f t="shared" si="24"/>
        <v>10805062.440588642</v>
      </c>
      <c r="J50" s="2">
        <f t="shared" si="6"/>
        <v>3241518.7321765926</v>
      </c>
      <c r="K50" s="2">
        <f t="shared" si="7"/>
        <v>301278481.2678234</v>
      </c>
      <c r="L50" s="2">
        <f t="shared" si="23"/>
        <v>81345189.94231233</v>
      </c>
      <c r="M50" s="2">
        <f t="shared" si="12"/>
        <v>223174810.05768767</v>
      </c>
      <c r="N50" s="2">
        <f t="shared" si="19"/>
        <v>53634953.633039467</v>
      </c>
      <c r="P50">
        <v>47</v>
      </c>
      <c r="Q50" s="3">
        <f t="shared" si="18"/>
        <v>762120000</v>
      </c>
      <c r="R50" s="6">
        <f>$C$13+$C$6*$A$18*$C$10+50*'Carbon Tax'!$B$6</f>
        <v>131999782.44834734</v>
      </c>
      <c r="S50" s="3">
        <f t="shared" si="3"/>
        <v>630120217.55165267</v>
      </c>
      <c r="T50" s="7">
        <f t="shared" si="15"/>
        <v>656.51921723227883</v>
      </c>
      <c r="U50" s="7">
        <f t="shared" si="21"/>
        <v>164.12980430806971</v>
      </c>
      <c r="V50" s="7">
        <f t="shared" si="9"/>
        <v>630120053.42184842</v>
      </c>
      <c r="W50" s="7">
        <f t="shared" si="22"/>
        <v>170132414.42389908</v>
      </c>
      <c r="X50" s="11">
        <f t="shared" si="14"/>
        <v>459987803.12775362</v>
      </c>
      <c r="Y50" s="7">
        <f t="shared" si="20"/>
        <v>110547532.1616428</v>
      </c>
    </row>
    <row r="51" spans="2:25">
      <c r="B51" s="2"/>
      <c r="C51" s="2"/>
      <c r="E51">
        <v>48</v>
      </c>
      <c r="F51" s="2">
        <f t="shared" si="25"/>
        <v>324120000</v>
      </c>
      <c r="G51" s="2">
        <f t="shared" si="26"/>
        <v>19600000</v>
      </c>
      <c r="H51" s="2">
        <f t="shared" si="0"/>
        <v>304520000</v>
      </c>
      <c r="I51" s="2">
        <f t="shared" si="24"/>
        <v>7563543.7084120493</v>
      </c>
      <c r="J51" s="2">
        <f t="shared" si="6"/>
        <v>2269063.1125236149</v>
      </c>
      <c r="K51" s="2">
        <f t="shared" si="7"/>
        <v>302250936.88747638</v>
      </c>
      <c r="L51" s="2">
        <f t="shared" si="23"/>
        <v>81607752.959618628</v>
      </c>
      <c r="M51" s="2">
        <f t="shared" si="12"/>
        <v>222912247.04038137</v>
      </c>
      <c r="N51" s="2">
        <f t="shared" si="19"/>
        <v>51971141.468768656</v>
      </c>
      <c r="P51">
        <v>48</v>
      </c>
      <c r="Q51" s="3">
        <f t="shared" si="18"/>
        <v>762120000</v>
      </c>
      <c r="R51" s="6">
        <f>$C$13+$C$6*$A$18*$C$10+50*'Carbon Tax'!$B$6</f>
        <v>131999782.44834734</v>
      </c>
      <c r="S51" s="3">
        <f t="shared" si="3"/>
        <v>630120217.55165267</v>
      </c>
      <c r="T51" s="7">
        <f t="shared" si="15"/>
        <v>492.38941292420913</v>
      </c>
      <c r="U51" s="7">
        <f t="shared" si="21"/>
        <v>123.09735323105228</v>
      </c>
      <c r="V51" s="7">
        <f t="shared" si="9"/>
        <v>630120094.45429945</v>
      </c>
      <c r="W51" s="7">
        <f t="shared" si="22"/>
        <v>170132425.50266087</v>
      </c>
      <c r="X51" s="11">
        <f t="shared" si="14"/>
        <v>459987792.0489918</v>
      </c>
      <c r="Y51" s="7">
        <f t="shared" si="20"/>
        <v>107244401.9199807</v>
      </c>
    </row>
    <row r="52" spans="2:25">
      <c r="B52" s="2"/>
      <c r="C52" s="2"/>
      <c r="E52">
        <v>49</v>
      </c>
      <c r="F52" s="2">
        <f t="shared" si="25"/>
        <v>324120000</v>
      </c>
      <c r="G52" s="2">
        <f t="shared" si="26"/>
        <v>19600000</v>
      </c>
      <c r="H52" s="2">
        <f t="shared" si="0"/>
        <v>304520000</v>
      </c>
      <c r="I52" s="2">
        <f t="shared" si="24"/>
        <v>5294480.595888434</v>
      </c>
      <c r="J52" s="2">
        <f t="shared" si="6"/>
        <v>1588344.1787665302</v>
      </c>
      <c r="K52" s="2">
        <f t="shared" si="7"/>
        <v>302931655.82123345</v>
      </c>
      <c r="L52" s="2">
        <f t="shared" si="23"/>
        <v>81791547.071733043</v>
      </c>
      <c r="M52" s="2">
        <f t="shared" si="12"/>
        <v>222728452.92826694</v>
      </c>
      <c r="N52" s="2">
        <f t="shared" si="19"/>
        <v>50376688.563719623</v>
      </c>
      <c r="P52">
        <v>49</v>
      </c>
      <c r="Q52" s="3">
        <f t="shared" si="18"/>
        <v>762120000</v>
      </c>
      <c r="R52" s="6">
        <f>$C$13+$C$6*$A$18*$C$10+50*'Carbon Tax'!$B$6</f>
        <v>131999782.44834734</v>
      </c>
      <c r="S52" s="3">
        <f t="shared" si="3"/>
        <v>630120217.55165267</v>
      </c>
      <c r="T52" s="7">
        <f t="shared" si="15"/>
        <v>369.29205969315683</v>
      </c>
      <c r="U52" s="7">
        <f t="shared" si="21"/>
        <v>92.323014923289207</v>
      </c>
      <c r="V52" s="7">
        <f t="shared" si="9"/>
        <v>630120125.2286377</v>
      </c>
      <c r="W52" s="7">
        <f t="shared" si="22"/>
        <v>170132433.8117322</v>
      </c>
      <c r="X52" s="11">
        <f t="shared" si="14"/>
        <v>459987783.7399205</v>
      </c>
      <c r="Y52" s="7">
        <f t="shared" si="20"/>
        <v>104039968.93941832</v>
      </c>
    </row>
    <row r="53" spans="2:25">
      <c r="B53" s="2"/>
      <c r="C53" s="2"/>
      <c r="E53">
        <v>50</v>
      </c>
      <c r="F53" s="2">
        <f t="shared" si="25"/>
        <v>324120000</v>
      </c>
      <c r="G53" s="2">
        <f t="shared" si="26"/>
        <v>19600000</v>
      </c>
      <c r="H53" s="2">
        <f t="shared" si="0"/>
        <v>304520000</v>
      </c>
      <c r="I53" s="2">
        <f t="shared" si="24"/>
        <v>3706136.417121904</v>
      </c>
      <c r="J53" s="2">
        <f t="shared" si="6"/>
        <v>1111840.9251365711</v>
      </c>
      <c r="K53" s="2">
        <f t="shared" si="7"/>
        <v>303408159.07486343</v>
      </c>
      <c r="L53" s="2">
        <f t="shared" si="23"/>
        <v>81920202.950213134</v>
      </c>
      <c r="M53" s="2">
        <f t="shared" si="12"/>
        <v>222599797.04978687</v>
      </c>
      <c r="N53" s="2">
        <f t="shared" si="19"/>
        <v>48843218.079298139</v>
      </c>
      <c r="P53">
        <v>50</v>
      </c>
      <c r="Q53" s="3">
        <f t="shared" si="18"/>
        <v>762120000</v>
      </c>
      <c r="R53" s="6">
        <f>$C$13+$C$6*$A$18*$C$10+50*'Carbon Tax'!$B$6</f>
        <v>131999782.44834734</v>
      </c>
      <c r="S53" s="3">
        <f t="shared" si="3"/>
        <v>630120217.55165267</v>
      </c>
      <c r="T53" s="7">
        <f t="shared" si="15"/>
        <v>276.96904476986765</v>
      </c>
      <c r="U53" s="7">
        <f t="shared" si="21"/>
        <v>69.242261192466913</v>
      </c>
      <c r="V53" s="7">
        <f t="shared" si="9"/>
        <v>630120148.3093915</v>
      </c>
      <c r="W53" s="7">
        <f t="shared" si="22"/>
        <v>170132440.04353571</v>
      </c>
      <c r="X53" s="11">
        <f t="shared" si="14"/>
        <v>459987777.50811696</v>
      </c>
      <c r="Y53" s="7">
        <f t="shared" si="20"/>
        <v>100931283.98322652</v>
      </c>
    </row>
    <row r="54" spans="2:25">
      <c r="B54" s="2"/>
      <c r="C54" s="2"/>
      <c r="E54">
        <v>51</v>
      </c>
      <c r="F54" s="2">
        <f t="shared" si="25"/>
        <v>324120000</v>
      </c>
      <c r="G54" s="2">
        <f t="shared" si="26"/>
        <v>19600000</v>
      </c>
      <c r="H54" s="2">
        <f t="shared" si="0"/>
        <v>304520000</v>
      </c>
      <c r="I54" s="2">
        <f t="shared" si="24"/>
        <v>2594295.4919853332</v>
      </c>
      <c r="J54" s="2">
        <f t="shared" si="6"/>
        <v>778288.64759559988</v>
      </c>
      <c r="K54" s="2">
        <f t="shared" si="7"/>
        <v>303741711.35240442</v>
      </c>
      <c r="L54" s="2">
        <f t="shared" si="23"/>
        <v>82010262.065149203</v>
      </c>
      <c r="M54" s="2">
        <f t="shared" si="12"/>
        <v>222509737.93485081</v>
      </c>
      <c r="N54" s="2">
        <f t="shared" si="19"/>
        <v>47364626.657312527</v>
      </c>
      <c r="P54">
        <v>51</v>
      </c>
      <c r="Q54" s="3">
        <f t="shared" si="18"/>
        <v>762120000</v>
      </c>
      <c r="R54" s="6">
        <f>$C$13+$C$6*$A$18*$C$10+50*'Carbon Tax'!$B$6</f>
        <v>131999782.44834734</v>
      </c>
      <c r="S54" s="3">
        <f t="shared" si="3"/>
        <v>630120217.55165267</v>
      </c>
      <c r="T54" s="7">
        <f t="shared" si="15"/>
        <v>207.72678357740074</v>
      </c>
      <c r="U54" s="7">
        <f t="shared" si="21"/>
        <v>51.931695894350185</v>
      </c>
      <c r="V54" s="7">
        <f t="shared" si="9"/>
        <v>630120165.61995673</v>
      </c>
      <c r="W54" s="7">
        <f t="shared" si="22"/>
        <v>170132444.71738833</v>
      </c>
      <c r="X54" s="11">
        <f t="shared" si="14"/>
        <v>459987772.83426434</v>
      </c>
      <c r="Y54" s="7">
        <f t="shared" si="20"/>
        <v>97915485.989214227</v>
      </c>
    </row>
    <row r="55" spans="2:25">
      <c r="B55" s="2"/>
      <c r="C55" s="2"/>
      <c r="E55">
        <v>52</v>
      </c>
      <c r="F55" s="2">
        <f t="shared" si="25"/>
        <v>324120000</v>
      </c>
      <c r="G55" s="2">
        <f t="shared" si="26"/>
        <v>19600000</v>
      </c>
      <c r="H55" s="2">
        <f t="shared" si="0"/>
        <v>304520000</v>
      </c>
      <c r="I55" s="2">
        <f t="shared" si="24"/>
        <v>1816006.8443897334</v>
      </c>
      <c r="J55" s="2">
        <f t="shared" si="6"/>
        <v>544802.05331691995</v>
      </c>
      <c r="K55" s="2">
        <f t="shared" si="7"/>
        <v>303975197.94668311</v>
      </c>
      <c r="L55" s="2">
        <f t="shared" si="23"/>
        <v>82073303.445604444</v>
      </c>
      <c r="M55" s="2">
        <f t="shared" si="12"/>
        <v>222446696.55439556</v>
      </c>
      <c r="N55" s="2">
        <f t="shared" si="19"/>
        <v>45936367.217692226</v>
      </c>
      <c r="P55">
        <v>52</v>
      </c>
      <c r="Q55" s="3">
        <f t="shared" si="18"/>
        <v>762120000</v>
      </c>
      <c r="R55" s="6">
        <f>$C$13+$C$6*$A$18*$C$10+50*'Carbon Tax'!$B$6</f>
        <v>131999782.44834734</v>
      </c>
      <c r="S55" s="3">
        <f t="shared" si="3"/>
        <v>630120217.55165267</v>
      </c>
      <c r="T55" s="7">
        <f t="shared" si="15"/>
        <v>155.79508768305055</v>
      </c>
      <c r="U55" s="7">
        <f t="shared" si="21"/>
        <v>38.948771920762638</v>
      </c>
      <c r="V55" s="7">
        <f t="shared" si="9"/>
        <v>630120178.60288072</v>
      </c>
      <c r="W55" s="7">
        <f t="shared" si="22"/>
        <v>170132448.22277781</v>
      </c>
      <c r="X55" s="11">
        <f t="shared" si="14"/>
        <v>459987769.32887483</v>
      </c>
      <c r="Y55" s="7">
        <f t="shared" si="20"/>
        <v>94989799.420875087</v>
      </c>
    </row>
    <row r="56" spans="2:25">
      <c r="B56" s="2"/>
      <c r="C56" s="2"/>
      <c r="E56">
        <v>53</v>
      </c>
      <c r="F56" s="2">
        <f t="shared" si="25"/>
        <v>324120000</v>
      </c>
      <c r="G56" s="2">
        <f t="shared" si="26"/>
        <v>19600000</v>
      </c>
      <c r="H56" s="2">
        <f t="shared" si="0"/>
        <v>304520000</v>
      </c>
      <c r="I56" s="2">
        <f t="shared" si="24"/>
        <v>1271204.7910728133</v>
      </c>
      <c r="J56" s="2">
        <f t="shared" si="6"/>
        <v>381361.43732184399</v>
      </c>
      <c r="K56" s="2">
        <f t="shared" si="7"/>
        <v>304138638.56267816</v>
      </c>
      <c r="L56" s="2">
        <f t="shared" si="23"/>
        <v>82117432.41192311</v>
      </c>
      <c r="M56" s="2">
        <f t="shared" si="12"/>
        <v>222402567.58807689</v>
      </c>
      <c r="N56" s="2">
        <f t="shared" si="19"/>
        <v>44554961.547432214</v>
      </c>
      <c r="P56">
        <v>53</v>
      </c>
      <c r="Q56" s="3">
        <f t="shared" si="18"/>
        <v>762120000</v>
      </c>
      <c r="R56" s="6">
        <f>$C$13+$C$6*$A$18*$C$10+50*'Carbon Tax'!$B$6</f>
        <v>131999782.44834734</v>
      </c>
      <c r="S56" s="3">
        <f t="shared" si="3"/>
        <v>630120217.55165267</v>
      </c>
      <c r="T56" s="7">
        <f t="shared" si="15"/>
        <v>116.84631576228792</v>
      </c>
      <c r="U56" s="7">
        <f t="shared" si="21"/>
        <v>29.211578940571979</v>
      </c>
      <c r="V56" s="7">
        <f t="shared" si="9"/>
        <v>630120188.3400737</v>
      </c>
      <c r="W56" s="7">
        <f t="shared" si="22"/>
        <v>170132450.8518199</v>
      </c>
      <c r="X56" s="11">
        <f t="shared" si="14"/>
        <v>459987766.6998328</v>
      </c>
      <c r="Y56" s="7">
        <f t="shared" si="20"/>
        <v>92151531.701556683</v>
      </c>
    </row>
    <row r="57" spans="2:25">
      <c r="E57">
        <v>54</v>
      </c>
      <c r="F57" s="2">
        <f t="shared" si="25"/>
        <v>324120000</v>
      </c>
      <c r="G57" s="2">
        <f t="shared" si="26"/>
        <v>19600000</v>
      </c>
      <c r="H57" s="2">
        <f t="shared" si="0"/>
        <v>304520000</v>
      </c>
      <c r="I57" s="2">
        <f t="shared" si="24"/>
        <v>889843.35375096928</v>
      </c>
      <c r="J57" s="2">
        <f t="shared" si="6"/>
        <v>266953.00612529076</v>
      </c>
      <c r="K57" s="2">
        <f t="shared" si="7"/>
        <v>304253046.99387473</v>
      </c>
      <c r="L57" s="2">
        <f t="shared" si="23"/>
        <v>82148322.688346177</v>
      </c>
      <c r="M57" s="2">
        <f t="shared" si="12"/>
        <v>222371677.31165382</v>
      </c>
      <c r="N57" s="2">
        <f t="shared" si="19"/>
        <v>43217668.948193975</v>
      </c>
      <c r="P57">
        <v>54</v>
      </c>
      <c r="Q57" s="3">
        <f t="shared" si="18"/>
        <v>762120000</v>
      </c>
      <c r="R57" s="6">
        <f>$C$13+$C$6*$A$18*$C$10+50*'Carbon Tax'!$B$6</f>
        <v>131999782.44834734</v>
      </c>
      <c r="S57" s="3">
        <f t="shared" si="3"/>
        <v>630120217.55165267</v>
      </c>
      <c r="T57" s="7">
        <f t="shared" si="15"/>
        <v>87.634736821715933</v>
      </c>
      <c r="U57" s="7">
        <f t="shared" si="21"/>
        <v>21.908684205428983</v>
      </c>
      <c r="V57" s="7">
        <f t="shared" si="9"/>
        <v>630120195.64296842</v>
      </c>
      <c r="W57" s="7">
        <f t="shared" si="22"/>
        <v>170132452.82360148</v>
      </c>
      <c r="X57" s="11">
        <f t="shared" si="14"/>
        <v>459987764.72805119</v>
      </c>
      <c r="Y57" s="7">
        <f t="shared" si="20"/>
        <v>89398070.728114381</v>
      </c>
    </row>
    <row r="58" spans="2:25">
      <c r="E58">
        <v>55</v>
      </c>
      <c r="F58" s="2">
        <f t="shared" si="25"/>
        <v>324120000</v>
      </c>
      <c r="G58" s="2">
        <f t="shared" si="26"/>
        <v>19600000</v>
      </c>
      <c r="H58" s="2">
        <f t="shared" si="0"/>
        <v>304520000</v>
      </c>
      <c r="I58" s="2">
        <f t="shared" si="24"/>
        <v>622890.34762567852</v>
      </c>
      <c r="J58" s="2">
        <f t="shared" si="6"/>
        <v>186867.10428770355</v>
      </c>
      <c r="K58" s="2">
        <f t="shared" si="7"/>
        <v>304333132.89571232</v>
      </c>
      <c r="L58" s="2">
        <f t="shared" si="23"/>
        <v>82169945.88184233</v>
      </c>
      <c r="M58" s="2">
        <f t="shared" si="12"/>
        <v>222350054.11815768</v>
      </c>
      <c r="N58" s="2">
        <f t="shared" si="19"/>
        <v>41922260.871610239</v>
      </c>
      <c r="P58">
        <v>55</v>
      </c>
      <c r="Q58" s="3">
        <f t="shared" si="18"/>
        <v>762120000</v>
      </c>
      <c r="R58" s="6">
        <f>$C$13+$C$6*$A$18*$C$10+50*'Carbon Tax'!$B$6+$C$12</f>
        <v>498799782.44834733</v>
      </c>
      <c r="S58" s="3">
        <f t="shared" si="3"/>
        <v>263320217.55165267</v>
      </c>
      <c r="T58" s="7">
        <f t="shared" si="15"/>
        <v>65.72605261628695</v>
      </c>
      <c r="U58" s="15">
        <v>0</v>
      </c>
      <c r="V58" s="15">
        <f>S58-U58+$C$12+$C$14</f>
        <v>630120217.55165267</v>
      </c>
      <c r="W58" s="7">
        <f t="shared" si="22"/>
        <v>170132458.73894623</v>
      </c>
      <c r="X58" s="16">
        <f>IF(W58&lt;0,S58,S58-W58+$C$14)</f>
        <v>93187758.812706441</v>
      </c>
      <c r="Y58" s="7">
        <f t="shared" si="20"/>
        <v>17569780.005139872</v>
      </c>
    </row>
    <row r="59" spans="2:25">
      <c r="E59">
        <v>56</v>
      </c>
      <c r="F59" s="2">
        <f t="shared" si="25"/>
        <v>324120000</v>
      </c>
      <c r="G59" s="2">
        <f t="shared" si="26"/>
        <v>19600000</v>
      </c>
      <c r="H59" s="2">
        <f t="shared" si="0"/>
        <v>304520000</v>
      </c>
      <c r="I59" s="2">
        <f t="shared" si="24"/>
        <v>436023.243337975</v>
      </c>
      <c r="J59" s="2">
        <f t="shared" si="6"/>
        <v>130806.9730013925</v>
      </c>
      <c r="K59" s="2">
        <f t="shared" si="7"/>
        <v>304389193.02699858</v>
      </c>
      <c r="L59" s="2">
        <f t="shared" si="23"/>
        <v>82185082.117289618</v>
      </c>
      <c r="M59" s="2">
        <f t="shared" si="12"/>
        <v>222334917.8827104</v>
      </c>
      <c r="N59" s="2">
        <f t="shared" si="19"/>
        <v>40666867.539578341</v>
      </c>
      <c r="P59">
        <v>56</v>
      </c>
      <c r="Q59" s="7">
        <v>0</v>
      </c>
      <c r="R59" s="7">
        <v>0</v>
      </c>
      <c r="S59" s="3">
        <f t="shared" si="3"/>
        <v>0</v>
      </c>
      <c r="T59" s="3">
        <f>$C$12</f>
        <v>366800000</v>
      </c>
      <c r="U59" s="7">
        <f t="shared" ref="U59:U90" si="27">T59*$B$29</f>
        <v>91700000</v>
      </c>
      <c r="V59" s="7">
        <f t="shared" si="9"/>
        <v>-91700000</v>
      </c>
      <c r="W59" s="7">
        <f t="shared" si="22"/>
        <v>-24759000</v>
      </c>
      <c r="X59" s="11">
        <f t="shared" si="14"/>
        <v>0</v>
      </c>
      <c r="Y59" s="7">
        <f t="shared" si="20"/>
        <v>0</v>
      </c>
    </row>
    <row r="60" spans="2:25">
      <c r="B60" s="14"/>
      <c r="C60" s="14"/>
      <c r="E60">
        <v>57</v>
      </c>
      <c r="F60" s="2">
        <f t="shared" si="25"/>
        <v>324120000</v>
      </c>
      <c r="G60" s="2">
        <f t="shared" si="26"/>
        <v>19600000</v>
      </c>
      <c r="H60" s="2">
        <f t="shared" si="0"/>
        <v>304520000</v>
      </c>
      <c r="I60" s="2">
        <f t="shared" si="24"/>
        <v>305216.2703365825</v>
      </c>
      <c r="J60" s="2">
        <f t="shared" si="6"/>
        <v>91564.881100974744</v>
      </c>
      <c r="K60" s="2">
        <f t="shared" si="7"/>
        <v>304428435.11889905</v>
      </c>
      <c r="L60" s="2">
        <f t="shared" si="23"/>
        <v>82195677.482102752</v>
      </c>
      <c r="M60" s="2">
        <f t="shared" si="12"/>
        <v>222324322.51789725</v>
      </c>
      <c r="N60" s="2">
        <f t="shared" si="19"/>
        <v>39449873.458525479</v>
      </c>
      <c r="P60">
        <v>57</v>
      </c>
      <c r="Q60" s="7">
        <v>0</v>
      </c>
      <c r="R60" s="7">
        <v>0</v>
      </c>
      <c r="S60" s="3">
        <f t="shared" si="3"/>
        <v>0</v>
      </c>
      <c r="T60" s="7">
        <f>T59-U59</f>
        <v>275100000</v>
      </c>
      <c r="U60" s="7">
        <f t="shared" si="27"/>
        <v>68775000</v>
      </c>
      <c r="V60" s="7">
        <f t="shared" si="9"/>
        <v>-68775000</v>
      </c>
      <c r="W60" s="7">
        <f t="shared" si="22"/>
        <v>-43328250</v>
      </c>
      <c r="X60" s="11">
        <f t="shared" si="14"/>
        <v>0</v>
      </c>
      <c r="Y60" s="7">
        <f t="shared" si="20"/>
        <v>0</v>
      </c>
    </row>
    <row r="61" spans="2:25">
      <c r="E61">
        <v>58</v>
      </c>
      <c r="F61" s="2">
        <f t="shared" si="25"/>
        <v>324120000</v>
      </c>
      <c r="G61" s="2">
        <f t="shared" si="26"/>
        <v>19600000</v>
      </c>
      <c r="H61" s="2">
        <f t="shared" si="0"/>
        <v>304520000</v>
      </c>
      <c r="I61" s="2">
        <f t="shared" si="24"/>
        <v>213651.38923560776</v>
      </c>
      <c r="J61" s="2">
        <f t="shared" si="6"/>
        <v>64095.416770682321</v>
      </c>
      <c r="K61" s="2">
        <f t="shared" si="7"/>
        <v>304455904.5832293</v>
      </c>
      <c r="L61" s="2">
        <f t="shared" si="23"/>
        <v>82203094.237471923</v>
      </c>
      <c r="M61" s="2">
        <f t="shared" si="12"/>
        <v>222316905.76252806</v>
      </c>
      <c r="N61" s="2">
        <f t="shared" si="19"/>
        <v>38269846.146597922</v>
      </c>
      <c r="P61">
        <v>58</v>
      </c>
      <c r="Q61" s="7">
        <v>0</v>
      </c>
      <c r="R61" s="7">
        <v>0</v>
      </c>
      <c r="S61" s="3">
        <f t="shared" si="3"/>
        <v>0</v>
      </c>
      <c r="T61" s="7">
        <f t="shared" ref="T61:T113" si="28">T60-U60</f>
        <v>206325000</v>
      </c>
      <c r="U61" s="7">
        <f t="shared" si="27"/>
        <v>51581250</v>
      </c>
      <c r="V61" s="7">
        <f t="shared" si="9"/>
        <v>-51581250</v>
      </c>
      <c r="W61" s="7">
        <f t="shared" si="22"/>
        <v>-57255187.5</v>
      </c>
      <c r="X61" s="11">
        <f t="shared" si="14"/>
        <v>0</v>
      </c>
      <c r="Y61" s="7">
        <f t="shared" si="20"/>
        <v>0</v>
      </c>
    </row>
    <row r="62" spans="2:25">
      <c r="E62">
        <v>59</v>
      </c>
      <c r="F62" s="2">
        <f t="shared" si="25"/>
        <v>324120000</v>
      </c>
      <c r="G62" s="2">
        <f t="shared" si="26"/>
        <v>19600000</v>
      </c>
      <c r="H62" s="2">
        <f t="shared" si="0"/>
        <v>304520000</v>
      </c>
      <c r="I62" s="2">
        <f t="shared" si="24"/>
        <v>149555.97246492543</v>
      </c>
      <c r="J62" s="2">
        <f t="shared" si="6"/>
        <v>44866.79173947763</v>
      </c>
      <c r="K62" s="2">
        <f t="shared" si="7"/>
        <v>304475133.20826054</v>
      </c>
      <c r="L62" s="2">
        <f t="shared" si="23"/>
        <v>82208285.966230348</v>
      </c>
      <c r="M62" s="2">
        <f t="shared" si="12"/>
        <v>222311714.03376967</v>
      </c>
      <c r="N62" s="2">
        <f t="shared" si="19"/>
        <v>37125487.424730517</v>
      </c>
      <c r="P62">
        <v>59</v>
      </c>
      <c r="Q62" s="7">
        <v>0</v>
      </c>
      <c r="R62" s="7">
        <v>0</v>
      </c>
      <c r="S62" s="3">
        <f t="shared" si="3"/>
        <v>0</v>
      </c>
      <c r="T62" s="7">
        <f t="shared" si="28"/>
        <v>154743750</v>
      </c>
      <c r="U62" s="7">
        <f t="shared" si="27"/>
        <v>38685937.5</v>
      </c>
      <c r="V62" s="7">
        <f t="shared" si="9"/>
        <v>-38685937.5</v>
      </c>
      <c r="W62" s="7">
        <f t="shared" si="22"/>
        <v>-67700390.625</v>
      </c>
      <c r="X62" s="11">
        <f t="shared" si="14"/>
        <v>0</v>
      </c>
      <c r="Y62" s="7">
        <f t="shared" si="20"/>
        <v>0</v>
      </c>
    </row>
    <row r="63" spans="2:25">
      <c r="E63">
        <v>60</v>
      </c>
      <c r="F63" s="2">
        <f t="shared" si="25"/>
        <v>324120000</v>
      </c>
      <c r="G63" s="2">
        <f t="shared" si="26"/>
        <v>19600000</v>
      </c>
      <c r="H63" s="2">
        <f t="shared" si="0"/>
        <v>304520000</v>
      </c>
      <c r="I63" s="2">
        <f t="shared" si="24"/>
        <v>104689.1807254478</v>
      </c>
      <c r="J63" s="2">
        <f t="shared" si="6"/>
        <v>31406.754217634341</v>
      </c>
      <c r="K63" s="2">
        <f t="shared" si="7"/>
        <v>304488593.24578238</v>
      </c>
      <c r="L63" s="2">
        <f t="shared" si="23"/>
        <v>82211920.176361248</v>
      </c>
      <c r="M63" s="2">
        <f t="shared" si="12"/>
        <v>222308079.82363874</v>
      </c>
      <c r="N63" s="2">
        <f t="shared" si="19"/>
        <v>36015600.039714135</v>
      </c>
      <c r="P63">
        <v>60</v>
      </c>
      <c r="Q63" s="7">
        <v>0</v>
      </c>
      <c r="R63" s="7">
        <v>0</v>
      </c>
      <c r="S63" s="3">
        <f t="shared" si="3"/>
        <v>0</v>
      </c>
      <c r="T63" s="7">
        <f t="shared" si="28"/>
        <v>116057812.5</v>
      </c>
      <c r="U63" s="7">
        <f t="shared" si="27"/>
        <v>29014453.125</v>
      </c>
      <c r="V63" s="7">
        <f t="shared" si="9"/>
        <v>-29014453.125</v>
      </c>
      <c r="W63" s="7">
        <f t="shared" si="22"/>
        <v>-75534292.96875</v>
      </c>
      <c r="X63" s="11">
        <f t="shared" si="14"/>
        <v>0</v>
      </c>
      <c r="Y63" s="7">
        <f t="shared" si="20"/>
        <v>0</v>
      </c>
    </row>
    <row r="64" spans="2:25">
      <c r="E64">
        <v>61</v>
      </c>
      <c r="F64" s="2">
        <f t="shared" si="25"/>
        <v>324120000</v>
      </c>
      <c r="G64" s="2">
        <f t="shared" si="26"/>
        <v>19600000</v>
      </c>
      <c r="H64" s="2">
        <f t="shared" si="0"/>
        <v>304520000</v>
      </c>
      <c r="I64" s="2">
        <f t="shared" si="24"/>
        <v>73282.426507813463</v>
      </c>
      <c r="J64" s="2">
        <f t="shared" si="6"/>
        <v>21984.727952344037</v>
      </c>
      <c r="K64" s="2">
        <f t="shared" si="7"/>
        <v>304498015.27204764</v>
      </c>
      <c r="L64" s="2">
        <f t="shared" si="23"/>
        <v>82214464.123452872</v>
      </c>
      <c r="M64" s="2">
        <f t="shared" si="12"/>
        <v>222305535.87654713</v>
      </c>
      <c r="N64" s="2">
        <f t="shared" si="19"/>
        <v>34939064.707929157</v>
      </c>
      <c r="P64">
        <v>61</v>
      </c>
      <c r="Q64" s="3">
        <f t="shared" ref="Q64:Q113" si="29">$C$11</f>
        <v>762120000</v>
      </c>
      <c r="R64" s="6">
        <f>$C$13+$C$6*$A$18*$C$10+50*'Carbon Tax'!$B$6</f>
        <v>131999782.44834734</v>
      </c>
      <c r="S64" s="3">
        <f t="shared" si="3"/>
        <v>630120217.55165267</v>
      </c>
      <c r="T64" s="7">
        <f t="shared" si="28"/>
        <v>87043359.375</v>
      </c>
      <c r="U64" s="7">
        <f t="shared" si="27"/>
        <v>21760839.84375</v>
      </c>
      <c r="V64" s="7">
        <f t="shared" si="9"/>
        <v>608359377.70790267</v>
      </c>
      <c r="W64" s="7">
        <f t="shared" si="22"/>
        <v>88722739.012383729</v>
      </c>
      <c r="X64" s="11">
        <f t="shared" si="14"/>
        <v>541397478.53926897</v>
      </c>
      <c r="Y64" s="7">
        <f t="shared" si="20"/>
        <v>85089745.789766461</v>
      </c>
    </row>
    <row r="65" spans="2:25">
      <c r="E65">
        <v>62</v>
      </c>
      <c r="F65" s="2">
        <f t="shared" si="25"/>
        <v>324120000</v>
      </c>
      <c r="G65" s="2">
        <f t="shared" si="26"/>
        <v>19600000</v>
      </c>
      <c r="H65" s="2">
        <f t="shared" si="0"/>
        <v>304520000</v>
      </c>
      <c r="I65" s="2">
        <f t="shared" si="24"/>
        <v>51297.698555469426</v>
      </c>
      <c r="J65" s="2">
        <f t="shared" si="6"/>
        <v>15389.309566640826</v>
      </c>
      <c r="K65" s="2">
        <f t="shared" si="7"/>
        <v>304504610.69043338</v>
      </c>
      <c r="L65" s="2">
        <f t="shared" si="23"/>
        <v>82216244.886417016</v>
      </c>
      <c r="M65" s="2">
        <f t="shared" si="12"/>
        <v>222303755.11358297</v>
      </c>
      <c r="N65" s="2">
        <f t="shared" si="19"/>
        <v>33894824.24426879</v>
      </c>
      <c r="P65">
        <v>62</v>
      </c>
      <c r="Q65" s="3">
        <f t="shared" si="29"/>
        <v>762120000</v>
      </c>
      <c r="R65" s="6">
        <f>$C$13+$C$6*$A$18*$C$10+50*'Carbon Tax'!$B$6</f>
        <v>131999782.44834734</v>
      </c>
      <c r="S65" s="3">
        <f t="shared" si="3"/>
        <v>630120217.55165267</v>
      </c>
      <c r="T65" s="7">
        <f t="shared" si="28"/>
        <v>65282519.53125</v>
      </c>
      <c r="U65" s="7">
        <f t="shared" si="27"/>
        <v>16320629.8828125</v>
      </c>
      <c r="V65" s="7">
        <f t="shared" si="9"/>
        <v>613799587.66884017</v>
      </c>
      <c r="W65" s="7">
        <f t="shared" si="22"/>
        <v>165725888.67058685</v>
      </c>
      <c r="X65" s="11">
        <f t="shared" si="14"/>
        <v>464394328.88106585</v>
      </c>
      <c r="Y65" s="7">
        <f t="shared" si="20"/>
        <v>70806559.922554895</v>
      </c>
    </row>
    <row r="66" spans="2:25">
      <c r="B66" s="14"/>
      <c r="C66" s="14"/>
      <c r="E66">
        <v>63</v>
      </c>
      <c r="F66" s="2">
        <f t="shared" si="25"/>
        <v>324120000</v>
      </c>
      <c r="G66" s="2">
        <f t="shared" si="26"/>
        <v>19600000</v>
      </c>
      <c r="H66" s="2">
        <f t="shared" si="0"/>
        <v>304520000</v>
      </c>
      <c r="I66" s="2">
        <f t="shared" si="24"/>
        <v>35908.388988828599</v>
      </c>
      <c r="J66" s="2">
        <f t="shared" si="6"/>
        <v>10772.516696648579</v>
      </c>
      <c r="K66" s="2">
        <f t="shared" si="7"/>
        <v>304509227.48330337</v>
      </c>
      <c r="L66" s="2">
        <f t="shared" si="23"/>
        <v>82217491.420491919</v>
      </c>
      <c r="M66" s="2">
        <f t="shared" si="12"/>
        <v>222302508.57950807</v>
      </c>
      <c r="N66" s="2">
        <f t="shared" si="19"/>
        <v>32881872.510924727</v>
      </c>
      <c r="P66">
        <v>63</v>
      </c>
      <c r="Q66" s="3">
        <f t="shared" si="29"/>
        <v>762120000</v>
      </c>
      <c r="R66" s="6">
        <f>$C$13+$C$6*$A$18*$C$10+50*'Carbon Tax'!$B$6</f>
        <v>131999782.44834734</v>
      </c>
      <c r="S66" s="3">
        <f t="shared" si="3"/>
        <v>630120217.55165267</v>
      </c>
      <c r="T66" s="7">
        <f t="shared" si="28"/>
        <v>48961889.6484375</v>
      </c>
      <c r="U66" s="7">
        <f t="shared" si="27"/>
        <v>12240472.412109375</v>
      </c>
      <c r="V66" s="7">
        <f t="shared" si="9"/>
        <v>617879745.13954329</v>
      </c>
      <c r="W66" s="7">
        <f t="shared" si="22"/>
        <v>166827531.1876767</v>
      </c>
      <c r="X66" s="11">
        <f t="shared" si="14"/>
        <v>463292686.363976</v>
      </c>
      <c r="Y66" s="7">
        <f t="shared" si="20"/>
        <v>68527931.356274232</v>
      </c>
    </row>
    <row r="67" spans="2:25">
      <c r="E67">
        <v>64</v>
      </c>
      <c r="F67" s="2">
        <f t="shared" si="25"/>
        <v>324120000</v>
      </c>
      <c r="G67" s="2">
        <f t="shared" si="26"/>
        <v>19600000</v>
      </c>
      <c r="H67" s="2">
        <f t="shared" ref="H67:H130" si="30">$F67-$G67</f>
        <v>304520000</v>
      </c>
      <c r="I67" s="2">
        <f t="shared" si="24"/>
        <v>25135.872292180022</v>
      </c>
      <c r="J67" s="2">
        <f t="shared" si="6"/>
        <v>7540.761687654006</v>
      </c>
      <c r="K67" s="2">
        <f t="shared" si="7"/>
        <v>304512459.23831236</v>
      </c>
      <c r="L67" s="2">
        <f t="shared" si="23"/>
        <v>82218363.994344339</v>
      </c>
      <c r="M67" s="2">
        <f t="shared" si="12"/>
        <v>222301636.00565565</v>
      </c>
      <c r="N67" s="2">
        <f t="shared" ref="N67:N98" si="31">M67/((1+$B$16)^E67)</f>
        <v>31899246.647434313</v>
      </c>
      <c r="P67">
        <v>64</v>
      </c>
      <c r="Q67" s="3">
        <f t="shared" si="29"/>
        <v>762120000</v>
      </c>
      <c r="R67" s="6">
        <f>$C$13+$C$6*$A$18*$C$10+50*'Carbon Tax'!$B$6</f>
        <v>131999782.44834734</v>
      </c>
      <c r="S67" s="3">
        <f t="shared" ref="S67:S130" si="32">Q67-R67</f>
        <v>630120217.55165267</v>
      </c>
      <c r="T67" s="7">
        <f t="shared" si="28"/>
        <v>36721417.236328125</v>
      </c>
      <c r="U67" s="7">
        <f t="shared" si="27"/>
        <v>9180354.3090820313</v>
      </c>
      <c r="V67" s="7">
        <f t="shared" si="9"/>
        <v>620939863.24257064</v>
      </c>
      <c r="W67" s="7">
        <f t="shared" si="22"/>
        <v>167653763.07549408</v>
      </c>
      <c r="X67" s="11">
        <f t="shared" si="14"/>
        <v>462466454.47615862</v>
      </c>
      <c r="Y67" s="7">
        <f t="shared" ref="Y67:Y98" si="33">X67/((1+$B$16)^P67)</f>
        <v>66361776.559863545</v>
      </c>
    </row>
    <row r="68" spans="2:25">
      <c r="E68">
        <v>65</v>
      </c>
      <c r="F68" s="2">
        <f t="shared" si="25"/>
        <v>324120000</v>
      </c>
      <c r="G68" s="2">
        <f t="shared" si="26"/>
        <v>19600000</v>
      </c>
      <c r="H68" s="2">
        <f t="shared" si="30"/>
        <v>304520000</v>
      </c>
      <c r="I68" s="2">
        <f t="shared" si="24"/>
        <v>17595.110604526017</v>
      </c>
      <c r="J68" s="2">
        <f t="shared" ref="J68" si="34">I68*0.3</f>
        <v>5278.533181357805</v>
      </c>
      <c r="K68" s="2">
        <f t="shared" ref="K68:K131" si="35">H68-J68</f>
        <v>304514721.46681863</v>
      </c>
      <c r="L68" s="2">
        <f t="shared" si="23"/>
        <v>82218974.796041042</v>
      </c>
      <c r="M68" s="2">
        <f t="shared" si="12"/>
        <v>222301025.20395896</v>
      </c>
      <c r="N68" s="2">
        <f t="shared" si="31"/>
        <v>30946021.536906481</v>
      </c>
      <c r="P68">
        <v>65</v>
      </c>
      <c r="Q68" s="3">
        <f t="shared" si="29"/>
        <v>762120000</v>
      </c>
      <c r="R68" s="6">
        <f>$C$13+$C$6*$A$18*$C$10+50*'Carbon Tax'!$B$6</f>
        <v>131999782.44834734</v>
      </c>
      <c r="S68" s="3">
        <f t="shared" si="32"/>
        <v>630120217.55165267</v>
      </c>
      <c r="T68" s="7">
        <f t="shared" si="28"/>
        <v>27541062.927246094</v>
      </c>
      <c r="U68" s="7">
        <f t="shared" si="27"/>
        <v>6885265.7318115234</v>
      </c>
      <c r="V68" s="7">
        <f t="shared" ref="V68:V131" si="36">S68-U68</f>
        <v>623234951.81984115</v>
      </c>
      <c r="W68" s="7">
        <f t="shared" si="22"/>
        <v>168273436.99135712</v>
      </c>
      <c r="X68" s="11">
        <f t="shared" si="14"/>
        <v>461846780.56029558</v>
      </c>
      <c r="Y68" s="7">
        <f t="shared" si="33"/>
        <v>64292642.847043864</v>
      </c>
    </row>
    <row r="69" spans="2:25">
      <c r="E69">
        <v>66</v>
      </c>
      <c r="F69" s="2">
        <f t="shared" si="25"/>
        <v>324120000</v>
      </c>
      <c r="G69" s="2">
        <f>$B$13+$B$12</f>
        <v>1134800000</v>
      </c>
      <c r="H69" s="2">
        <f t="shared" si="30"/>
        <v>-810680000</v>
      </c>
      <c r="I69" s="2">
        <f t="shared" si="24"/>
        <v>12316.577423168212</v>
      </c>
      <c r="J69" s="13">
        <v>0</v>
      </c>
      <c r="K69" s="13">
        <f>H69-J69+$B$12+$B$14</f>
        <v>304520000</v>
      </c>
      <c r="L69" s="2">
        <f t="shared" si="23"/>
        <v>82220400</v>
      </c>
      <c r="M69" s="13">
        <f>IF(L69&lt;0,H69,H69-L69+$B$14)</f>
        <v>-892900400</v>
      </c>
      <c r="N69" s="2">
        <f t="shared" si="31"/>
        <v>-120584632.88106015</v>
      </c>
      <c r="P69">
        <v>66</v>
      </c>
      <c r="Q69" s="3">
        <f t="shared" si="29"/>
        <v>762120000</v>
      </c>
      <c r="R69" s="6">
        <f>$C$13+$C$6*$A$18*$C$10+50*'Carbon Tax'!$B$6</f>
        <v>131999782.44834734</v>
      </c>
      <c r="S69" s="3">
        <f t="shared" si="32"/>
        <v>630120217.55165267</v>
      </c>
      <c r="T69" s="7">
        <f t="shared" si="28"/>
        <v>20655797.19543457</v>
      </c>
      <c r="U69" s="7">
        <f t="shared" si="27"/>
        <v>5163949.2988586426</v>
      </c>
      <c r="V69" s="7">
        <f t="shared" si="36"/>
        <v>624956268.25279403</v>
      </c>
      <c r="W69" s="7">
        <f t="shared" ref="W69:W100" si="37">IF(W68&lt;0,V69*$B$15+W68,V69*$B$15)</f>
        <v>168738192.4282544</v>
      </c>
      <c r="X69" s="11">
        <f t="shared" ref="X69:X132" si="38">IF(W69&lt;0,S69,S69-W69)</f>
        <v>461382025.1233983</v>
      </c>
      <c r="Y69" s="7">
        <f t="shared" si="33"/>
        <v>62308833.23316358</v>
      </c>
    </row>
    <row r="70" spans="2:25">
      <c r="E70">
        <v>67</v>
      </c>
      <c r="F70" s="2">
        <v>0</v>
      </c>
      <c r="G70" s="2">
        <v>0</v>
      </c>
      <c r="H70" s="2">
        <f t="shared" si="30"/>
        <v>0</v>
      </c>
      <c r="I70" s="2">
        <v>1115200000</v>
      </c>
      <c r="J70" s="2">
        <f>I70*0.3</f>
        <v>334560000</v>
      </c>
      <c r="K70" s="2">
        <f t="shared" si="35"/>
        <v>-334560000</v>
      </c>
      <c r="L70" s="2">
        <f>K70*$B$15</f>
        <v>-90331200</v>
      </c>
      <c r="M70" s="2">
        <f t="shared" ref="M70:M133" si="39">IF(L70&lt;0,H70,H70-L70)</f>
        <v>0</v>
      </c>
      <c r="N70" s="2">
        <f t="shared" si="31"/>
        <v>0</v>
      </c>
      <c r="P70">
        <v>67</v>
      </c>
      <c r="Q70" s="3">
        <f t="shared" si="29"/>
        <v>762120000</v>
      </c>
      <c r="R70" s="6">
        <f>$C$13+$C$6*$A$18*$C$10+50*'Carbon Tax'!$B$6</f>
        <v>131999782.44834734</v>
      </c>
      <c r="S70" s="3">
        <f t="shared" si="32"/>
        <v>630120217.55165267</v>
      </c>
      <c r="T70" s="7">
        <f t="shared" si="28"/>
        <v>15491847.896575928</v>
      </c>
      <c r="U70" s="7">
        <f t="shared" si="27"/>
        <v>3872961.9741439819</v>
      </c>
      <c r="V70" s="7">
        <f t="shared" si="36"/>
        <v>626247255.57750869</v>
      </c>
      <c r="W70" s="7">
        <f t="shared" si="37"/>
        <v>169086759.00592735</v>
      </c>
      <c r="X70" s="11">
        <f t="shared" si="38"/>
        <v>461033458.54572535</v>
      </c>
      <c r="Y70" s="7">
        <f t="shared" si="33"/>
        <v>60401396.903600469</v>
      </c>
    </row>
    <row r="71" spans="2:25">
      <c r="E71">
        <v>68</v>
      </c>
      <c r="F71" s="2">
        <v>0</v>
      </c>
      <c r="G71" s="2">
        <v>0</v>
      </c>
      <c r="H71" s="2">
        <f t="shared" si="30"/>
        <v>0</v>
      </c>
      <c r="I71" s="2">
        <f>I70-J70</f>
        <v>780640000</v>
      </c>
      <c r="J71" s="2">
        <f>I71*0.3</f>
        <v>234192000</v>
      </c>
      <c r="K71" s="2">
        <f t="shared" si="35"/>
        <v>-234192000</v>
      </c>
      <c r="L71" s="2">
        <f t="shared" ref="L71:L102" si="40">IF(L70&lt;0,K71*$B$15+L70,K71*$B$15)</f>
        <v>-153563040</v>
      </c>
      <c r="M71" s="2">
        <f t="shared" si="39"/>
        <v>0</v>
      </c>
      <c r="N71" s="2">
        <f t="shared" si="31"/>
        <v>0</v>
      </c>
      <c r="P71">
        <v>68</v>
      </c>
      <c r="Q71" s="3">
        <f t="shared" si="29"/>
        <v>762120000</v>
      </c>
      <c r="R71" s="6">
        <f>$C$13+$C$6*$A$18*$C$10+50*'Carbon Tax'!$B$6</f>
        <v>131999782.44834734</v>
      </c>
      <c r="S71" s="3">
        <f t="shared" si="32"/>
        <v>630120217.55165267</v>
      </c>
      <c r="T71" s="7">
        <f t="shared" si="28"/>
        <v>11618885.922431946</v>
      </c>
      <c r="U71" s="7">
        <f t="shared" si="27"/>
        <v>2904721.4806079865</v>
      </c>
      <c r="V71" s="7">
        <f t="shared" si="36"/>
        <v>627215496.07104468</v>
      </c>
      <c r="W71" s="7">
        <f t="shared" si="37"/>
        <v>169348183.93918207</v>
      </c>
      <c r="X71" s="11">
        <f t="shared" si="38"/>
        <v>460772033.61247063</v>
      </c>
      <c r="Y71" s="7">
        <f t="shared" si="33"/>
        <v>58563394.283326358</v>
      </c>
    </row>
    <row r="72" spans="2:25">
      <c r="E72">
        <v>69</v>
      </c>
      <c r="F72" s="2">
        <v>0</v>
      </c>
      <c r="G72" s="2">
        <v>0</v>
      </c>
      <c r="H72" s="2">
        <f t="shared" si="30"/>
        <v>0</v>
      </c>
      <c r="I72" s="2">
        <f t="shared" ref="I72:I102" si="41">I71-J71</f>
        <v>546448000</v>
      </c>
      <c r="J72" s="2">
        <f t="shared" ref="J72:J101" si="42">I72*0.3</f>
        <v>163934400</v>
      </c>
      <c r="K72" s="2">
        <f t="shared" si="35"/>
        <v>-163934400</v>
      </c>
      <c r="L72" s="2">
        <f t="shared" si="40"/>
        <v>-197825328</v>
      </c>
      <c r="M72" s="2">
        <f t="shared" si="39"/>
        <v>0</v>
      </c>
      <c r="N72" s="2">
        <f t="shared" si="31"/>
        <v>0</v>
      </c>
      <c r="P72">
        <v>69</v>
      </c>
      <c r="Q72" s="3">
        <f t="shared" si="29"/>
        <v>762120000</v>
      </c>
      <c r="R72" s="6">
        <f>$C$13+$C$6*$A$18*$C$10+50*'Carbon Tax'!$B$6</f>
        <v>131999782.44834734</v>
      </c>
      <c r="S72" s="3">
        <f t="shared" si="32"/>
        <v>630120217.55165267</v>
      </c>
      <c r="T72" s="7">
        <f t="shared" si="28"/>
        <v>8714164.4418239594</v>
      </c>
      <c r="U72" s="7">
        <f t="shared" si="27"/>
        <v>2178541.1104559898</v>
      </c>
      <c r="V72" s="7">
        <f t="shared" si="36"/>
        <v>627941676.44119668</v>
      </c>
      <c r="W72" s="7">
        <f t="shared" si="37"/>
        <v>169544252.63912311</v>
      </c>
      <c r="X72" s="11">
        <f t="shared" si="38"/>
        <v>460575964.91252959</v>
      </c>
      <c r="Y72" s="7">
        <f t="shared" si="33"/>
        <v>56789361.915697403</v>
      </c>
    </row>
    <row r="73" spans="2:25">
      <c r="E73">
        <v>70</v>
      </c>
      <c r="F73" s="2">
        <f t="shared" ref="F73:F102" si="43">$B$11</f>
        <v>324120000</v>
      </c>
      <c r="G73" s="2">
        <f t="shared" ref="G73:G101" si="44">$B$13</f>
        <v>19600000</v>
      </c>
      <c r="H73" s="2">
        <f t="shared" si="30"/>
        <v>304520000</v>
      </c>
      <c r="I73" s="2">
        <f t="shared" si="41"/>
        <v>382513600</v>
      </c>
      <c r="J73" s="2">
        <f t="shared" si="42"/>
        <v>114754080</v>
      </c>
      <c r="K73" s="2">
        <f t="shared" si="35"/>
        <v>189765920</v>
      </c>
      <c r="L73" s="2">
        <f t="shared" si="40"/>
        <v>-146588529.59999999</v>
      </c>
      <c r="M73" s="2">
        <f t="shared" si="39"/>
        <v>304520000</v>
      </c>
      <c r="N73" s="2">
        <f t="shared" si="31"/>
        <v>36425634.843439609</v>
      </c>
      <c r="P73">
        <v>70</v>
      </c>
      <c r="Q73" s="3">
        <f t="shared" si="29"/>
        <v>762120000</v>
      </c>
      <c r="R73" s="6">
        <f>$C$13+$C$6*$A$18*$C$10+50*'Carbon Tax'!$B$6</f>
        <v>131999782.44834734</v>
      </c>
      <c r="S73" s="3">
        <f t="shared" si="32"/>
        <v>630120217.55165267</v>
      </c>
      <c r="T73" s="7">
        <f t="shared" si="28"/>
        <v>6535623.3313679695</v>
      </c>
      <c r="U73" s="7">
        <f t="shared" si="27"/>
        <v>1633905.8328419924</v>
      </c>
      <c r="V73" s="7">
        <f t="shared" si="36"/>
        <v>628486311.71881068</v>
      </c>
      <c r="W73" s="7">
        <f t="shared" si="37"/>
        <v>169691304.16407889</v>
      </c>
      <c r="X73" s="11">
        <f t="shared" si="38"/>
        <v>460428913.38757378</v>
      </c>
      <c r="Y73" s="7">
        <f t="shared" si="33"/>
        <v>55074922.732225947</v>
      </c>
    </row>
    <row r="74" spans="2:25">
      <c r="E74">
        <v>71</v>
      </c>
      <c r="F74" s="2">
        <f t="shared" si="43"/>
        <v>324120000</v>
      </c>
      <c r="G74" s="2">
        <f t="shared" si="44"/>
        <v>19600000</v>
      </c>
      <c r="H74" s="2">
        <f t="shared" si="30"/>
        <v>304520000</v>
      </c>
      <c r="I74" s="2">
        <f t="shared" si="41"/>
        <v>267759520</v>
      </c>
      <c r="J74" s="2">
        <f t="shared" si="42"/>
        <v>80327856</v>
      </c>
      <c r="K74" s="2">
        <f t="shared" si="35"/>
        <v>224192144</v>
      </c>
      <c r="L74" s="2">
        <f t="shared" si="40"/>
        <v>-86056650.719999999</v>
      </c>
      <c r="M74" s="2">
        <f t="shared" si="39"/>
        <v>304520000</v>
      </c>
      <c r="N74" s="2">
        <f t="shared" si="31"/>
        <v>35337247.616840914</v>
      </c>
      <c r="P74">
        <v>71</v>
      </c>
      <c r="Q74" s="3">
        <f t="shared" si="29"/>
        <v>762120000</v>
      </c>
      <c r="R74" s="6">
        <f>$C$13+$C$6*$A$18*$C$10+50*'Carbon Tax'!$B$6</f>
        <v>131999782.44834734</v>
      </c>
      <c r="S74" s="3">
        <f t="shared" si="32"/>
        <v>630120217.55165267</v>
      </c>
      <c r="T74" s="7">
        <f t="shared" si="28"/>
        <v>4901717.4985259771</v>
      </c>
      <c r="U74" s="7">
        <f t="shared" si="27"/>
        <v>1225429.3746314943</v>
      </c>
      <c r="V74" s="7">
        <f t="shared" si="36"/>
        <v>628894788.17702115</v>
      </c>
      <c r="W74" s="7">
        <f t="shared" si="37"/>
        <v>169801592.80779573</v>
      </c>
      <c r="X74" s="11">
        <f t="shared" si="38"/>
        <v>460318624.74385691</v>
      </c>
      <c r="Y74" s="7">
        <f t="shared" si="33"/>
        <v>53416502.118801214</v>
      </c>
    </row>
    <row r="75" spans="2:25">
      <c r="E75">
        <v>72</v>
      </c>
      <c r="F75" s="2">
        <f t="shared" si="43"/>
        <v>324120000</v>
      </c>
      <c r="G75" s="2">
        <f t="shared" si="44"/>
        <v>19600000</v>
      </c>
      <c r="H75" s="2">
        <f t="shared" si="30"/>
        <v>304520000</v>
      </c>
      <c r="I75" s="2">
        <f t="shared" si="41"/>
        <v>187431664</v>
      </c>
      <c r="J75" s="2">
        <f t="shared" si="42"/>
        <v>56229499.199999996</v>
      </c>
      <c r="K75" s="2">
        <f t="shared" si="35"/>
        <v>248290500.80000001</v>
      </c>
      <c r="L75" s="2">
        <f t="shared" si="40"/>
        <v>-19018215.503999993</v>
      </c>
      <c r="M75" s="2">
        <f t="shared" si="39"/>
        <v>304520000</v>
      </c>
      <c r="N75" s="2">
        <f t="shared" si="31"/>
        <v>34281381.079589553</v>
      </c>
      <c r="P75">
        <v>72</v>
      </c>
      <c r="Q75" s="3">
        <f t="shared" si="29"/>
        <v>762120000</v>
      </c>
      <c r="R75" s="6">
        <f>$C$13+$C$6*$A$18*$C$10+50*'Carbon Tax'!$B$6</f>
        <v>131999782.44834734</v>
      </c>
      <c r="S75" s="3">
        <f t="shared" si="32"/>
        <v>630120217.55165267</v>
      </c>
      <c r="T75" s="7">
        <f t="shared" si="28"/>
        <v>3676288.1238944829</v>
      </c>
      <c r="U75" s="7">
        <f t="shared" si="27"/>
        <v>919072.03097362071</v>
      </c>
      <c r="V75" s="7">
        <f t="shared" si="36"/>
        <v>629201145.520679</v>
      </c>
      <c r="W75" s="7">
        <f t="shared" si="37"/>
        <v>169884309.29058334</v>
      </c>
      <c r="X75" s="11">
        <f t="shared" si="38"/>
        <v>460235908.2610693</v>
      </c>
      <c r="Y75" s="7">
        <f t="shared" si="33"/>
        <v>51811120.969423145</v>
      </c>
    </row>
    <row r="76" spans="2:25">
      <c r="E76">
        <v>73</v>
      </c>
      <c r="F76" s="2">
        <f t="shared" si="43"/>
        <v>324120000</v>
      </c>
      <c r="G76" s="2">
        <f t="shared" si="44"/>
        <v>19600000</v>
      </c>
      <c r="H76" s="2">
        <f t="shared" si="30"/>
        <v>304520000</v>
      </c>
      <c r="I76" s="2">
        <f t="shared" si="41"/>
        <v>131202164.80000001</v>
      </c>
      <c r="J76" s="2">
        <f t="shared" si="42"/>
        <v>39360649.440000005</v>
      </c>
      <c r="K76" s="2">
        <f t="shared" si="35"/>
        <v>265159350.56</v>
      </c>
      <c r="L76" s="2">
        <f t="shared" si="40"/>
        <v>52574809.147200018</v>
      </c>
      <c r="M76" s="2">
        <f t="shared" si="39"/>
        <v>251945190.85279998</v>
      </c>
      <c r="N76" s="2">
        <f t="shared" si="31"/>
        <v>27515293.631044801</v>
      </c>
      <c r="P76">
        <v>73</v>
      </c>
      <c r="Q76" s="3">
        <f t="shared" si="29"/>
        <v>762120000</v>
      </c>
      <c r="R76" s="6">
        <f>$C$13+$C$6*$A$18*$C$10+50*'Carbon Tax'!$B$6</f>
        <v>131999782.44834734</v>
      </c>
      <c r="S76" s="3">
        <f t="shared" si="32"/>
        <v>630120217.55165267</v>
      </c>
      <c r="T76" s="7">
        <f t="shared" si="28"/>
        <v>2757216.0929208621</v>
      </c>
      <c r="U76" s="7">
        <f t="shared" si="27"/>
        <v>689304.02323021553</v>
      </c>
      <c r="V76" s="7">
        <f t="shared" si="36"/>
        <v>629430913.52842247</v>
      </c>
      <c r="W76" s="7">
        <f t="shared" si="37"/>
        <v>169946346.65267408</v>
      </c>
      <c r="X76" s="11">
        <f t="shared" si="38"/>
        <v>460173870.89897859</v>
      </c>
      <c r="Y76" s="7">
        <f t="shared" si="33"/>
        <v>50256244.766019844</v>
      </c>
    </row>
    <row r="77" spans="2:25">
      <c r="E77">
        <v>74</v>
      </c>
      <c r="F77" s="2">
        <f t="shared" si="43"/>
        <v>324120000</v>
      </c>
      <c r="G77" s="2">
        <f t="shared" si="44"/>
        <v>19600000</v>
      </c>
      <c r="H77" s="2">
        <f t="shared" si="30"/>
        <v>304520000</v>
      </c>
      <c r="I77" s="2">
        <f t="shared" si="41"/>
        <v>91841515.360000014</v>
      </c>
      <c r="J77" s="2">
        <f t="shared" si="42"/>
        <v>27552454.608000003</v>
      </c>
      <c r="K77" s="2">
        <f t="shared" si="35"/>
        <v>276967545.39200002</v>
      </c>
      <c r="L77" s="2">
        <f t="shared" si="40"/>
        <v>74781237.255840003</v>
      </c>
      <c r="M77" s="2">
        <f t="shared" si="39"/>
        <v>229738762.74416</v>
      </c>
      <c r="N77" s="2">
        <f t="shared" si="31"/>
        <v>24340413.21815867</v>
      </c>
      <c r="P77">
        <v>74</v>
      </c>
      <c r="Q77" s="3">
        <f t="shared" si="29"/>
        <v>762120000</v>
      </c>
      <c r="R77" s="6">
        <f>$C$13+$C$6*$A$18*$C$10+50*'Carbon Tax'!$B$6</f>
        <v>131999782.44834734</v>
      </c>
      <c r="S77" s="3">
        <f t="shared" si="32"/>
        <v>630120217.55165267</v>
      </c>
      <c r="T77" s="7">
        <f t="shared" si="28"/>
        <v>2067912.0696906466</v>
      </c>
      <c r="U77" s="7">
        <f t="shared" si="27"/>
        <v>516978.01742266165</v>
      </c>
      <c r="V77" s="7">
        <f t="shared" si="36"/>
        <v>629603239.53422999</v>
      </c>
      <c r="W77" s="7">
        <f t="shared" si="37"/>
        <v>169992874.67424211</v>
      </c>
      <c r="X77" s="11">
        <f t="shared" si="38"/>
        <v>460127342.87741053</v>
      </c>
      <c r="Y77" s="7">
        <f t="shared" si="33"/>
        <v>48749673.432696536</v>
      </c>
    </row>
    <row r="78" spans="2:25">
      <c r="E78">
        <v>75</v>
      </c>
      <c r="F78" s="2">
        <f t="shared" si="43"/>
        <v>324120000</v>
      </c>
      <c r="G78" s="2">
        <f t="shared" si="44"/>
        <v>19600000</v>
      </c>
      <c r="H78" s="2">
        <f t="shared" si="30"/>
        <v>304520000</v>
      </c>
      <c r="I78" s="2">
        <f t="shared" si="41"/>
        <v>64289060.752000012</v>
      </c>
      <c r="J78" s="2">
        <f t="shared" si="42"/>
        <v>19286718.225600004</v>
      </c>
      <c r="K78" s="2">
        <f t="shared" si="35"/>
        <v>285233281.7744</v>
      </c>
      <c r="L78" s="2">
        <f t="shared" si="40"/>
        <v>77012986.079088002</v>
      </c>
      <c r="M78" s="2">
        <f t="shared" si="39"/>
        <v>227507013.920912</v>
      </c>
      <c r="N78" s="2">
        <f t="shared" si="31"/>
        <v>23383744.082763888</v>
      </c>
      <c r="P78">
        <v>75</v>
      </c>
      <c r="Q78" s="3">
        <f t="shared" si="29"/>
        <v>762120000</v>
      </c>
      <c r="R78" s="6">
        <f>$C$13+$C$6*$A$18*$C$10+50*'Carbon Tax'!$B$6</f>
        <v>131999782.44834734</v>
      </c>
      <c r="S78" s="3">
        <f t="shared" si="32"/>
        <v>630120217.55165267</v>
      </c>
      <c r="T78" s="7">
        <f t="shared" si="28"/>
        <v>1550934.052267985</v>
      </c>
      <c r="U78" s="7">
        <f t="shared" si="27"/>
        <v>387733.51306699624</v>
      </c>
      <c r="V78" s="7">
        <f t="shared" si="36"/>
        <v>629732484.03858566</v>
      </c>
      <c r="W78" s="7">
        <f t="shared" si="37"/>
        <v>170027770.69041815</v>
      </c>
      <c r="X78" s="11">
        <f t="shared" si="38"/>
        <v>460092446.86123455</v>
      </c>
      <c r="Y78" s="7">
        <f t="shared" si="33"/>
        <v>47289460.86715278</v>
      </c>
    </row>
    <row r="79" spans="2:25">
      <c r="E79">
        <v>76</v>
      </c>
      <c r="F79" s="2">
        <f t="shared" si="43"/>
        <v>324120000</v>
      </c>
      <c r="G79" s="2">
        <f t="shared" si="44"/>
        <v>19600000</v>
      </c>
      <c r="H79" s="2">
        <f t="shared" si="30"/>
        <v>304520000</v>
      </c>
      <c r="I79" s="2">
        <f t="shared" si="41"/>
        <v>45002342.526400007</v>
      </c>
      <c r="J79" s="2">
        <f t="shared" si="42"/>
        <v>13500702.757920003</v>
      </c>
      <c r="K79" s="2">
        <f t="shared" si="35"/>
        <v>291019297.24207997</v>
      </c>
      <c r="L79" s="2">
        <f t="shared" si="40"/>
        <v>78575210.255361602</v>
      </c>
      <c r="M79" s="2">
        <f t="shared" si="39"/>
        <v>225944789.74463838</v>
      </c>
      <c r="N79" s="2">
        <f t="shared" si="31"/>
        <v>22529273.133473728</v>
      </c>
      <c r="P79">
        <v>76</v>
      </c>
      <c r="Q79" s="3">
        <f t="shared" si="29"/>
        <v>762120000</v>
      </c>
      <c r="R79" s="6">
        <f>$C$13+$C$6*$A$18*$C$10+50*'Carbon Tax'!$B$6</f>
        <v>131999782.44834734</v>
      </c>
      <c r="S79" s="3">
        <f t="shared" si="32"/>
        <v>630120217.55165267</v>
      </c>
      <c r="T79" s="7">
        <f t="shared" si="28"/>
        <v>1163200.5392009886</v>
      </c>
      <c r="U79" s="7">
        <f t="shared" si="27"/>
        <v>290800.13480024715</v>
      </c>
      <c r="V79" s="7">
        <f t="shared" si="36"/>
        <v>629829417.41685247</v>
      </c>
      <c r="W79" s="7">
        <f t="shared" si="37"/>
        <v>170053942.70255017</v>
      </c>
      <c r="X79" s="11">
        <f t="shared" si="38"/>
        <v>460066274.8491025</v>
      </c>
      <c r="Y79" s="7">
        <f t="shared" si="33"/>
        <v>45873856.074705891</v>
      </c>
    </row>
    <row r="80" spans="2:25">
      <c r="E80">
        <v>77</v>
      </c>
      <c r="F80" s="2">
        <f t="shared" si="43"/>
        <v>324120000</v>
      </c>
      <c r="G80" s="2">
        <f t="shared" si="44"/>
        <v>19600000</v>
      </c>
      <c r="H80" s="2">
        <f t="shared" si="30"/>
        <v>304520000</v>
      </c>
      <c r="I80" s="2">
        <f t="shared" si="41"/>
        <v>31501639.768480003</v>
      </c>
      <c r="J80" s="2">
        <f t="shared" si="42"/>
        <v>9450491.9305440001</v>
      </c>
      <c r="K80" s="2">
        <f t="shared" si="35"/>
        <v>295069508.06945598</v>
      </c>
      <c r="L80" s="2">
        <f t="shared" si="40"/>
        <v>79668767.178753123</v>
      </c>
      <c r="M80" s="2">
        <f t="shared" si="39"/>
        <v>224851232.82124686</v>
      </c>
      <c r="N80" s="2">
        <f t="shared" si="31"/>
        <v>21750323.081905507</v>
      </c>
      <c r="P80">
        <v>77</v>
      </c>
      <c r="Q80" s="3">
        <f t="shared" si="29"/>
        <v>762120000</v>
      </c>
      <c r="R80" s="6">
        <f>$C$13+$C$6*$A$18*$C$10+50*'Carbon Tax'!$B$6</f>
        <v>131999782.44834734</v>
      </c>
      <c r="S80" s="3">
        <f t="shared" si="32"/>
        <v>630120217.55165267</v>
      </c>
      <c r="T80" s="7">
        <f t="shared" si="28"/>
        <v>872400.40440074145</v>
      </c>
      <c r="U80" s="7">
        <f t="shared" si="27"/>
        <v>218100.10110018536</v>
      </c>
      <c r="V80" s="7">
        <f t="shared" si="36"/>
        <v>629902117.45055246</v>
      </c>
      <c r="W80" s="7">
        <f t="shared" si="37"/>
        <v>170073571.71164918</v>
      </c>
      <c r="X80" s="11">
        <f t="shared" si="38"/>
        <v>460046645.84000349</v>
      </c>
      <c r="Y80" s="7">
        <f t="shared" si="33"/>
        <v>44501260.029656038</v>
      </c>
    </row>
    <row r="81" spans="5:25">
      <c r="E81">
        <v>78</v>
      </c>
      <c r="F81" s="2">
        <f t="shared" si="43"/>
        <v>324120000</v>
      </c>
      <c r="G81" s="2">
        <f t="shared" si="44"/>
        <v>19600000</v>
      </c>
      <c r="H81" s="2">
        <f t="shared" si="30"/>
        <v>304520000</v>
      </c>
      <c r="I81" s="2">
        <f t="shared" si="41"/>
        <v>22051147.837936003</v>
      </c>
      <c r="J81" s="2">
        <f t="shared" si="42"/>
        <v>6615344.3513808008</v>
      </c>
      <c r="K81" s="2">
        <f t="shared" si="35"/>
        <v>297904655.64861917</v>
      </c>
      <c r="L81" s="2">
        <f t="shared" si="40"/>
        <v>80434257.025127187</v>
      </c>
      <c r="M81" s="2">
        <f t="shared" si="39"/>
        <v>224085742.97487283</v>
      </c>
      <c r="N81" s="2">
        <f t="shared" si="31"/>
        <v>21028594.947311148</v>
      </c>
      <c r="P81">
        <v>78</v>
      </c>
      <c r="Q81" s="3">
        <f t="shared" si="29"/>
        <v>762120000</v>
      </c>
      <c r="R81" s="6">
        <f>$C$13+$C$6*$A$18*$C$10+50*'Carbon Tax'!$B$6</f>
        <v>131999782.44834734</v>
      </c>
      <c r="S81" s="3">
        <f t="shared" si="32"/>
        <v>630120217.55165267</v>
      </c>
      <c r="T81" s="7">
        <f t="shared" si="28"/>
        <v>654300.30330055603</v>
      </c>
      <c r="U81" s="7">
        <f t="shared" si="27"/>
        <v>163575.07582513901</v>
      </c>
      <c r="V81" s="7">
        <f t="shared" si="36"/>
        <v>629956642.47582757</v>
      </c>
      <c r="W81" s="7">
        <f t="shared" si="37"/>
        <v>170088293.46847346</v>
      </c>
      <c r="X81" s="11">
        <f t="shared" si="38"/>
        <v>460031924.08317924</v>
      </c>
      <c r="Y81" s="7">
        <f t="shared" si="33"/>
        <v>43170193.988923751</v>
      </c>
    </row>
    <row r="82" spans="5:25">
      <c r="E82">
        <v>79</v>
      </c>
      <c r="F82" s="2">
        <f t="shared" si="43"/>
        <v>324120000</v>
      </c>
      <c r="G82" s="2">
        <f t="shared" si="44"/>
        <v>19600000</v>
      </c>
      <c r="H82" s="2">
        <f t="shared" si="30"/>
        <v>304520000</v>
      </c>
      <c r="I82" s="2">
        <f t="shared" si="41"/>
        <v>15435803.486555202</v>
      </c>
      <c r="J82" s="2">
        <f t="shared" si="42"/>
        <v>4630741.04596656</v>
      </c>
      <c r="K82" s="2">
        <f t="shared" si="35"/>
        <v>299889258.95403343</v>
      </c>
      <c r="L82" s="2">
        <f t="shared" si="40"/>
        <v>80970099.917589039</v>
      </c>
      <c r="M82" s="2">
        <f t="shared" si="39"/>
        <v>223549900.08241096</v>
      </c>
      <c r="N82" s="2">
        <f t="shared" si="31"/>
        <v>20351484.78900345</v>
      </c>
      <c r="P82">
        <v>79</v>
      </c>
      <c r="Q82" s="3">
        <f t="shared" si="29"/>
        <v>762120000</v>
      </c>
      <c r="R82" s="6">
        <f>$C$13+$C$6*$A$18*$C$10+50*'Carbon Tax'!$B$6</f>
        <v>131999782.44834734</v>
      </c>
      <c r="S82" s="3">
        <f t="shared" si="32"/>
        <v>630120217.55165267</v>
      </c>
      <c r="T82" s="7">
        <f t="shared" si="28"/>
        <v>490725.22747541702</v>
      </c>
      <c r="U82" s="7">
        <f t="shared" si="27"/>
        <v>122681.30686885426</v>
      </c>
      <c r="V82" s="7">
        <f t="shared" si="36"/>
        <v>629997536.24478376</v>
      </c>
      <c r="W82" s="7">
        <f t="shared" si="37"/>
        <v>170099334.78609163</v>
      </c>
      <c r="X82" s="11">
        <f t="shared" si="38"/>
        <v>460020882.76556104</v>
      </c>
      <c r="Y82" s="7">
        <f t="shared" si="33"/>
        <v>41879276.14718657</v>
      </c>
    </row>
    <row r="83" spans="5:25">
      <c r="E83">
        <v>80</v>
      </c>
      <c r="F83" s="2">
        <f t="shared" si="43"/>
        <v>324120000</v>
      </c>
      <c r="G83" s="2">
        <f t="shared" si="44"/>
        <v>19600000</v>
      </c>
      <c r="H83" s="2">
        <f t="shared" si="30"/>
        <v>304520000</v>
      </c>
      <c r="I83" s="2">
        <f t="shared" si="41"/>
        <v>10805062.440588642</v>
      </c>
      <c r="J83" s="2">
        <f t="shared" si="42"/>
        <v>3241518.7321765926</v>
      </c>
      <c r="K83" s="2">
        <f t="shared" si="35"/>
        <v>301278481.2678234</v>
      </c>
      <c r="L83" s="2">
        <f t="shared" si="40"/>
        <v>81345189.94231233</v>
      </c>
      <c r="M83" s="2">
        <f t="shared" si="39"/>
        <v>223174810.05768767</v>
      </c>
      <c r="N83" s="2">
        <f t="shared" si="31"/>
        <v>19710261.378472306</v>
      </c>
      <c r="P83">
        <v>80</v>
      </c>
      <c r="Q83" s="3">
        <f t="shared" si="29"/>
        <v>762120000</v>
      </c>
      <c r="R83" s="6">
        <f>$C$13+$C$6*$A$18*$C$10+50*'Carbon Tax'!$B$6</f>
        <v>131999782.44834734</v>
      </c>
      <c r="S83" s="3">
        <f t="shared" si="32"/>
        <v>630120217.55165267</v>
      </c>
      <c r="T83" s="7">
        <f t="shared" si="28"/>
        <v>368043.92060656275</v>
      </c>
      <c r="U83" s="7">
        <f t="shared" si="27"/>
        <v>92010.980151640688</v>
      </c>
      <c r="V83" s="7">
        <f t="shared" si="36"/>
        <v>630028206.57150102</v>
      </c>
      <c r="W83" s="7">
        <f t="shared" si="37"/>
        <v>170107615.77430528</v>
      </c>
      <c r="X83" s="11">
        <f t="shared" si="38"/>
        <v>460012601.77734739</v>
      </c>
      <c r="Y83" s="7">
        <f t="shared" si="33"/>
        <v>40627204.369879037</v>
      </c>
    </row>
    <row r="84" spans="5:25">
      <c r="E84">
        <v>81</v>
      </c>
      <c r="F84" s="2">
        <f t="shared" si="43"/>
        <v>324120000</v>
      </c>
      <c r="G84" s="2">
        <f t="shared" si="44"/>
        <v>19600000</v>
      </c>
      <c r="H84" s="2">
        <f t="shared" si="30"/>
        <v>304520000</v>
      </c>
      <c r="I84" s="2">
        <f t="shared" si="41"/>
        <v>7563543.7084120493</v>
      </c>
      <c r="J84" s="2">
        <f t="shared" si="42"/>
        <v>2269063.1125236149</v>
      </c>
      <c r="K84" s="2">
        <f t="shared" si="35"/>
        <v>302250936.88747638</v>
      </c>
      <c r="L84" s="2">
        <f t="shared" si="40"/>
        <v>81607752.959618628</v>
      </c>
      <c r="M84" s="2">
        <f t="shared" si="39"/>
        <v>222912247.04038137</v>
      </c>
      <c r="N84" s="2">
        <f t="shared" si="31"/>
        <v>19098828.526924968</v>
      </c>
      <c r="P84">
        <v>81</v>
      </c>
      <c r="Q84" s="3">
        <f t="shared" si="29"/>
        <v>762120000</v>
      </c>
      <c r="R84" s="6">
        <f>$C$13+$C$6*$A$18*$C$10+50*'Carbon Tax'!$B$6</f>
        <v>131999782.44834734</v>
      </c>
      <c r="S84" s="3">
        <f t="shared" si="32"/>
        <v>630120217.55165267</v>
      </c>
      <c r="T84" s="7">
        <f t="shared" si="28"/>
        <v>276032.94045492203</v>
      </c>
      <c r="U84" s="7">
        <f t="shared" si="27"/>
        <v>69008.235113730509</v>
      </c>
      <c r="V84" s="7">
        <f t="shared" si="36"/>
        <v>630051209.31653893</v>
      </c>
      <c r="W84" s="7">
        <f t="shared" si="37"/>
        <v>170113826.51546553</v>
      </c>
      <c r="X84" s="11">
        <f t="shared" si="38"/>
        <v>460006391.03618717</v>
      </c>
      <c r="Y84" s="7">
        <f t="shared" si="33"/>
        <v>39412743.35679812</v>
      </c>
    </row>
    <row r="85" spans="5:25">
      <c r="E85">
        <v>82</v>
      </c>
      <c r="F85" s="2">
        <f t="shared" si="43"/>
        <v>324120000</v>
      </c>
      <c r="G85" s="2">
        <f t="shared" si="44"/>
        <v>19600000</v>
      </c>
      <c r="H85" s="2">
        <f t="shared" si="30"/>
        <v>304520000</v>
      </c>
      <c r="I85" s="2">
        <f t="shared" si="41"/>
        <v>5294480.595888434</v>
      </c>
      <c r="J85" s="2">
        <f t="shared" si="42"/>
        <v>1588344.1787665302</v>
      </c>
      <c r="K85" s="2">
        <f t="shared" si="35"/>
        <v>302931655.82123345</v>
      </c>
      <c r="L85" s="2">
        <f t="shared" si="40"/>
        <v>81791547.071733043</v>
      </c>
      <c r="M85" s="2">
        <f t="shared" si="39"/>
        <v>222728452.92826694</v>
      </c>
      <c r="N85" s="2">
        <f t="shared" si="31"/>
        <v>18512884.447823126</v>
      </c>
      <c r="P85">
        <v>82</v>
      </c>
      <c r="Q85" s="3">
        <f t="shared" si="29"/>
        <v>762120000</v>
      </c>
      <c r="R85" s="6">
        <f>$C$13+$C$6*$A$18*$C$10+50*'Carbon Tax'!$B$6</f>
        <v>131999782.44834734</v>
      </c>
      <c r="S85" s="3">
        <f t="shared" si="32"/>
        <v>630120217.55165267</v>
      </c>
      <c r="T85" s="7">
        <f t="shared" si="28"/>
        <v>207024.70534119153</v>
      </c>
      <c r="U85" s="7">
        <f t="shared" si="27"/>
        <v>51756.176335297881</v>
      </c>
      <c r="V85" s="7">
        <f t="shared" si="36"/>
        <v>630068461.37531734</v>
      </c>
      <c r="W85" s="7">
        <f t="shared" si="37"/>
        <v>170118484.5713357</v>
      </c>
      <c r="X85" s="11">
        <f t="shared" si="38"/>
        <v>460001732.980317</v>
      </c>
      <c r="Y85" s="7">
        <f t="shared" si="33"/>
        <v>38234715.037533574</v>
      </c>
    </row>
    <row r="86" spans="5:25">
      <c r="E86">
        <v>83</v>
      </c>
      <c r="F86" s="2">
        <f t="shared" si="43"/>
        <v>324120000</v>
      </c>
      <c r="G86" s="2">
        <f t="shared" si="44"/>
        <v>19600000</v>
      </c>
      <c r="H86" s="2">
        <f t="shared" si="30"/>
        <v>304520000</v>
      </c>
      <c r="I86" s="2">
        <f t="shared" si="41"/>
        <v>3706136.417121904</v>
      </c>
      <c r="J86" s="2">
        <f t="shared" si="42"/>
        <v>1111840.9251365711</v>
      </c>
      <c r="K86" s="2">
        <f t="shared" si="35"/>
        <v>303408159.07486343</v>
      </c>
      <c r="L86" s="2">
        <f t="shared" si="40"/>
        <v>81920202.950213134</v>
      </c>
      <c r="M86" s="2">
        <f t="shared" si="39"/>
        <v>222599797.04978687</v>
      </c>
      <c r="N86" s="2">
        <f t="shared" si="31"/>
        <v>17949350.744206741</v>
      </c>
      <c r="P86">
        <v>83</v>
      </c>
      <c r="Q86" s="3">
        <f t="shared" si="29"/>
        <v>762120000</v>
      </c>
      <c r="R86" s="6">
        <f>$C$13+$C$6*$A$18*$C$10+50*'Carbon Tax'!$B$6</f>
        <v>131999782.44834734</v>
      </c>
      <c r="S86" s="3">
        <f t="shared" si="32"/>
        <v>630120217.55165267</v>
      </c>
      <c r="T86" s="7">
        <f t="shared" si="28"/>
        <v>155268.52900589365</v>
      </c>
      <c r="U86" s="7">
        <f t="shared" si="27"/>
        <v>38817.132251473413</v>
      </c>
      <c r="V86" s="7">
        <f t="shared" si="36"/>
        <v>630081400.41940117</v>
      </c>
      <c r="W86" s="7">
        <f t="shared" si="37"/>
        <v>170121978.11323833</v>
      </c>
      <c r="X86" s="11">
        <f t="shared" si="38"/>
        <v>459998239.43841434</v>
      </c>
      <c r="Y86" s="7">
        <f t="shared" si="33"/>
        <v>37091991.326258935</v>
      </c>
    </row>
    <row r="87" spans="5:25">
      <c r="E87">
        <v>84</v>
      </c>
      <c r="F87" s="2">
        <f t="shared" si="43"/>
        <v>324120000</v>
      </c>
      <c r="G87" s="2">
        <f t="shared" si="44"/>
        <v>19600000</v>
      </c>
      <c r="H87" s="2">
        <f t="shared" si="30"/>
        <v>304520000</v>
      </c>
      <c r="I87" s="2">
        <f t="shared" si="41"/>
        <v>2594295.4919853332</v>
      </c>
      <c r="J87" s="2">
        <f t="shared" si="42"/>
        <v>778288.64759559988</v>
      </c>
      <c r="K87" s="2">
        <f t="shared" si="35"/>
        <v>303741711.35240442</v>
      </c>
      <c r="L87" s="2">
        <f t="shared" si="40"/>
        <v>82010262.065149203</v>
      </c>
      <c r="M87" s="2">
        <f t="shared" si="39"/>
        <v>222509737.93485081</v>
      </c>
      <c r="N87" s="2">
        <f t="shared" si="31"/>
        <v>17405984.498405587</v>
      </c>
      <c r="P87">
        <v>84</v>
      </c>
      <c r="Q87" s="3">
        <f t="shared" si="29"/>
        <v>762120000</v>
      </c>
      <c r="R87" s="6">
        <f>$C$13+$C$6*$A$18*$C$10+50*'Carbon Tax'!$B$6</f>
        <v>131999782.44834734</v>
      </c>
      <c r="S87" s="3">
        <f t="shared" si="32"/>
        <v>630120217.55165267</v>
      </c>
      <c r="T87" s="7">
        <f t="shared" si="28"/>
        <v>116451.39675442025</v>
      </c>
      <c r="U87" s="7">
        <f t="shared" si="27"/>
        <v>29112.849188605061</v>
      </c>
      <c r="V87" s="7">
        <f t="shared" si="36"/>
        <v>630091104.7024641</v>
      </c>
      <c r="W87" s="7">
        <f t="shared" si="37"/>
        <v>170124598.26966533</v>
      </c>
      <c r="X87" s="11">
        <f t="shared" si="38"/>
        <v>459995619.28198731</v>
      </c>
      <c r="Y87" s="7">
        <f t="shared" si="33"/>
        <v>35983488.600849658</v>
      </c>
    </row>
    <row r="88" spans="5:25">
      <c r="E88">
        <v>85</v>
      </c>
      <c r="F88" s="2">
        <f t="shared" si="43"/>
        <v>324120000</v>
      </c>
      <c r="G88" s="2">
        <f t="shared" si="44"/>
        <v>19600000</v>
      </c>
      <c r="H88" s="2">
        <f t="shared" si="30"/>
        <v>304520000</v>
      </c>
      <c r="I88" s="2">
        <f t="shared" si="41"/>
        <v>1816006.8443897334</v>
      </c>
      <c r="J88" s="2">
        <f t="shared" si="42"/>
        <v>544802.05331691995</v>
      </c>
      <c r="K88" s="2">
        <f t="shared" si="35"/>
        <v>303975197.94668311</v>
      </c>
      <c r="L88" s="2">
        <f t="shared" si="40"/>
        <v>82073303.445604444</v>
      </c>
      <c r="M88" s="2">
        <f t="shared" si="39"/>
        <v>222446696.55439556</v>
      </c>
      <c r="N88" s="2">
        <f t="shared" si="31"/>
        <v>16881114.708011191</v>
      </c>
      <c r="P88">
        <v>85</v>
      </c>
      <c r="Q88" s="3">
        <f t="shared" si="29"/>
        <v>762120000</v>
      </c>
      <c r="R88" s="6">
        <f>$C$13+$C$6*$A$18*$C$10+50*'Carbon Tax'!$B$6</f>
        <v>131999782.44834734</v>
      </c>
      <c r="S88" s="3">
        <f t="shared" si="32"/>
        <v>630120217.55165267</v>
      </c>
      <c r="T88" s="7">
        <f t="shared" si="28"/>
        <v>87338.547565815184</v>
      </c>
      <c r="U88" s="7">
        <f t="shared" si="27"/>
        <v>21834.636891453796</v>
      </c>
      <c r="V88" s="7">
        <f t="shared" si="36"/>
        <v>630098382.91476119</v>
      </c>
      <c r="W88" s="7">
        <f t="shared" si="37"/>
        <v>170126563.38698554</v>
      </c>
      <c r="X88" s="11">
        <f t="shared" si="38"/>
        <v>459993654.16466713</v>
      </c>
      <c r="Y88" s="7">
        <f t="shared" si="33"/>
        <v>34908163.444055133</v>
      </c>
    </row>
    <row r="89" spans="5:25">
      <c r="E89">
        <v>86</v>
      </c>
      <c r="F89" s="2">
        <f t="shared" si="43"/>
        <v>324120000</v>
      </c>
      <c r="G89" s="2">
        <f t="shared" si="44"/>
        <v>19600000</v>
      </c>
      <c r="H89" s="2">
        <f t="shared" si="30"/>
        <v>304520000</v>
      </c>
      <c r="I89" s="2">
        <f t="shared" si="41"/>
        <v>1271204.7910728133</v>
      </c>
      <c r="J89" s="2">
        <f t="shared" si="42"/>
        <v>381361.43732184399</v>
      </c>
      <c r="K89" s="2">
        <f t="shared" si="35"/>
        <v>304138638.56267816</v>
      </c>
      <c r="L89" s="2">
        <f t="shared" si="40"/>
        <v>82117432.41192311</v>
      </c>
      <c r="M89" s="2">
        <f t="shared" si="39"/>
        <v>222402567.58807689</v>
      </c>
      <c r="N89" s="2">
        <f t="shared" si="31"/>
        <v>16373463.16762175</v>
      </c>
      <c r="P89">
        <v>86</v>
      </c>
      <c r="Q89" s="3">
        <f t="shared" si="29"/>
        <v>762120000</v>
      </c>
      <c r="R89" s="6">
        <f>$C$13+$C$6*$A$18*$C$10+50*'Carbon Tax'!$B$6</f>
        <v>131999782.44834734</v>
      </c>
      <c r="S89" s="3">
        <f t="shared" si="32"/>
        <v>630120217.55165267</v>
      </c>
      <c r="T89" s="7">
        <f t="shared" si="28"/>
        <v>65503.910674361388</v>
      </c>
      <c r="U89" s="7">
        <f t="shared" si="27"/>
        <v>16375.977668590347</v>
      </c>
      <c r="V89" s="7">
        <f t="shared" si="36"/>
        <v>630103841.57398403</v>
      </c>
      <c r="W89" s="7">
        <f t="shared" si="37"/>
        <v>170128037.22497571</v>
      </c>
      <c r="X89" s="11">
        <f t="shared" si="38"/>
        <v>459992180.32667696</v>
      </c>
      <c r="Y89" s="7">
        <f t="shared" si="33"/>
        <v>33865009.310156204</v>
      </c>
    </row>
    <row r="90" spans="5:25">
      <c r="E90">
        <v>87</v>
      </c>
      <c r="F90" s="2">
        <f t="shared" si="43"/>
        <v>324120000</v>
      </c>
      <c r="G90" s="2">
        <f t="shared" si="44"/>
        <v>19600000</v>
      </c>
      <c r="H90" s="2">
        <f t="shared" si="30"/>
        <v>304520000</v>
      </c>
      <c r="I90" s="2">
        <f t="shared" si="41"/>
        <v>889843.35375096928</v>
      </c>
      <c r="J90" s="2">
        <f t="shared" si="42"/>
        <v>266953.00612529076</v>
      </c>
      <c r="K90" s="2">
        <f t="shared" si="35"/>
        <v>304253046.99387473</v>
      </c>
      <c r="L90" s="2">
        <f t="shared" si="40"/>
        <v>82148322.688346177</v>
      </c>
      <c r="M90" s="2">
        <f t="shared" si="39"/>
        <v>222371677.31165382</v>
      </c>
      <c r="N90" s="2">
        <f t="shared" si="31"/>
        <v>15882022.700443927</v>
      </c>
      <c r="P90">
        <v>87</v>
      </c>
      <c r="Q90" s="3">
        <f t="shared" si="29"/>
        <v>762120000</v>
      </c>
      <c r="R90" s="6">
        <f>$C$13+$C$6*$A$18*$C$10+50*'Carbon Tax'!$B$6</f>
        <v>131999782.44834734</v>
      </c>
      <c r="S90" s="3">
        <f t="shared" si="32"/>
        <v>630120217.55165267</v>
      </c>
      <c r="T90" s="7">
        <f t="shared" si="28"/>
        <v>49127.933005771039</v>
      </c>
      <c r="U90" s="7">
        <f t="shared" si="27"/>
        <v>12281.98325144276</v>
      </c>
      <c r="V90" s="7">
        <f t="shared" si="36"/>
        <v>630107935.56840122</v>
      </c>
      <c r="W90" s="7">
        <f t="shared" si="37"/>
        <v>170129142.60346833</v>
      </c>
      <c r="X90" s="11">
        <f t="shared" si="38"/>
        <v>459991074.94818437</v>
      </c>
      <c r="Y90" s="7">
        <f t="shared" si="33"/>
        <v>32853053.872008566</v>
      </c>
    </row>
    <row r="91" spans="5:25">
      <c r="E91">
        <v>88</v>
      </c>
      <c r="F91" s="2">
        <f t="shared" si="43"/>
        <v>324120000</v>
      </c>
      <c r="G91" s="2">
        <f t="shared" si="44"/>
        <v>19600000</v>
      </c>
      <c r="H91" s="2">
        <f t="shared" si="30"/>
        <v>304520000</v>
      </c>
      <c r="I91" s="2">
        <f t="shared" si="41"/>
        <v>622890.34762567852</v>
      </c>
      <c r="J91" s="2">
        <f t="shared" si="42"/>
        <v>186867.10428770355</v>
      </c>
      <c r="K91" s="2">
        <f t="shared" si="35"/>
        <v>304333132.89571232</v>
      </c>
      <c r="L91" s="2">
        <f t="shared" si="40"/>
        <v>82169945.88184233</v>
      </c>
      <c r="M91" s="2">
        <f t="shared" si="39"/>
        <v>222350054.11815768</v>
      </c>
      <c r="N91" s="2">
        <f t="shared" si="31"/>
        <v>15405974.339221487</v>
      </c>
      <c r="P91">
        <v>88</v>
      </c>
      <c r="Q91" s="3">
        <f t="shared" si="29"/>
        <v>762120000</v>
      </c>
      <c r="R91" s="6">
        <f>$C$13+$C$6*$A$18*$C$10+50*'Carbon Tax'!$B$6</f>
        <v>131999782.44834734</v>
      </c>
      <c r="S91" s="3">
        <f t="shared" si="32"/>
        <v>630120217.55165267</v>
      </c>
      <c r="T91" s="7">
        <f t="shared" si="28"/>
        <v>36845.949754328278</v>
      </c>
      <c r="U91" s="7">
        <f t="shared" ref="U91:U112" si="45">T91*$B$29</f>
        <v>9211.4874385820694</v>
      </c>
      <c r="V91" s="7">
        <f t="shared" si="36"/>
        <v>630111006.06421411</v>
      </c>
      <c r="W91" s="7">
        <f t="shared" si="37"/>
        <v>170129971.63733783</v>
      </c>
      <c r="X91" s="11">
        <f t="shared" si="38"/>
        <v>459990245.91431487</v>
      </c>
      <c r="Y91" s="7">
        <f t="shared" si="33"/>
        <v>31871356.86993029</v>
      </c>
    </row>
    <row r="92" spans="5:25">
      <c r="E92">
        <v>89</v>
      </c>
      <c r="F92" s="2">
        <f t="shared" si="43"/>
        <v>324120000</v>
      </c>
      <c r="G92" s="2">
        <f t="shared" si="44"/>
        <v>19600000</v>
      </c>
      <c r="H92" s="2">
        <f t="shared" si="30"/>
        <v>304520000</v>
      </c>
      <c r="I92" s="2">
        <f t="shared" si="41"/>
        <v>436023.243337975</v>
      </c>
      <c r="J92" s="2">
        <f t="shared" si="42"/>
        <v>130806.9730013925</v>
      </c>
      <c r="K92" s="2">
        <f t="shared" si="35"/>
        <v>304389193.02699858</v>
      </c>
      <c r="L92" s="2">
        <f t="shared" si="40"/>
        <v>82185082.117289618</v>
      </c>
      <c r="M92" s="2">
        <f t="shared" si="39"/>
        <v>222334917.8827104</v>
      </c>
      <c r="N92" s="2">
        <f t="shared" si="31"/>
        <v>14944630.960863514</v>
      </c>
      <c r="P92">
        <v>89</v>
      </c>
      <c r="Q92" s="3">
        <f t="shared" si="29"/>
        <v>762120000</v>
      </c>
      <c r="R92" s="6">
        <f>$C$13+$C$6*$A$18*$C$10+50*'Carbon Tax'!$B$6</f>
        <v>131999782.44834734</v>
      </c>
      <c r="S92" s="3">
        <f t="shared" si="32"/>
        <v>630120217.55165267</v>
      </c>
      <c r="T92" s="7">
        <f t="shared" si="28"/>
        <v>27634.462315746208</v>
      </c>
      <c r="U92" s="7">
        <f t="shared" si="45"/>
        <v>6908.6155789365521</v>
      </c>
      <c r="V92" s="7">
        <f t="shared" si="36"/>
        <v>630113308.93607378</v>
      </c>
      <c r="W92" s="7">
        <f t="shared" si="37"/>
        <v>170130593.41273993</v>
      </c>
      <c r="X92" s="11">
        <f t="shared" si="38"/>
        <v>459989624.13891274</v>
      </c>
      <c r="Y92" s="7">
        <f t="shared" si="33"/>
        <v>30919008.332325216</v>
      </c>
    </row>
    <row r="93" spans="5:25">
      <c r="E93">
        <v>90</v>
      </c>
      <c r="F93" s="2">
        <f t="shared" si="43"/>
        <v>324120000</v>
      </c>
      <c r="G93" s="2">
        <f t="shared" si="44"/>
        <v>19600000</v>
      </c>
      <c r="H93" s="2">
        <f t="shared" si="30"/>
        <v>304520000</v>
      </c>
      <c r="I93" s="2">
        <f t="shared" si="41"/>
        <v>305216.2703365825</v>
      </c>
      <c r="J93" s="2">
        <f t="shared" si="42"/>
        <v>91564.881100974744</v>
      </c>
      <c r="K93" s="2">
        <f t="shared" si="35"/>
        <v>304428435.11889905</v>
      </c>
      <c r="L93" s="2">
        <f t="shared" si="40"/>
        <v>82195677.482102752</v>
      </c>
      <c r="M93" s="2">
        <f t="shared" si="39"/>
        <v>222324322.51789725</v>
      </c>
      <c r="N93" s="2">
        <f t="shared" si="31"/>
        <v>14497398.889074612</v>
      </c>
      <c r="P93">
        <v>90</v>
      </c>
      <c r="Q93" s="3">
        <f t="shared" si="29"/>
        <v>762120000</v>
      </c>
      <c r="R93" s="6">
        <f>$C$13+$C$6*$A$18*$C$10+50*'Carbon Tax'!$B$6</f>
        <v>131999782.44834734</v>
      </c>
      <c r="S93" s="3">
        <f t="shared" si="32"/>
        <v>630120217.55165267</v>
      </c>
      <c r="T93" s="7">
        <f t="shared" si="28"/>
        <v>20725.846736809657</v>
      </c>
      <c r="U93" s="7">
        <f t="shared" si="45"/>
        <v>5181.4616842024143</v>
      </c>
      <c r="V93" s="7">
        <f t="shared" si="36"/>
        <v>630115036.08996844</v>
      </c>
      <c r="W93" s="7">
        <f t="shared" si="37"/>
        <v>170131059.74429148</v>
      </c>
      <c r="X93" s="11">
        <f t="shared" si="38"/>
        <v>459989157.80736119</v>
      </c>
      <c r="Y93" s="7">
        <f t="shared" si="33"/>
        <v>29995127.073179204</v>
      </c>
    </row>
    <row r="94" spans="5:25">
      <c r="E94">
        <v>91</v>
      </c>
      <c r="F94" s="2">
        <f t="shared" si="43"/>
        <v>324120000</v>
      </c>
      <c r="G94" s="2">
        <f t="shared" si="44"/>
        <v>19600000</v>
      </c>
      <c r="H94" s="2">
        <f t="shared" si="30"/>
        <v>304520000</v>
      </c>
      <c r="I94" s="2">
        <f t="shared" si="41"/>
        <v>213651.38923560776</v>
      </c>
      <c r="J94" s="2">
        <f t="shared" si="42"/>
        <v>64095.416770682321</v>
      </c>
      <c r="K94" s="2">
        <f t="shared" si="35"/>
        <v>304455904.5832293</v>
      </c>
      <c r="L94" s="2">
        <f t="shared" si="40"/>
        <v>82203094.237471923</v>
      </c>
      <c r="M94" s="2">
        <f t="shared" si="39"/>
        <v>222316905.76252806</v>
      </c>
      <c r="N94" s="2">
        <f t="shared" si="31"/>
        <v>14063751.702373205</v>
      </c>
      <c r="P94">
        <v>91</v>
      </c>
      <c r="Q94" s="3">
        <f t="shared" si="29"/>
        <v>762120000</v>
      </c>
      <c r="R94" s="6">
        <f>$C$13+$C$6*$A$18*$C$10+50*'Carbon Tax'!$B$6</f>
        <v>131999782.44834734</v>
      </c>
      <c r="S94" s="3">
        <f t="shared" si="32"/>
        <v>630120217.55165267</v>
      </c>
      <c r="T94" s="7">
        <f t="shared" si="28"/>
        <v>15544.385052607242</v>
      </c>
      <c r="U94" s="7">
        <f t="shared" si="45"/>
        <v>3886.0962631518105</v>
      </c>
      <c r="V94" s="7">
        <f t="shared" si="36"/>
        <v>630116331.4553895</v>
      </c>
      <c r="W94" s="7">
        <f t="shared" si="37"/>
        <v>170131409.49295518</v>
      </c>
      <c r="X94" s="11">
        <f t="shared" si="38"/>
        <v>459988808.05869746</v>
      </c>
      <c r="Y94" s="7">
        <f t="shared" si="33"/>
        <v>29098859.39721692</v>
      </c>
    </row>
    <row r="95" spans="5:25">
      <c r="E95">
        <v>92</v>
      </c>
      <c r="F95" s="2">
        <f t="shared" si="43"/>
        <v>324120000</v>
      </c>
      <c r="G95" s="2">
        <f t="shared" si="44"/>
        <v>19600000</v>
      </c>
      <c r="H95" s="2">
        <f t="shared" si="30"/>
        <v>304520000</v>
      </c>
      <c r="I95" s="2">
        <f t="shared" si="41"/>
        <v>149555.97246492543</v>
      </c>
      <c r="J95" s="2">
        <f t="shared" si="42"/>
        <v>44866.79173947763</v>
      </c>
      <c r="K95" s="2">
        <f t="shared" si="35"/>
        <v>304475133.20826054</v>
      </c>
      <c r="L95" s="2">
        <f t="shared" si="40"/>
        <v>82208285.966230348</v>
      </c>
      <c r="M95" s="2">
        <f t="shared" si="39"/>
        <v>222311714.03376967</v>
      </c>
      <c r="N95" s="2">
        <f t="shared" si="31"/>
        <v>13643212.334089926</v>
      </c>
      <c r="P95">
        <v>92</v>
      </c>
      <c r="Q95" s="3">
        <f t="shared" si="29"/>
        <v>762120000</v>
      </c>
      <c r="R95" s="6">
        <f>$C$13+$C$6*$A$18*$C$10+50*'Carbon Tax'!$B$6</f>
        <v>131999782.44834734</v>
      </c>
      <c r="S95" s="3">
        <f t="shared" si="32"/>
        <v>630120217.55165267</v>
      </c>
      <c r="T95" s="7">
        <f t="shared" si="28"/>
        <v>11658.288789455431</v>
      </c>
      <c r="U95" s="7">
        <f t="shared" si="45"/>
        <v>2914.5721973638579</v>
      </c>
      <c r="V95" s="7">
        <f t="shared" si="36"/>
        <v>630117302.97945535</v>
      </c>
      <c r="W95" s="7">
        <f t="shared" si="37"/>
        <v>170131671.80445296</v>
      </c>
      <c r="X95" s="11">
        <f t="shared" si="38"/>
        <v>459988545.74719971</v>
      </c>
      <c r="Y95" s="7">
        <f t="shared" si="33"/>
        <v>28229377.962175161</v>
      </c>
    </row>
    <row r="96" spans="5:25">
      <c r="E96">
        <v>93</v>
      </c>
      <c r="F96" s="2">
        <f t="shared" si="43"/>
        <v>324120000</v>
      </c>
      <c r="G96" s="2">
        <f t="shared" si="44"/>
        <v>19600000</v>
      </c>
      <c r="H96" s="2">
        <f t="shared" si="30"/>
        <v>304520000</v>
      </c>
      <c r="I96" s="2">
        <f t="shared" si="41"/>
        <v>104689.1807254478</v>
      </c>
      <c r="J96" s="2">
        <f t="shared" si="42"/>
        <v>31406.754217634341</v>
      </c>
      <c r="K96" s="2">
        <f t="shared" si="35"/>
        <v>304488593.24578238</v>
      </c>
      <c r="L96" s="2">
        <f t="shared" si="40"/>
        <v>82211920.176361248</v>
      </c>
      <c r="M96" s="2">
        <f t="shared" si="39"/>
        <v>222308079.82363874</v>
      </c>
      <c r="N96" s="2">
        <f t="shared" si="31"/>
        <v>13235340.806708464</v>
      </c>
      <c r="P96">
        <v>93</v>
      </c>
      <c r="Q96" s="3">
        <f t="shared" si="29"/>
        <v>762120000</v>
      </c>
      <c r="R96" s="6">
        <f>$C$13+$C$6*$A$18*$C$10+50*'Carbon Tax'!$B$6</f>
        <v>131999782.44834734</v>
      </c>
      <c r="S96" s="3">
        <f t="shared" si="32"/>
        <v>630120217.55165267</v>
      </c>
      <c r="T96" s="7">
        <f t="shared" si="28"/>
        <v>8743.7165920915741</v>
      </c>
      <c r="U96" s="7">
        <f t="shared" si="45"/>
        <v>2185.9291480228935</v>
      </c>
      <c r="V96" s="7">
        <f t="shared" si="36"/>
        <v>630118031.62250459</v>
      </c>
      <c r="W96" s="7">
        <f t="shared" si="37"/>
        <v>170131868.53807625</v>
      </c>
      <c r="X96" s="11">
        <f t="shared" si="38"/>
        <v>459988349.01357639</v>
      </c>
      <c r="Y96" s="7">
        <f t="shared" si="33"/>
        <v>27385880.761237517</v>
      </c>
    </row>
    <row r="97" spans="5:25">
      <c r="E97">
        <v>94</v>
      </c>
      <c r="F97" s="2">
        <f t="shared" si="43"/>
        <v>324120000</v>
      </c>
      <c r="G97" s="2">
        <f t="shared" si="44"/>
        <v>19600000</v>
      </c>
      <c r="H97" s="2">
        <f t="shared" si="30"/>
        <v>304520000</v>
      </c>
      <c r="I97" s="2">
        <f t="shared" si="41"/>
        <v>73282.426507813463</v>
      </c>
      <c r="J97" s="2">
        <f t="shared" si="42"/>
        <v>21984.727952344037</v>
      </c>
      <c r="K97" s="2">
        <f t="shared" si="35"/>
        <v>304498015.27204764</v>
      </c>
      <c r="L97" s="2">
        <f t="shared" si="40"/>
        <v>82214464.123452872</v>
      </c>
      <c r="M97" s="2">
        <f t="shared" si="39"/>
        <v>222305535.87654713</v>
      </c>
      <c r="N97" s="2">
        <f t="shared" si="31"/>
        <v>12839725.795687525</v>
      </c>
      <c r="P97">
        <v>94</v>
      </c>
      <c r="Q97" s="3">
        <f t="shared" si="29"/>
        <v>762120000</v>
      </c>
      <c r="R97" s="6">
        <f>$C$13+$C$6*$A$18*$C$10+50*'Carbon Tax'!$B$6</f>
        <v>131999782.44834734</v>
      </c>
      <c r="S97" s="3">
        <f t="shared" si="32"/>
        <v>630120217.55165267</v>
      </c>
      <c r="T97" s="7">
        <f t="shared" si="28"/>
        <v>6557.787444068681</v>
      </c>
      <c r="U97" s="7">
        <f t="shared" si="45"/>
        <v>1639.4468610171702</v>
      </c>
      <c r="V97" s="7">
        <f t="shared" si="36"/>
        <v>630118578.10479164</v>
      </c>
      <c r="W97" s="7">
        <f t="shared" si="37"/>
        <v>170132016.08829376</v>
      </c>
      <c r="X97" s="11">
        <f t="shared" si="38"/>
        <v>459988201.46335888</v>
      </c>
      <c r="Y97" s="7">
        <f t="shared" si="33"/>
        <v>26567590.198567271</v>
      </c>
    </row>
    <row r="98" spans="5:25">
      <c r="E98">
        <v>95</v>
      </c>
      <c r="F98" s="2">
        <f t="shared" si="43"/>
        <v>324120000</v>
      </c>
      <c r="G98" s="2">
        <f t="shared" si="44"/>
        <v>19600000</v>
      </c>
      <c r="H98" s="2">
        <f t="shared" si="30"/>
        <v>304520000</v>
      </c>
      <c r="I98" s="2">
        <f t="shared" si="41"/>
        <v>51297.698555469426</v>
      </c>
      <c r="J98" s="2">
        <f t="shared" si="42"/>
        <v>15389.309566640826</v>
      </c>
      <c r="K98" s="2">
        <f t="shared" si="35"/>
        <v>304504610.69043338</v>
      </c>
      <c r="L98" s="2">
        <f t="shared" si="40"/>
        <v>82216244.886417016</v>
      </c>
      <c r="M98" s="2">
        <f t="shared" si="39"/>
        <v>222303755.11358297</v>
      </c>
      <c r="N98" s="2">
        <f t="shared" si="31"/>
        <v>12455978.797013061</v>
      </c>
      <c r="P98">
        <v>95</v>
      </c>
      <c r="Q98" s="3">
        <f t="shared" si="29"/>
        <v>762120000</v>
      </c>
      <c r="R98" s="6">
        <f>$C$13+$C$6*$A$18*$C$10+50*'Carbon Tax'!$B$6</f>
        <v>131999782.44834734</v>
      </c>
      <c r="S98" s="3">
        <f t="shared" si="32"/>
        <v>630120217.55165267</v>
      </c>
      <c r="T98" s="7">
        <f t="shared" si="28"/>
        <v>4918.3405830515112</v>
      </c>
      <c r="U98" s="7">
        <f t="shared" si="45"/>
        <v>1229.5851457628778</v>
      </c>
      <c r="V98" s="7">
        <f t="shared" si="36"/>
        <v>630118987.96650696</v>
      </c>
      <c r="W98" s="7">
        <f t="shared" si="37"/>
        <v>170132126.75095689</v>
      </c>
      <c r="X98" s="11">
        <f t="shared" si="38"/>
        <v>459988090.80069578</v>
      </c>
      <c r="Y98" s="7">
        <f t="shared" si="33"/>
        <v>25773752.238078598</v>
      </c>
    </row>
    <row r="99" spans="5:25">
      <c r="E99">
        <v>96</v>
      </c>
      <c r="F99" s="2">
        <f t="shared" si="43"/>
        <v>324120000</v>
      </c>
      <c r="G99" s="2">
        <f t="shared" si="44"/>
        <v>19600000</v>
      </c>
      <c r="H99" s="2">
        <f t="shared" si="30"/>
        <v>304520000</v>
      </c>
      <c r="I99" s="2">
        <f t="shared" si="41"/>
        <v>35908.388988828599</v>
      </c>
      <c r="J99" s="2">
        <f t="shared" si="42"/>
        <v>10772.516696648579</v>
      </c>
      <c r="K99" s="2">
        <f t="shared" si="35"/>
        <v>304509227.48330337</v>
      </c>
      <c r="L99" s="2">
        <f t="shared" si="40"/>
        <v>82217491.420491919</v>
      </c>
      <c r="M99" s="2">
        <f t="shared" si="39"/>
        <v>222302508.57950807</v>
      </c>
      <c r="N99" s="2">
        <f t="shared" ref="N99:N130" si="46">M99/((1+$B$16)^E99)</f>
        <v>12083730.065997297</v>
      </c>
      <c r="P99">
        <v>96</v>
      </c>
      <c r="Q99" s="3">
        <f t="shared" si="29"/>
        <v>762120000</v>
      </c>
      <c r="R99" s="6">
        <f>$C$13+$C$6*$A$18*$C$10+50*'Carbon Tax'!$B$6</f>
        <v>131999782.44834734</v>
      </c>
      <c r="S99" s="3">
        <f t="shared" si="32"/>
        <v>630120217.55165267</v>
      </c>
      <c r="T99" s="7">
        <f t="shared" si="28"/>
        <v>3688.7554372886334</v>
      </c>
      <c r="U99" s="7">
        <f t="shared" si="45"/>
        <v>922.18885932215835</v>
      </c>
      <c r="V99" s="7">
        <f t="shared" si="36"/>
        <v>630119295.36279333</v>
      </c>
      <c r="W99" s="7">
        <f t="shared" si="37"/>
        <v>170132209.74795422</v>
      </c>
      <c r="X99" s="11">
        <f t="shared" si="38"/>
        <v>459988007.80369842</v>
      </c>
      <c r="Y99" s="7">
        <f t="shared" ref="Y99:Y130" si="47">X99/((1+$B$16)^P99)</f>
        <v>25003635.610831439</v>
      </c>
    </row>
    <row r="100" spans="5:25">
      <c r="E100">
        <v>97</v>
      </c>
      <c r="F100" s="2">
        <f t="shared" si="43"/>
        <v>324120000</v>
      </c>
      <c r="G100" s="2">
        <f t="shared" si="44"/>
        <v>19600000</v>
      </c>
      <c r="H100" s="2">
        <f t="shared" si="30"/>
        <v>304520000</v>
      </c>
      <c r="I100" s="2">
        <f t="shared" si="41"/>
        <v>25135.872292180022</v>
      </c>
      <c r="J100" s="2">
        <f t="shared" si="42"/>
        <v>7540.761687654006</v>
      </c>
      <c r="K100" s="2">
        <f t="shared" si="35"/>
        <v>304512459.23831236</v>
      </c>
      <c r="L100" s="2">
        <f t="shared" si="40"/>
        <v>82218363.994344339</v>
      </c>
      <c r="M100" s="2">
        <f t="shared" si="39"/>
        <v>222301636.00565565</v>
      </c>
      <c r="N100" s="2">
        <f t="shared" si="46"/>
        <v>11722625.761905719</v>
      </c>
      <c r="P100">
        <v>97</v>
      </c>
      <c r="Q100" s="3">
        <f t="shared" si="29"/>
        <v>762120000</v>
      </c>
      <c r="R100" s="6">
        <f>$C$13+$C$6*$A$18*$C$10+50*'Carbon Tax'!$B$6</f>
        <v>131999782.44834734</v>
      </c>
      <c r="S100" s="3">
        <f t="shared" si="32"/>
        <v>630120217.55165267</v>
      </c>
      <c r="T100" s="7">
        <f t="shared" si="28"/>
        <v>2766.5665779664751</v>
      </c>
      <c r="U100" s="7">
        <f t="shared" si="45"/>
        <v>691.64164449161876</v>
      </c>
      <c r="V100" s="7">
        <f t="shared" si="36"/>
        <v>630119525.91000819</v>
      </c>
      <c r="W100" s="7">
        <f t="shared" si="37"/>
        <v>170132271.99570224</v>
      </c>
      <c r="X100" s="11">
        <f t="shared" si="38"/>
        <v>459987945.5559504</v>
      </c>
      <c r="Y100" s="7">
        <f t="shared" si="47"/>
        <v>24256531.070257545</v>
      </c>
    </row>
    <row r="101" spans="5:25">
      <c r="E101">
        <v>98</v>
      </c>
      <c r="F101" s="2">
        <f t="shared" si="43"/>
        <v>324120000</v>
      </c>
      <c r="G101" s="2">
        <f t="shared" si="44"/>
        <v>19600000</v>
      </c>
      <c r="H101" s="2">
        <f t="shared" si="30"/>
        <v>304520000</v>
      </c>
      <c r="I101" s="2">
        <f t="shared" si="41"/>
        <v>17595.110604526017</v>
      </c>
      <c r="J101" s="2">
        <f t="shared" si="42"/>
        <v>5278.533181357805</v>
      </c>
      <c r="K101" s="2">
        <f t="shared" si="35"/>
        <v>304514721.46681863</v>
      </c>
      <c r="L101" s="2">
        <f t="shared" si="40"/>
        <v>82218974.796041042</v>
      </c>
      <c r="M101" s="2">
        <f t="shared" si="39"/>
        <v>222301025.20395896</v>
      </c>
      <c r="N101" s="2">
        <f t="shared" si="46"/>
        <v>11372325.914355313</v>
      </c>
      <c r="P101">
        <v>98</v>
      </c>
      <c r="Q101" s="3">
        <f t="shared" si="29"/>
        <v>762120000</v>
      </c>
      <c r="R101" s="6">
        <f>$C$13+$C$6*$A$18*$C$10+50*'Carbon Tax'!$B$6</f>
        <v>131999782.44834734</v>
      </c>
      <c r="S101" s="3">
        <f t="shared" si="32"/>
        <v>630120217.55165267</v>
      </c>
      <c r="T101" s="7">
        <f t="shared" si="28"/>
        <v>2074.9249334748565</v>
      </c>
      <c r="U101" s="7">
        <f t="shared" si="45"/>
        <v>518.73123336871413</v>
      </c>
      <c r="V101" s="7">
        <f t="shared" si="36"/>
        <v>630119698.82041931</v>
      </c>
      <c r="W101" s="7">
        <f t="shared" ref="W101:W132" si="48">IF(W100&lt;0,V101*$B$15+W100,V101*$B$15)</f>
        <v>170132318.68151322</v>
      </c>
      <c r="X101" s="11">
        <f t="shared" si="38"/>
        <v>459987898.87013948</v>
      </c>
      <c r="Y101" s="7">
        <f t="shared" si="47"/>
        <v>23531750.687209953</v>
      </c>
    </row>
    <row r="102" spans="5:25">
      <c r="E102">
        <v>99</v>
      </c>
      <c r="F102" s="2">
        <f t="shared" si="43"/>
        <v>324120000</v>
      </c>
      <c r="G102" s="2">
        <f>$B$13+$B$12</f>
        <v>1134800000</v>
      </c>
      <c r="H102" s="2">
        <f t="shared" si="30"/>
        <v>-810680000</v>
      </c>
      <c r="I102" s="2">
        <f t="shared" si="41"/>
        <v>12316.577423168212</v>
      </c>
      <c r="J102" s="13">
        <v>0</v>
      </c>
      <c r="K102" s="13">
        <f>H102-J102+$B$12+$B$14</f>
        <v>304520000</v>
      </c>
      <c r="L102" s="2">
        <f t="shared" si="40"/>
        <v>82220400</v>
      </c>
      <c r="M102" s="13">
        <f>IF(L102&lt;0,H102,H102-L102+$B$14)</f>
        <v>-892900400</v>
      </c>
      <c r="N102" s="2">
        <f t="shared" si="46"/>
        <v>-44313539.423826911</v>
      </c>
      <c r="P102">
        <v>99</v>
      </c>
      <c r="Q102" s="3">
        <f t="shared" si="29"/>
        <v>762120000</v>
      </c>
      <c r="R102" s="6">
        <f>$C$13+$C$6*$A$18*$C$10+50*'Carbon Tax'!$B$6</f>
        <v>131999782.44834734</v>
      </c>
      <c r="S102" s="3">
        <f t="shared" si="32"/>
        <v>630120217.55165267</v>
      </c>
      <c r="T102" s="7">
        <f t="shared" si="28"/>
        <v>1556.1937001061424</v>
      </c>
      <c r="U102" s="7">
        <f t="shared" si="45"/>
        <v>389.0484250265356</v>
      </c>
      <c r="V102" s="7">
        <f t="shared" si="36"/>
        <v>630119828.50322759</v>
      </c>
      <c r="W102" s="7">
        <f t="shared" si="48"/>
        <v>170132353.69587147</v>
      </c>
      <c r="X102" s="11">
        <f t="shared" si="38"/>
        <v>459987863.8557812</v>
      </c>
      <c r="Y102" s="7">
        <f t="shared" si="47"/>
        <v>22828627.178860135</v>
      </c>
    </row>
    <row r="103" spans="5:25">
      <c r="E103">
        <v>100</v>
      </c>
      <c r="F103" s="2">
        <v>0</v>
      </c>
      <c r="G103" s="2">
        <v>0</v>
      </c>
      <c r="H103" s="2">
        <f t="shared" si="30"/>
        <v>0</v>
      </c>
      <c r="I103" s="2">
        <v>1115200000</v>
      </c>
      <c r="J103" s="2">
        <f>I103*0.3</f>
        <v>334560000</v>
      </c>
      <c r="K103" s="2">
        <f t="shared" si="35"/>
        <v>-334560000</v>
      </c>
      <c r="L103" s="2">
        <f>K103*$B$15</f>
        <v>-90331200</v>
      </c>
      <c r="M103" s="2">
        <f t="shared" si="39"/>
        <v>0</v>
      </c>
      <c r="N103" s="2">
        <f t="shared" si="46"/>
        <v>0</v>
      </c>
      <c r="P103">
        <v>100</v>
      </c>
      <c r="Q103" s="3">
        <f t="shared" si="29"/>
        <v>762120000</v>
      </c>
      <c r="R103" s="6">
        <f>$C$13+$C$6*$A$18*$C$10+50*'Carbon Tax'!$B$6</f>
        <v>131999782.44834734</v>
      </c>
      <c r="S103" s="3">
        <f t="shared" si="32"/>
        <v>630120217.55165267</v>
      </c>
      <c r="T103" s="7">
        <f t="shared" si="28"/>
        <v>1167.1452750796068</v>
      </c>
      <c r="U103" s="7">
        <f t="shared" si="45"/>
        <v>291.7863187699017</v>
      </c>
      <c r="V103" s="7">
        <f t="shared" si="36"/>
        <v>630119925.76533389</v>
      </c>
      <c r="W103" s="7">
        <f t="shared" si="48"/>
        <v>170132379.95664015</v>
      </c>
      <c r="X103" s="11">
        <f t="shared" si="38"/>
        <v>459987837.59501255</v>
      </c>
      <c r="Y103" s="7">
        <f t="shared" si="47"/>
        <v>22146513.266948737</v>
      </c>
    </row>
    <row r="104" spans="5:25">
      <c r="E104">
        <v>101</v>
      </c>
      <c r="F104" s="2">
        <v>0</v>
      </c>
      <c r="G104" s="2">
        <v>0</v>
      </c>
      <c r="H104" s="2">
        <f t="shared" si="30"/>
        <v>0</v>
      </c>
      <c r="I104" s="2">
        <f>I103-J103</f>
        <v>780640000</v>
      </c>
      <c r="J104" s="2">
        <f>I104*0.3</f>
        <v>234192000</v>
      </c>
      <c r="K104" s="2">
        <f t="shared" si="35"/>
        <v>-234192000</v>
      </c>
      <c r="L104" s="2">
        <f t="shared" ref="L104:L135" si="49">IF(L103&lt;0,K104*$B$15+L103,K104*$B$15)</f>
        <v>-153563040</v>
      </c>
      <c r="M104" s="2">
        <f t="shared" si="39"/>
        <v>0</v>
      </c>
      <c r="N104" s="2">
        <f t="shared" si="46"/>
        <v>0</v>
      </c>
      <c r="P104">
        <v>101</v>
      </c>
      <c r="Q104" s="3">
        <f t="shared" si="29"/>
        <v>762120000</v>
      </c>
      <c r="R104" s="6">
        <f>$C$13+$C$6*$A$18*$C$10+50*'Carbon Tax'!$B$6</f>
        <v>131999782.44834734</v>
      </c>
      <c r="S104" s="3">
        <f t="shared" si="32"/>
        <v>630120217.55165267</v>
      </c>
      <c r="T104" s="7">
        <f t="shared" si="28"/>
        <v>875.35895630970504</v>
      </c>
      <c r="U104" s="7">
        <f t="shared" si="45"/>
        <v>218.83973907742626</v>
      </c>
      <c r="V104" s="7">
        <f t="shared" si="36"/>
        <v>630119998.71191359</v>
      </c>
      <c r="W104" s="7">
        <f t="shared" si="48"/>
        <v>170132399.65221667</v>
      </c>
      <c r="X104" s="11">
        <f t="shared" si="38"/>
        <v>459987817.899436</v>
      </c>
      <c r="Y104" s="7">
        <f t="shared" si="47"/>
        <v>21484781.061979171</v>
      </c>
    </row>
    <row r="105" spans="5:25">
      <c r="E105">
        <v>102</v>
      </c>
      <c r="F105" s="2">
        <v>0</v>
      </c>
      <c r="G105" s="2">
        <v>0</v>
      </c>
      <c r="H105" s="2">
        <f t="shared" si="30"/>
        <v>0</v>
      </c>
      <c r="I105" s="2">
        <f t="shared" ref="I105:I135" si="50">I104-J104</f>
        <v>546448000</v>
      </c>
      <c r="J105" s="2">
        <f t="shared" ref="J105:J134" si="51">I105*0.3</f>
        <v>163934400</v>
      </c>
      <c r="K105" s="2">
        <f t="shared" si="35"/>
        <v>-163934400</v>
      </c>
      <c r="L105" s="2">
        <f t="shared" si="49"/>
        <v>-197825328</v>
      </c>
      <c r="M105" s="2">
        <f t="shared" si="39"/>
        <v>0</v>
      </c>
      <c r="N105" s="2">
        <f t="shared" si="46"/>
        <v>0</v>
      </c>
      <c r="P105">
        <v>102</v>
      </c>
      <c r="Q105" s="3">
        <f t="shared" si="29"/>
        <v>762120000</v>
      </c>
      <c r="R105" s="6">
        <f>$C$13+$C$6*$A$18*$C$10+50*'Carbon Tax'!$B$6</f>
        <v>131999782.44834734</v>
      </c>
      <c r="S105" s="3">
        <f t="shared" si="32"/>
        <v>630120217.55165267</v>
      </c>
      <c r="T105" s="7">
        <f t="shared" si="28"/>
        <v>656.51921723227883</v>
      </c>
      <c r="U105" s="7">
        <f t="shared" si="45"/>
        <v>164.12980430806971</v>
      </c>
      <c r="V105" s="7">
        <f t="shared" si="36"/>
        <v>630120053.42184842</v>
      </c>
      <c r="W105" s="7">
        <f t="shared" si="48"/>
        <v>170132414.42389908</v>
      </c>
      <c r="X105" s="11">
        <f t="shared" si="38"/>
        <v>459987803.12775362</v>
      </c>
      <c r="Y105" s="7">
        <f t="shared" si="47"/>
        <v>20842821.470735375</v>
      </c>
    </row>
    <row r="106" spans="5:25">
      <c r="E106">
        <v>103</v>
      </c>
      <c r="F106" s="2">
        <f t="shared" ref="F106:F135" si="52">$B$11</f>
        <v>324120000</v>
      </c>
      <c r="G106" s="2">
        <f t="shared" ref="G106:G134" si="53">$B$13</f>
        <v>19600000</v>
      </c>
      <c r="H106" s="2">
        <f t="shared" si="30"/>
        <v>304520000</v>
      </c>
      <c r="I106" s="2">
        <f t="shared" si="50"/>
        <v>382513600</v>
      </c>
      <c r="J106" s="2">
        <f t="shared" si="51"/>
        <v>114754080</v>
      </c>
      <c r="K106" s="2">
        <f t="shared" si="35"/>
        <v>189765920</v>
      </c>
      <c r="L106" s="2">
        <f t="shared" si="49"/>
        <v>-146588529.59999999</v>
      </c>
      <c r="M106" s="2">
        <f t="shared" si="39"/>
        <v>304520000</v>
      </c>
      <c r="N106" s="2">
        <f t="shared" si="46"/>
        <v>13386024.131821312</v>
      </c>
      <c r="P106">
        <v>103</v>
      </c>
      <c r="Q106" s="3">
        <f t="shared" si="29"/>
        <v>762120000</v>
      </c>
      <c r="R106" s="6">
        <f>$C$13+$C$6*$A$18*$C$10+50*'Carbon Tax'!$B$6</f>
        <v>131999782.44834734</v>
      </c>
      <c r="S106" s="3">
        <f t="shared" si="32"/>
        <v>630120217.55165267</v>
      </c>
      <c r="T106" s="7">
        <f t="shared" si="28"/>
        <v>492.38941292420913</v>
      </c>
      <c r="U106" s="7">
        <f t="shared" si="45"/>
        <v>123.09735323105228</v>
      </c>
      <c r="V106" s="7">
        <f t="shared" si="36"/>
        <v>630120094.45429945</v>
      </c>
      <c r="W106" s="7">
        <f t="shared" si="48"/>
        <v>170132425.50266087</v>
      </c>
      <c r="X106" s="11">
        <f t="shared" si="38"/>
        <v>459987792.0489918</v>
      </c>
      <c r="Y106" s="7">
        <f t="shared" si="47"/>
        <v>20220043.625085406</v>
      </c>
    </row>
    <row r="107" spans="5:25">
      <c r="E107">
        <v>104</v>
      </c>
      <c r="F107" s="2">
        <f t="shared" si="52"/>
        <v>324120000</v>
      </c>
      <c r="G107" s="2">
        <f t="shared" si="53"/>
        <v>19600000</v>
      </c>
      <c r="H107" s="2">
        <f t="shared" si="30"/>
        <v>304520000</v>
      </c>
      <c r="I107" s="2">
        <f t="shared" si="50"/>
        <v>267759520</v>
      </c>
      <c r="J107" s="2">
        <f t="shared" si="51"/>
        <v>80327856</v>
      </c>
      <c r="K107" s="2">
        <f t="shared" si="35"/>
        <v>224192144</v>
      </c>
      <c r="L107" s="2">
        <f t="shared" si="49"/>
        <v>-86056650.719999999</v>
      </c>
      <c r="M107" s="2">
        <f t="shared" si="39"/>
        <v>304520000</v>
      </c>
      <c r="N107" s="2">
        <f t="shared" si="46"/>
        <v>12986053.678522807</v>
      </c>
      <c r="P107">
        <v>104</v>
      </c>
      <c r="Q107" s="3">
        <f t="shared" si="29"/>
        <v>762120000</v>
      </c>
      <c r="R107" s="6">
        <f>$C$13+$C$6*$A$18*$C$10+50*'Carbon Tax'!$B$6</f>
        <v>131999782.44834734</v>
      </c>
      <c r="S107" s="3">
        <f t="shared" si="32"/>
        <v>630120217.55165267</v>
      </c>
      <c r="T107" s="7">
        <f t="shared" si="28"/>
        <v>369.29205969315683</v>
      </c>
      <c r="U107" s="7">
        <f t="shared" si="45"/>
        <v>92.323014923289207</v>
      </c>
      <c r="V107" s="7">
        <f t="shared" si="36"/>
        <v>630120125.2286377</v>
      </c>
      <c r="W107" s="7">
        <f t="shared" si="48"/>
        <v>170132433.8117322</v>
      </c>
      <c r="X107" s="11">
        <f t="shared" si="38"/>
        <v>459987783.7399205</v>
      </c>
      <c r="Y107" s="7">
        <f t="shared" si="47"/>
        <v>19615874.330458913</v>
      </c>
    </row>
    <row r="108" spans="5:25">
      <c r="E108">
        <v>105</v>
      </c>
      <c r="F108" s="2">
        <f t="shared" si="52"/>
        <v>324120000</v>
      </c>
      <c r="G108" s="2">
        <f t="shared" si="53"/>
        <v>19600000</v>
      </c>
      <c r="H108" s="2">
        <f t="shared" si="30"/>
        <v>304520000</v>
      </c>
      <c r="I108" s="2">
        <f t="shared" si="50"/>
        <v>187431664</v>
      </c>
      <c r="J108" s="2">
        <f t="shared" si="51"/>
        <v>56229499.199999996</v>
      </c>
      <c r="K108" s="2">
        <f t="shared" si="35"/>
        <v>248290500.80000001</v>
      </c>
      <c r="L108" s="2">
        <f t="shared" si="49"/>
        <v>-19018215.503999993</v>
      </c>
      <c r="M108" s="2">
        <f t="shared" si="39"/>
        <v>304520000</v>
      </c>
      <c r="N108" s="2">
        <f t="shared" si="46"/>
        <v>12598034.224410951</v>
      </c>
      <c r="P108">
        <v>105</v>
      </c>
      <c r="Q108" s="3">
        <f t="shared" si="29"/>
        <v>762120000</v>
      </c>
      <c r="R108" s="6">
        <f>$C$13+$C$6*$A$18*$C$10+50*'Carbon Tax'!$B$6</f>
        <v>131999782.44834734</v>
      </c>
      <c r="S108" s="3">
        <f t="shared" si="32"/>
        <v>630120217.55165267</v>
      </c>
      <c r="T108" s="7">
        <f t="shared" si="28"/>
        <v>276.96904476986765</v>
      </c>
      <c r="U108" s="7">
        <f t="shared" si="45"/>
        <v>69.242261192466913</v>
      </c>
      <c r="V108" s="7">
        <f t="shared" si="36"/>
        <v>630120148.3093915</v>
      </c>
      <c r="W108" s="7">
        <f t="shared" si="48"/>
        <v>170132440.04353571</v>
      </c>
      <c r="X108" s="11">
        <f t="shared" si="38"/>
        <v>459987777.50811696</v>
      </c>
      <c r="Y108" s="7">
        <f t="shared" si="47"/>
        <v>19029757.532700602</v>
      </c>
    </row>
    <row r="109" spans="5:25">
      <c r="E109">
        <v>106</v>
      </c>
      <c r="F109" s="2">
        <f t="shared" si="52"/>
        <v>324120000</v>
      </c>
      <c r="G109" s="2">
        <f t="shared" si="53"/>
        <v>19600000</v>
      </c>
      <c r="H109" s="2">
        <f t="shared" si="30"/>
        <v>304520000</v>
      </c>
      <c r="I109" s="2">
        <f t="shared" si="50"/>
        <v>131202164.80000001</v>
      </c>
      <c r="J109" s="2">
        <f t="shared" si="51"/>
        <v>39360649.440000005</v>
      </c>
      <c r="K109" s="2">
        <f t="shared" si="35"/>
        <v>265159350.56</v>
      </c>
      <c r="L109" s="2">
        <f t="shared" si="49"/>
        <v>52574809.147200018</v>
      </c>
      <c r="M109" s="2">
        <f t="shared" si="39"/>
        <v>251945190.85279998</v>
      </c>
      <c r="N109" s="2">
        <f t="shared" si="46"/>
        <v>10111570.769387722</v>
      </c>
      <c r="P109">
        <v>106</v>
      </c>
      <c r="Q109" s="3">
        <f t="shared" si="29"/>
        <v>762120000</v>
      </c>
      <c r="R109" s="6">
        <f>$C$13+$C$6*$A$18*$C$10+50*'Carbon Tax'!$B$6</f>
        <v>131999782.44834734</v>
      </c>
      <c r="S109" s="3">
        <f t="shared" si="32"/>
        <v>630120217.55165267</v>
      </c>
      <c r="T109" s="7">
        <f t="shared" si="28"/>
        <v>207.72678357740074</v>
      </c>
      <c r="U109" s="7">
        <f t="shared" si="45"/>
        <v>51.931695894350185</v>
      </c>
      <c r="V109" s="7">
        <f t="shared" si="36"/>
        <v>630120165.61995673</v>
      </c>
      <c r="W109" s="7">
        <f t="shared" si="48"/>
        <v>170132444.71738833</v>
      </c>
      <c r="X109" s="11">
        <f t="shared" si="38"/>
        <v>459987772.83426434</v>
      </c>
      <c r="Y109" s="7">
        <f t="shared" si="47"/>
        <v>18461153.802233871</v>
      </c>
    </row>
    <row r="110" spans="5:25">
      <c r="E110">
        <v>107</v>
      </c>
      <c r="F110" s="2">
        <f t="shared" si="52"/>
        <v>324120000</v>
      </c>
      <c r="G110" s="2">
        <f t="shared" si="53"/>
        <v>19600000</v>
      </c>
      <c r="H110" s="2">
        <f t="shared" si="30"/>
        <v>304520000</v>
      </c>
      <c r="I110" s="2">
        <f t="shared" si="50"/>
        <v>91841515.360000014</v>
      </c>
      <c r="J110" s="2">
        <f t="shared" si="51"/>
        <v>27552454.608000003</v>
      </c>
      <c r="K110" s="2">
        <f t="shared" si="35"/>
        <v>276967545.39200002</v>
      </c>
      <c r="L110" s="2">
        <f t="shared" si="49"/>
        <v>74781237.255840003</v>
      </c>
      <c r="M110" s="2">
        <f t="shared" si="39"/>
        <v>229738762.74416</v>
      </c>
      <c r="N110" s="2">
        <f t="shared" si="46"/>
        <v>8944836.7919236403</v>
      </c>
      <c r="P110">
        <v>107</v>
      </c>
      <c r="Q110" s="3">
        <f t="shared" si="29"/>
        <v>762120000</v>
      </c>
      <c r="R110" s="6">
        <f>$C$13+$C$6*$A$18*$C$10+50*'Carbon Tax'!$B$6</f>
        <v>131999782.44834734</v>
      </c>
      <c r="S110" s="3">
        <f t="shared" si="32"/>
        <v>630120217.55165267</v>
      </c>
      <c r="T110" s="7">
        <f t="shared" si="28"/>
        <v>155.79508768305055</v>
      </c>
      <c r="U110" s="7">
        <f t="shared" si="45"/>
        <v>38.948771920762638</v>
      </c>
      <c r="V110" s="7">
        <f t="shared" si="36"/>
        <v>630120178.60288072</v>
      </c>
      <c r="W110" s="7">
        <f t="shared" si="48"/>
        <v>170132448.22277781</v>
      </c>
      <c r="X110" s="11">
        <f t="shared" si="38"/>
        <v>459987769.32887483</v>
      </c>
      <c r="Y110" s="7">
        <f t="shared" si="47"/>
        <v>17909539.83464158</v>
      </c>
    </row>
    <row r="111" spans="5:25">
      <c r="E111">
        <v>108</v>
      </c>
      <c r="F111" s="2">
        <f t="shared" si="52"/>
        <v>324120000</v>
      </c>
      <c r="G111" s="2">
        <f t="shared" si="53"/>
        <v>19600000</v>
      </c>
      <c r="H111" s="2">
        <f t="shared" si="30"/>
        <v>304520000</v>
      </c>
      <c r="I111" s="2">
        <f t="shared" si="50"/>
        <v>64289060.752000012</v>
      </c>
      <c r="J111" s="2">
        <f t="shared" si="51"/>
        <v>19286718.225600004</v>
      </c>
      <c r="K111" s="2">
        <f t="shared" si="35"/>
        <v>285233281.7744</v>
      </c>
      <c r="L111" s="2">
        <f t="shared" si="49"/>
        <v>77012986.079088002</v>
      </c>
      <c r="M111" s="2">
        <f t="shared" si="39"/>
        <v>227507013.920912</v>
      </c>
      <c r="N111" s="2">
        <f t="shared" si="46"/>
        <v>8593271.3027398698</v>
      </c>
      <c r="P111">
        <v>108</v>
      </c>
      <c r="Q111" s="3">
        <f t="shared" si="29"/>
        <v>762120000</v>
      </c>
      <c r="R111" s="6">
        <f>$C$13+$C$6*$A$18*$C$10+50*'Carbon Tax'!$B$6</f>
        <v>131999782.44834734</v>
      </c>
      <c r="S111" s="3">
        <f t="shared" si="32"/>
        <v>630120217.55165267</v>
      </c>
      <c r="T111" s="7">
        <f t="shared" si="28"/>
        <v>116.84631576228792</v>
      </c>
      <c r="U111" s="7">
        <f t="shared" si="45"/>
        <v>29.211578940571979</v>
      </c>
      <c r="V111" s="7">
        <f t="shared" si="36"/>
        <v>630120188.3400737</v>
      </c>
      <c r="W111" s="7">
        <f t="shared" si="48"/>
        <v>170132450.8518199</v>
      </c>
      <c r="X111" s="11">
        <f t="shared" si="38"/>
        <v>459987766.6998328</v>
      </c>
      <c r="Y111" s="7">
        <f t="shared" si="47"/>
        <v>17374407.96689979</v>
      </c>
    </row>
    <row r="112" spans="5:25">
      <c r="E112">
        <v>109</v>
      </c>
      <c r="F112" s="2">
        <f t="shared" si="52"/>
        <v>324120000</v>
      </c>
      <c r="G112" s="2">
        <f t="shared" si="53"/>
        <v>19600000</v>
      </c>
      <c r="H112" s="2">
        <f t="shared" si="30"/>
        <v>304520000</v>
      </c>
      <c r="I112" s="2">
        <f t="shared" si="50"/>
        <v>45002342.526400007</v>
      </c>
      <c r="J112" s="2">
        <f t="shared" si="51"/>
        <v>13500702.757920003</v>
      </c>
      <c r="K112" s="2">
        <f t="shared" si="35"/>
        <v>291019297.24207997</v>
      </c>
      <c r="L112" s="2">
        <f t="shared" si="49"/>
        <v>78575210.255361602</v>
      </c>
      <c r="M112" s="2">
        <f t="shared" si="39"/>
        <v>225944789.74463838</v>
      </c>
      <c r="N112" s="2">
        <f t="shared" si="46"/>
        <v>8279262.5340169733</v>
      </c>
      <c r="P112">
        <v>109</v>
      </c>
      <c r="Q112" s="3">
        <f t="shared" si="29"/>
        <v>762120000</v>
      </c>
      <c r="R112" s="6">
        <f>$C$13+$C$6*$A$18*$C$10+50*'Carbon Tax'!$B$6</f>
        <v>131999782.44834734</v>
      </c>
      <c r="S112" s="3">
        <f t="shared" si="32"/>
        <v>630120217.55165267</v>
      </c>
      <c r="T112" s="7">
        <f t="shared" si="28"/>
        <v>87.634736821715933</v>
      </c>
      <c r="U112" s="7">
        <f t="shared" si="45"/>
        <v>21.908684205428983</v>
      </c>
      <c r="V112" s="7">
        <f t="shared" si="36"/>
        <v>630120195.64296842</v>
      </c>
      <c r="W112" s="7">
        <f t="shared" si="48"/>
        <v>170132452.82360148</v>
      </c>
      <c r="X112" s="11">
        <f t="shared" si="38"/>
        <v>459987764.72805119</v>
      </c>
      <c r="Y112" s="7">
        <f t="shared" si="47"/>
        <v>16855265.708597913</v>
      </c>
    </row>
    <row r="113" spans="5:25">
      <c r="E113">
        <v>110</v>
      </c>
      <c r="F113" s="2">
        <f t="shared" si="52"/>
        <v>324120000</v>
      </c>
      <c r="G113" s="2">
        <f t="shared" si="53"/>
        <v>19600000</v>
      </c>
      <c r="H113" s="2">
        <f t="shared" si="30"/>
        <v>304520000</v>
      </c>
      <c r="I113" s="2">
        <f t="shared" si="50"/>
        <v>31501639.768480003</v>
      </c>
      <c r="J113" s="2">
        <f t="shared" si="51"/>
        <v>9450491.9305440001</v>
      </c>
      <c r="K113" s="2">
        <f t="shared" si="35"/>
        <v>295069508.06945598</v>
      </c>
      <c r="L113" s="2">
        <f t="shared" si="49"/>
        <v>79668767.178753123</v>
      </c>
      <c r="M113" s="2">
        <f t="shared" si="39"/>
        <v>224851232.82124686</v>
      </c>
      <c r="N113" s="2">
        <f t="shared" si="46"/>
        <v>7993006.8727885019</v>
      </c>
      <c r="P113">
        <v>110</v>
      </c>
      <c r="Q113" s="3">
        <f t="shared" si="29"/>
        <v>762120000</v>
      </c>
      <c r="R113" s="6">
        <f>$C$13+$C$6*$A$18*$C$10+50*'Carbon Tax'!$B$6+$C$12</f>
        <v>498799782.44834733</v>
      </c>
      <c r="S113" s="3">
        <f t="shared" si="32"/>
        <v>263320217.55165267</v>
      </c>
      <c r="T113" s="7">
        <f t="shared" si="28"/>
        <v>65.72605261628695</v>
      </c>
      <c r="U113" s="15">
        <v>0</v>
      </c>
      <c r="V113" s="15">
        <f>S58-U58+$C$12+$C$14</f>
        <v>630120217.55165267</v>
      </c>
      <c r="W113" s="7">
        <f t="shared" si="48"/>
        <v>170132458.73894623</v>
      </c>
      <c r="X113" s="16">
        <f>IF(W113&lt;0,S113,S113-W113+$C$14)</f>
        <v>93187758.812706441</v>
      </c>
      <c r="Y113" s="7">
        <f t="shared" si="47"/>
        <v>3312636.4810366151</v>
      </c>
    </row>
    <row r="114" spans="5:25">
      <c r="E114">
        <v>111</v>
      </c>
      <c r="F114" s="2">
        <f t="shared" si="52"/>
        <v>324120000</v>
      </c>
      <c r="G114" s="2">
        <f t="shared" si="53"/>
        <v>19600000</v>
      </c>
      <c r="H114" s="2">
        <f t="shared" si="30"/>
        <v>304520000</v>
      </c>
      <c r="I114" s="2">
        <f t="shared" si="50"/>
        <v>22051147.837936003</v>
      </c>
      <c r="J114" s="2">
        <f t="shared" si="51"/>
        <v>6615344.3513808008</v>
      </c>
      <c r="K114" s="2">
        <f t="shared" si="35"/>
        <v>297904655.64861917</v>
      </c>
      <c r="L114" s="2">
        <f t="shared" si="49"/>
        <v>80434257.025127187</v>
      </c>
      <c r="M114" s="2">
        <f t="shared" si="39"/>
        <v>224085742.97487283</v>
      </c>
      <c r="N114" s="2">
        <f t="shared" si="46"/>
        <v>7727779.6429044241</v>
      </c>
      <c r="P114">
        <v>111</v>
      </c>
      <c r="Q114" s="7">
        <v>0</v>
      </c>
      <c r="R114" s="7">
        <v>0</v>
      </c>
      <c r="S114" s="3">
        <f t="shared" si="32"/>
        <v>0</v>
      </c>
      <c r="T114" s="3">
        <f>$C$12</f>
        <v>366800000</v>
      </c>
      <c r="U114" s="7">
        <f t="shared" ref="U114:U145" si="54">T114*$B$29</f>
        <v>91700000</v>
      </c>
      <c r="V114" s="7">
        <f t="shared" si="36"/>
        <v>-91700000</v>
      </c>
      <c r="W114" s="7">
        <f t="shared" si="48"/>
        <v>-24759000</v>
      </c>
      <c r="X114" s="11">
        <f t="shared" si="38"/>
        <v>0</v>
      </c>
      <c r="Y114" s="7">
        <f t="shared" si="47"/>
        <v>0</v>
      </c>
    </row>
    <row r="115" spans="5:25">
      <c r="E115">
        <v>112</v>
      </c>
      <c r="F115" s="2">
        <f t="shared" si="52"/>
        <v>324120000</v>
      </c>
      <c r="G115" s="2">
        <f t="shared" si="53"/>
        <v>19600000</v>
      </c>
      <c r="H115" s="2">
        <f t="shared" si="30"/>
        <v>304520000</v>
      </c>
      <c r="I115" s="2">
        <f t="shared" si="50"/>
        <v>15435803.486555202</v>
      </c>
      <c r="J115" s="2">
        <f t="shared" si="51"/>
        <v>4630741.04596656</v>
      </c>
      <c r="K115" s="2">
        <f t="shared" si="35"/>
        <v>299889258.95403343</v>
      </c>
      <c r="L115" s="2">
        <f t="shared" si="49"/>
        <v>80970099.917589039</v>
      </c>
      <c r="M115" s="2">
        <f t="shared" si="39"/>
        <v>223549900.08241096</v>
      </c>
      <c r="N115" s="2">
        <f t="shared" si="46"/>
        <v>7478949.033418403</v>
      </c>
      <c r="P115">
        <v>112</v>
      </c>
      <c r="Q115" s="7">
        <v>0</v>
      </c>
      <c r="R115" s="7">
        <v>0</v>
      </c>
      <c r="S115" s="3">
        <f t="shared" si="32"/>
        <v>0</v>
      </c>
      <c r="T115" s="7">
        <f>T114-U114</f>
        <v>275100000</v>
      </c>
      <c r="U115" s="7">
        <f t="shared" si="54"/>
        <v>68775000</v>
      </c>
      <c r="V115" s="7">
        <f t="shared" si="36"/>
        <v>-68775000</v>
      </c>
      <c r="W115" s="7">
        <f t="shared" si="48"/>
        <v>-43328250</v>
      </c>
      <c r="X115" s="11">
        <f t="shared" si="38"/>
        <v>0</v>
      </c>
      <c r="Y115" s="7">
        <f t="shared" si="47"/>
        <v>0</v>
      </c>
    </row>
    <row r="116" spans="5:25">
      <c r="E116">
        <v>113</v>
      </c>
      <c r="F116" s="2">
        <f t="shared" si="52"/>
        <v>324120000</v>
      </c>
      <c r="G116" s="2">
        <f t="shared" si="53"/>
        <v>19600000</v>
      </c>
      <c r="H116" s="2">
        <f t="shared" si="30"/>
        <v>304520000</v>
      </c>
      <c r="I116" s="2">
        <f t="shared" si="50"/>
        <v>10805062.440588642</v>
      </c>
      <c r="J116" s="2">
        <f t="shared" si="51"/>
        <v>3241518.7321765926</v>
      </c>
      <c r="K116" s="2">
        <f t="shared" si="35"/>
        <v>301278481.2678234</v>
      </c>
      <c r="L116" s="2">
        <f t="shared" si="49"/>
        <v>81345189.94231233</v>
      </c>
      <c r="M116" s="2">
        <f t="shared" si="39"/>
        <v>223174810.05768767</v>
      </c>
      <c r="N116" s="2">
        <f t="shared" si="46"/>
        <v>7243306.4129355811</v>
      </c>
      <c r="P116">
        <v>113</v>
      </c>
      <c r="Q116" s="7">
        <v>0</v>
      </c>
      <c r="R116" s="7">
        <v>0</v>
      </c>
      <c r="S116" s="3">
        <f t="shared" si="32"/>
        <v>0</v>
      </c>
      <c r="T116" s="7">
        <f t="shared" ref="T116:T168" si="55">T115-U115</f>
        <v>206325000</v>
      </c>
      <c r="U116" s="7">
        <f t="shared" si="54"/>
        <v>51581250</v>
      </c>
      <c r="V116" s="7">
        <f t="shared" si="36"/>
        <v>-51581250</v>
      </c>
      <c r="W116" s="7">
        <f t="shared" si="48"/>
        <v>-57255187.5</v>
      </c>
      <c r="X116" s="11">
        <f t="shared" si="38"/>
        <v>0</v>
      </c>
      <c r="Y116" s="7">
        <f t="shared" si="47"/>
        <v>0</v>
      </c>
    </row>
    <row r="117" spans="5:25">
      <c r="E117">
        <v>114</v>
      </c>
      <c r="F117" s="2">
        <f t="shared" si="52"/>
        <v>324120000</v>
      </c>
      <c r="G117" s="2">
        <f t="shared" si="53"/>
        <v>19600000</v>
      </c>
      <c r="H117" s="2">
        <f t="shared" si="30"/>
        <v>304520000</v>
      </c>
      <c r="I117" s="2">
        <f t="shared" si="50"/>
        <v>7563543.7084120493</v>
      </c>
      <c r="J117" s="2">
        <f t="shared" si="51"/>
        <v>2269063.1125236149</v>
      </c>
      <c r="K117" s="2">
        <f t="shared" si="35"/>
        <v>302250936.88747638</v>
      </c>
      <c r="L117" s="2">
        <f t="shared" si="49"/>
        <v>81607752.959618628</v>
      </c>
      <c r="M117" s="2">
        <f t="shared" si="39"/>
        <v>222912247.04038137</v>
      </c>
      <c r="N117" s="2">
        <f t="shared" si="46"/>
        <v>7018611.4984617652</v>
      </c>
      <c r="P117">
        <v>114</v>
      </c>
      <c r="Q117" s="7">
        <v>0</v>
      </c>
      <c r="R117" s="7">
        <v>0</v>
      </c>
      <c r="S117" s="3">
        <f t="shared" si="32"/>
        <v>0</v>
      </c>
      <c r="T117" s="7">
        <f t="shared" si="55"/>
        <v>154743750</v>
      </c>
      <c r="U117" s="7">
        <f t="shared" si="54"/>
        <v>38685937.5</v>
      </c>
      <c r="V117" s="7">
        <f t="shared" si="36"/>
        <v>-38685937.5</v>
      </c>
      <c r="W117" s="7">
        <f t="shared" si="48"/>
        <v>-67700390.625</v>
      </c>
      <c r="X117" s="11">
        <f t="shared" si="38"/>
        <v>0</v>
      </c>
      <c r="Y117" s="7">
        <f t="shared" si="47"/>
        <v>0</v>
      </c>
    </row>
    <row r="118" spans="5:25">
      <c r="E118">
        <v>115</v>
      </c>
      <c r="F118" s="2">
        <f t="shared" si="52"/>
        <v>324120000</v>
      </c>
      <c r="G118" s="2">
        <f t="shared" si="53"/>
        <v>19600000</v>
      </c>
      <c r="H118" s="2">
        <f t="shared" si="30"/>
        <v>304520000</v>
      </c>
      <c r="I118" s="2">
        <f t="shared" si="50"/>
        <v>5294480.595888434</v>
      </c>
      <c r="J118" s="2">
        <f t="shared" si="51"/>
        <v>1588344.1787665302</v>
      </c>
      <c r="K118" s="2">
        <f t="shared" si="35"/>
        <v>302931655.82123345</v>
      </c>
      <c r="L118" s="2">
        <f t="shared" si="49"/>
        <v>81791547.071733043</v>
      </c>
      <c r="M118" s="2">
        <f t="shared" si="39"/>
        <v>222728452.92826694</v>
      </c>
      <c r="N118" s="2">
        <f t="shared" si="46"/>
        <v>6803283.4302903572</v>
      </c>
      <c r="P118">
        <v>115</v>
      </c>
      <c r="Q118" s="7">
        <v>0</v>
      </c>
      <c r="R118" s="7">
        <v>0</v>
      </c>
      <c r="S118" s="3">
        <f t="shared" si="32"/>
        <v>0</v>
      </c>
      <c r="T118" s="7">
        <f t="shared" si="55"/>
        <v>116057812.5</v>
      </c>
      <c r="U118" s="7">
        <f t="shared" si="54"/>
        <v>29014453.125</v>
      </c>
      <c r="V118" s="7">
        <f t="shared" si="36"/>
        <v>-29014453.125</v>
      </c>
      <c r="W118" s="7">
        <f t="shared" si="48"/>
        <v>-75534292.96875</v>
      </c>
      <c r="X118" s="11">
        <f t="shared" si="38"/>
        <v>0</v>
      </c>
      <c r="Y118" s="7">
        <f t="shared" si="47"/>
        <v>0</v>
      </c>
    </row>
    <row r="119" spans="5:25">
      <c r="E119">
        <v>116</v>
      </c>
      <c r="F119" s="2">
        <f t="shared" si="52"/>
        <v>324120000</v>
      </c>
      <c r="G119" s="2">
        <f t="shared" si="53"/>
        <v>19600000</v>
      </c>
      <c r="H119" s="2">
        <f t="shared" si="30"/>
        <v>304520000</v>
      </c>
      <c r="I119" s="2">
        <f t="shared" si="50"/>
        <v>3706136.417121904</v>
      </c>
      <c r="J119" s="2">
        <f t="shared" si="51"/>
        <v>1111840.9251365711</v>
      </c>
      <c r="K119" s="2">
        <f t="shared" si="35"/>
        <v>303408159.07486343</v>
      </c>
      <c r="L119" s="2">
        <f t="shared" si="49"/>
        <v>81920202.950213134</v>
      </c>
      <c r="M119" s="2">
        <f t="shared" si="39"/>
        <v>222599797.04978687</v>
      </c>
      <c r="N119" s="2">
        <f t="shared" si="46"/>
        <v>6596190.931062106</v>
      </c>
      <c r="P119">
        <v>116</v>
      </c>
      <c r="Q119" s="3">
        <f t="shared" ref="Q119:Q168" si="56">$C$11</f>
        <v>762120000</v>
      </c>
      <c r="R119" s="6">
        <f>$C$13+$C$6*$A$18*$C$10+50*'Carbon Tax'!$B$6</f>
        <v>131999782.44834734</v>
      </c>
      <c r="S119" s="3">
        <f t="shared" si="32"/>
        <v>630120217.55165267</v>
      </c>
      <c r="T119" s="7">
        <f t="shared" si="55"/>
        <v>87043359.375</v>
      </c>
      <c r="U119" s="7">
        <f t="shared" si="54"/>
        <v>21760839.84375</v>
      </c>
      <c r="V119" s="7">
        <f t="shared" si="36"/>
        <v>608359377.70790267</v>
      </c>
      <c r="W119" s="7">
        <f t="shared" si="48"/>
        <v>88722739.012383729</v>
      </c>
      <c r="X119" s="11">
        <f t="shared" si="38"/>
        <v>541397478.53926897</v>
      </c>
      <c r="Y119" s="7">
        <f t="shared" si="47"/>
        <v>16042966.729398627</v>
      </c>
    </row>
    <row r="120" spans="5:25">
      <c r="E120">
        <v>117</v>
      </c>
      <c r="F120" s="2">
        <f t="shared" si="52"/>
        <v>324120000</v>
      </c>
      <c r="G120" s="2">
        <f t="shared" si="53"/>
        <v>19600000</v>
      </c>
      <c r="H120" s="2">
        <f t="shared" si="30"/>
        <v>304520000</v>
      </c>
      <c r="I120" s="2">
        <f t="shared" si="50"/>
        <v>2594295.4919853332</v>
      </c>
      <c r="J120" s="2">
        <f t="shared" si="51"/>
        <v>778288.64759559988</v>
      </c>
      <c r="K120" s="2">
        <f t="shared" si="35"/>
        <v>303741711.35240442</v>
      </c>
      <c r="L120" s="2">
        <f t="shared" si="49"/>
        <v>82010262.065149203</v>
      </c>
      <c r="M120" s="2">
        <f t="shared" si="39"/>
        <v>222509737.93485081</v>
      </c>
      <c r="N120" s="2">
        <f t="shared" si="46"/>
        <v>6396509.7529584542</v>
      </c>
      <c r="P120">
        <v>117</v>
      </c>
      <c r="Q120" s="3">
        <f t="shared" si="56"/>
        <v>762120000</v>
      </c>
      <c r="R120" s="6">
        <f>$C$13+$C$6*$A$18*$C$10+50*'Carbon Tax'!$B$6</f>
        <v>131999782.44834734</v>
      </c>
      <c r="S120" s="3">
        <f t="shared" si="32"/>
        <v>630120217.55165267</v>
      </c>
      <c r="T120" s="7">
        <f t="shared" si="55"/>
        <v>65282519.53125</v>
      </c>
      <c r="U120" s="7">
        <f t="shared" si="54"/>
        <v>16320629.8828125</v>
      </c>
      <c r="V120" s="7">
        <f t="shared" si="36"/>
        <v>613799587.66884017</v>
      </c>
      <c r="W120" s="7">
        <f t="shared" si="48"/>
        <v>165725888.67058685</v>
      </c>
      <c r="X120" s="11">
        <f t="shared" si="38"/>
        <v>464394328.88106585</v>
      </c>
      <c r="Y120" s="7">
        <f t="shared" si="47"/>
        <v>13349990.348629482</v>
      </c>
    </row>
    <row r="121" spans="5:25">
      <c r="E121">
        <v>118</v>
      </c>
      <c r="F121" s="2">
        <f t="shared" si="52"/>
        <v>324120000</v>
      </c>
      <c r="G121" s="2">
        <f t="shared" si="53"/>
        <v>19600000</v>
      </c>
      <c r="H121" s="2">
        <f t="shared" si="30"/>
        <v>304520000</v>
      </c>
      <c r="I121" s="2">
        <f t="shared" si="50"/>
        <v>1816006.8443897334</v>
      </c>
      <c r="J121" s="2">
        <f t="shared" si="51"/>
        <v>544802.05331691995</v>
      </c>
      <c r="K121" s="2">
        <f t="shared" si="35"/>
        <v>303975197.94668311</v>
      </c>
      <c r="L121" s="2">
        <f t="shared" si="49"/>
        <v>82073303.445604444</v>
      </c>
      <c r="M121" s="2">
        <f t="shared" si="39"/>
        <v>222446696.55439556</v>
      </c>
      <c r="N121" s="2">
        <f t="shared" si="46"/>
        <v>6203625.8207914149</v>
      </c>
      <c r="P121">
        <v>118</v>
      </c>
      <c r="Q121" s="3">
        <f t="shared" si="56"/>
        <v>762120000</v>
      </c>
      <c r="R121" s="6">
        <f>$C$13+$C$6*$A$18*$C$10+50*'Carbon Tax'!$B$6</f>
        <v>131999782.44834734</v>
      </c>
      <c r="S121" s="3">
        <f t="shared" si="32"/>
        <v>630120217.55165267</v>
      </c>
      <c r="T121" s="7">
        <f t="shared" si="55"/>
        <v>48961889.6484375</v>
      </c>
      <c r="U121" s="7">
        <f t="shared" si="54"/>
        <v>12240472.412109375</v>
      </c>
      <c r="V121" s="7">
        <f t="shared" si="36"/>
        <v>617879745.13954329</v>
      </c>
      <c r="W121" s="7">
        <f t="shared" si="48"/>
        <v>166827531.1876767</v>
      </c>
      <c r="X121" s="11">
        <f t="shared" si="38"/>
        <v>463292686.363976</v>
      </c>
      <c r="Y121" s="7">
        <f t="shared" si="47"/>
        <v>12920373.807432871</v>
      </c>
    </row>
    <row r="122" spans="5:25">
      <c r="E122">
        <v>119</v>
      </c>
      <c r="F122" s="2">
        <f t="shared" si="52"/>
        <v>324120000</v>
      </c>
      <c r="G122" s="2">
        <f t="shared" si="53"/>
        <v>19600000</v>
      </c>
      <c r="H122" s="2">
        <f t="shared" si="30"/>
        <v>304520000</v>
      </c>
      <c r="I122" s="2">
        <f t="shared" si="50"/>
        <v>1271204.7910728133</v>
      </c>
      <c r="J122" s="2">
        <f t="shared" si="51"/>
        <v>381361.43732184399</v>
      </c>
      <c r="K122" s="2">
        <f t="shared" si="35"/>
        <v>304138638.56267816</v>
      </c>
      <c r="L122" s="2">
        <f t="shared" si="49"/>
        <v>82117432.41192311</v>
      </c>
      <c r="M122" s="2">
        <f t="shared" si="39"/>
        <v>222402567.58807689</v>
      </c>
      <c r="N122" s="2">
        <f t="shared" si="46"/>
        <v>6017069.4079954103</v>
      </c>
      <c r="P122">
        <v>119</v>
      </c>
      <c r="Q122" s="3">
        <f t="shared" si="56"/>
        <v>762120000</v>
      </c>
      <c r="R122" s="6">
        <f>$C$13+$C$6*$A$18*$C$10+50*'Carbon Tax'!$B$6</f>
        <v>131999782.44834734</v>
      </c>
      <c r="S122" s="3">
        <f t="shared" si="32"/>
        <v>630120217.55165267</v>
      </c>
      <c r="T122" s="7">
        <f t="shared" si="55"/>
        <v>36721417.236328125</v>
      </c>
      <c r="U122" s="7">
        <f t="shared" si="54"/>
        <v>9180354.3090820313</v>
      </c>
      <c r="V122" s="7">
        <f t="shared" si="36"/>
        <v>620939863.24257064</v>
      </c>
      <c r="W122" s="7">
        <f t="shared" si="48"/>
        <v>167653763.07549408</v>
      </c>
      <c r="X122" s="11">
        <f t="shared" si="38"/>
        <v>462466454.47615862</v>
      </c>
      <c r="Y122" s="7">
        <f t="shared" si="47"/>
        <v>12511963.26387096</v>
      </c>
    </row>
    <row r="123" spans="5:25">
      <c r="E123">
        <v>120</v>
      </c>
      <c r="F123" s="2">
        <f t="shared" si="52"/>
        <v>324120000</v>
      </c>
      <c r="G123" s="2">
        <f t="shared" si="53"/>
        <v>19600000</v>
      </c>
      <c r="H123" s="2">
        <f t="shared" si="30"/>
        <v>304520000</v>
      </c>
      <c r="I123" s="2">
        <f t="shared" si="50"/>
        <v>889843.35375096928</v>
      </c>
      <c r="J123" s="2">
        <f t="shared" si="51"/>
        <v>266953.00612529076</v>
      </c>
      <c r="K123" s="2">
        <f t="shared" si="35"/>
        <v>304253046.99387473</v>
      </c>
      <c r="L123" s="2">
        <f t="shared" si="49"/>
        <v>82148322.688346177</v>
      </c>
      <c r="M123" s="2">
        <f t="shared" si="39"/>
        <v>222371677.31165382</v>
      </c>
      <c r="N123" s="2">
        <f t="shared" si="46"/>
        <v>5836470.3880669819</v>
      </c>
      <c r="P123">
        <v>120</v>
      </c>
      <c r="Q123" s="3">
        <f t="shared" si="56"/>
        <v>762120000</v>
      </c>
      <c r="R123" s="6">
        <f>$C$13+$C$6*$A$18*$C$10+50*'Carbon Tax'!$B$6</f>
        <v>131999782.44834734</v>
      </c>
      <c r="S123" s="3">
        <f t="shared" si="32"/>
        <v>630120217.55165267</v>
      </c>
      <c r="T123" s="7">
        <f t="shared" si="55"/>
        <v>27541062.927246094</v>
      </c>
      <c r="U123" s="7">
        <f t="shared" si="54"/>
        <v>6885265.7318115234</v>
      </c>
      <c r="V123" s="7">
        <f t="shared" si="36"/>
        <v>623234951.81984115</v>
      </c>
      <c r="W123" s="7">
        <f t="shared" si="48"/>
        <v>168273436.99135712</v>
      </c>
      <c r="X123" s="11">
        <f t="shared" si="38"/>
        <v>461846780.56029558</v>
      </c>
      <c r="Y123" s="7">
        <f t="shared" si="47"/>
        <v>12121845.241947856</v>
      </c>
    </row>
    <row r="124" spans="5:25">
      <c r="E124">
        <v>121</v>
      </c>
      <c r="F124" s="2">
        <f t="shared" si="52"/>
        <v>324120000</v>
      </c>
      <c r="G124" s="2">
        <f t="shared" si="53"/>
        <v>19600000</v>
      </c>
      <c r="H124" s="2">
        <f t="shared" si="30"/>
        <v>304520000</v>
      </c>
      <c r="I124" s="2">
        <f t="shared" si="50"/>
        <v>622890.34762567852</v>
      </c>
      <c r="J124" s="2">
        <f t="shared" si="51"/>
        <v>186867.10428770355</v>
      </c>
      <c r="K124" s="2">
        <f t="shared" si="35"/>
        <v>304333132.89571232</v>
      </c>
      <c r="L124" s="2">
        <f t="shared" si="49"/>
        <v>82169945.88184233</v>
      </c>
      <c r="M124" s="2">
        <f t="shared" si="39"/>
        <v>222350054.11815768</v>
      </c>
      <c r="N124" s="2">
        <f t="shared" si="46"/>
        <v>5661527.7994579822</v>
      </c>
      <c r="P124">
        <v>121</v>
      </c>
      <c r="Q124" s="3">
        <f t="shared" si="56"/>
        <v>762120000</v>
      </c>
      <c r="R124" s="6">
        <f>$C$13+$C$6*$A$18*$C$10+50*'Carbon Tax'!$B$6</f>
        <v>131999782.44834734</v>
      </c>
      <c r="S124" s="3">
        <f t="shared" si="32"/>
        <v>630120217.55165267</v>
      </c>
      <c r="T124" s="7">
        <f t="shared" si="55"/>
        <v>20655797.19543457</v>
      </c>
      <c r="U124" s="7">
        <f t="shared" si="54"/>
        <v>5163949.2988586426</v>
      </c>
      <c r="V124" s="7">
        <f t="shared" si="36"/>
        <v>624956268.25279403</v>
      </c>
      <c r="W124" s="7">
        <f t="shared" si="48"/>
        <v>168738192.4282544</v>
      </c>
      <c r="X124" s="11">
        <f t="shared" si="38"/>
        <v>461382025.1233983</v>
      </c>
      <c r="Y124" s="7">
        <f t="shared" si="47"/>
        <v>11747814.372099258</v>
      </c>
    </row>
    <row r="125" spans="5:25">
      <c r="E125">
        <v>122</v>
      </c>
      <c r="F125" s="2">
        <f t="shared" si="52"/>
        <v>324120000</v>
      </c>
      <c r="G125" s="2">
        <f t="shared" si="53"/>
        <v>19600000</v>
      </c>
      <c r="H125" s="2">
        <f t="shared" si="30"/>
        <v>304520000</v>
      </c>
      <c r="I125" s="2">
        <f t="shared" si="50"/>
        <v>436023.243337975</v>
      </c>
      <c r="J125" s="2">
        <f t="shared" si="51"/>
        <v>130806.9730013925</v>
      </c>
      <c r="K125" s="2">
        <f t="shared" si="35"/>
        <v>304389193.02699858</v>
      </c>
      <c r="L125" s="2">
        <f t="shared" si="49"/>
        <v>82185082.117289618</v>
      </c>
      <c r="M125" s="2">
        <f t="shared" si="39"/>
        <v>222334917.8827104</v>
      </c>
      <c r="N125" s="2">
        <f t="shared" si="46"/>
        <v>5491989.1319152247</v>
      </c>
      <c r="P125">
        <v>122</v>
      </c>
      <c r="Q125" s="3">
        <f t="shared" si="56"/>
        <v>762120000</v>
      </c>
      <c r="R125" s="6">
        <f>$C$13+$C$6*$A$18*$C$10+50*'Carbon Tax'!$B$6</f>
        <v>131999782.44834734</v>
      </c>
      <c r="S125" s="3">
        <f t="shared" si="32"/>
        <v>630120217.55165267</v>
      </c>
      <c r="T125" s="7">
        <f t="shared" si="55"/>
        <v>15491847.896575928</v>
      </c>
      <c r="U125" s="7">
        <f t="shared" si="54"/>
        <v>3872961.9741439819</v>
      </c>
      <c r="V125" s="7">
        <f t="shared" si="36"/>
        <v>626247255.57750869</v>
      </c>
      <c r="W125" s="7">
        <f t="shared" si="48"/>
        <v>169086759.00592735</v>
      </c>
      <c r="X125" s="11">
        <f t="shared" si="38"/>
        <v>461033458.54572535</v>
      </c>
      <c r="Y125" s="7">
        <f t="shared" si="47"/>
        <v>11388183.05237204</v>
      </c>
    </row>
    <row r="126" spans="5:25">
      <c r="E126">
        <v>123</v>
      </c>
      <c r="F126" s="2">
        <f t="shared" si="52"/>
        <v>324120000</v>
      </c>
      <c r="G126" s="2">
        <f t="shared" si="53"/>
        <v>19600000</v>
      </c>
      <c r="H126" s="2">
        <f t="shared" si="30"/>
        <v>304520000</v>
      </c>
      <c r="I126" s="2">
        <f t="shared" si="50"/>
        <v>305216.2703365825</v>
      </c>
      <c r="J126" s="2">
        <f t="shared" si="51"/>
        <v>91564.881100974744</v>
      </c>
      <c r="K126" s="2">
        <f t="shared" si="35"/>
        <v>304428435.11889905</v>
      </c>
      <c r="L126" s="2">
        <f t="shared" si="49"/>
        <v>82195677.482102752</v>
      </c>
      <c r="M126" s="2">
        <f t="shared" si="39"/>
        <v>222324322.51789725</v>
      </c>
      <c r="N126" s="2">
        <f t="shared" si="46"/>
        <v>5327636.2158652563</v>
      </c>
      <c r="P126">
        <v>123</v>
      </c>
      <c r="Q126" s="3">
        <f t="shared" si="56"/>
        <v>762120000</v>
      </c>
      <c r="R126" s="6">
        <f>$C$13+$C$6*$A$18*$C$10+50*'Carbon Tax'!$B$6</f>
        <v>131999782.44834734</v>
      </c>
      <c r="S126" s="3">
        <f t="shared" si="32"/>
        <v>630120217.55165267</v>
      </c>
      <c r="T126" s="7">
        <f t="shared" si="55"/>
        <v>11618885.922431946</v>
      </c>
      <c r="U126" s="7">
        <f t="shared" si="54"/>
        <v>2904721.4806079865</v>
      </c>
      <c r="V126" s="7">
        <f t="shared" si="36"/>
        <v>627215496.07104468</v>
      </c>
      <c r="W126" s="7">
        <f t="shared" si="48"/>
        <v>169348183.93918207</v>
      </c>
      <c r="X126" s="11">
        <f t="shared" si="38"/>
        <v>460772033.61247063</v>
      </c>
      <c r="Y126" s="7">
        <f t="shared" si="47"/>
        <v>11041642.883378478</v>
      </c>
    </row>
    <row r="127" spans="5:25">
      <c r="E127">
        <v>124</v>
      </c>
      <c r="F127" s="2">
        <f t="shared" si="52"/>
        <v>324120000</v>
      </c>
      <c r="G127" s="2">
        <f t="shared" si="53"/>
        <v>19600000</v>
      </c>
      <c r="H127" s="2">
        <f t="shared" si="30"/>
        <v>304520000</v>
      </c>
      <c r="I127" s="2">
        <f t="shared" si="50"/>
        <v>213651.38923560776</v>
      </c>
      <c r="J127" s="2">
        <f t="shared" si="51"/>
        <v>64095.416770682321</v>
      </c>
      <c r="K127" s="2">
        <f t="shared" si="35"/>
        <v>304455904.5832293</v>
      </c>
      <c r="L127" s="2">
        <f t="shared" si="49"/>
        <v>82203094.237471923</v>
      </c>
      <c r="M127" s="2">
        <f t="shared" si="39"/>
        <v>222316905.76252806</v>
      </c>
      <c r="N127" s="2">
        <f t="shared" si="46"/>
        <v>5168275.5971462931</v>
      </c>
      <c r="P127">
        <v>124</v>
      </c>
      <c r="Q127" s="3">
        <f t="shared" si="56"/>
        <v>762120000</v>
      </c>
      <c r="R127" s="6">
        <f>$C$13+$C$6*$A$18*$C$10+50*'Carbon Tax'!$B$6</f>
        <v>131999782.44834734</v>
      </c>
      <c r="S127" s="3">
        <f t="shared" si="32"/>
        <v>630120217.55165267</v>
      </c>
      <c r="T127" s="7">
        <f t="shared" si="55"/>
        <v>8714164.4418239594</v>
      </c>
      <c r="U127" s="7">
        <f t="shared" si="54"/>
        <v>2178541.1104559898</v>
      </c>
      <c r="V127" s="7">
        <f t="shared" si="36"/>
        <v>627941676.44119668</v>
      </c>
      <c r="W127" s="7">
        <f t="shared" si="48"/>
        <v>169544252.63912311</v>
      </c>
      <c r="X127" s="11">
        <f t="shared" si="38"/>
        <v>460575964.91252959</v>
      </c>
      <c r="Y127" s="7">
        <f t="shared" si="47"/>
        <v>10707163.775624806</v>
      </c>
    </row>
    <row r="128" spans="5:25">
      <c r="E128">
        <v>125</v>
      </c>
      <c r="F128" s="2">
        <f t="shared" si="52"/>
        <v>324120000</v>
      </c>
      <c r="G128" s="2">
        <f t="shared" si="53"/>
        <v>19600000</v>
      </c>
      <c r="H128" s="2">
        <f t="shared" si="30"/>
        <v>304520000</v>
      </c>
      <c r="I128" s="2">
        <f t="shared" si="50"/>
        <v>149555.97246492543</v>
      </c>
      <c r="J128" s="2">
        <f t="shared" si="51"/>
        <v>44866.79173947763</v>
      </c>
      <c r="K128" s="2">
        <f t="shared" si="35"/>
        <v>304475133.20826054</v>
      </c>
      <c r="L128" s="2">
        <f t="shared" si="49"/>
        <v>82208285.966230348</v>
      </c>
      <c r="M128" s="2">
        <f t="shared" si="39"/>
        <v>222311714.03376967</v>
      </c>
      <c r="N128" s="2">
        <f t="shared" si="46"/>
        <v>5013731.9589525815</v>
      </c>
      <c r="P128">
        <v>125</v>
      </c>
      <c r="Q128" s="3">
        <f t="shared" si="56"/>
        <v>762120000</v>
      </c>
      <c r="R128" s="6">
        <f>$C$13+$C$6*$A$18*$C$10+50*'Carbon Tax'!$B$6</f>
        <v>131999782.44834734</v>
      </c>
      <c r="S128" s="3">
        <f t="shared" si="32"/>
        <v>630120217.55165267</v>
      </c>
      <c r="T128" s="7">
        <f t="shared" si="55"/>
        <v>6535623.3313679695</v>
      </c>
      <c r="U128" s="7">
        <f t="shared" si="54"/>
        <v>1633905.8328419924</v>
      </c>
      <c r="V128" s="7">
        <f t="shared" si="36"/>
        <v>628486311.71881068</v>
      </c>
      <c r="W128" s="7">
        <f t="shared" si="48"/>
        <v>169691304.16407889</v>
      </c>
      <c r="X128" s="11">
        <f t="shared" si="38"/>
        <v>460428913.38757378</v>
      </c>
      <c r="Y128" s="7">
        <f t="shared" si="47"/>
        <v>10383920.469105048</v>
      </c>
    </row>
    <row r="129" spans="5:25">
      <c r="E129">
        <v>126</v>
      </c>
      <c r="F129" s="2">
        <f t="shared" si="52"/>
        <v>324120000</v>
      </c>
      <c r="G129" s="2">
        <f t="shared" si="53"/>
        <v>19600000</v>
      </c>
      <c r="H129" s="2">
        <f t="shared" si="30"/>
        <v>304520000</v>
      </c>
      <c r="I129" s="2">
        <f t="shared" si="50"/>
        <v>104689.1807254478</v>
      </c>
      <c r="J129" s="2">
        <f t="shared" si="51"/>
        <v>31406.754217634341</v>
      </c>
      <c r="K129" s="2">
        <f t="shared" si="35"/>
        <v>304488593.24578238</v>
      </c>
      <c r="L129" s="2">
        <f t="shared" si="49"/>
        <v>82211920.176361248</v>
      </c>
      <c r="M129" s="2">
        <f t="shared" si="39"/>
        <v>222308079.82363874</v>
      </c>
      <c r="N129" s="2">
        <f t="shared" si="46"/>
        <v>4863843.6143382005</v>
      </c>
      <c r="P129">
        <v>126</v>
      </c>
      <c r="Q129" s="3">
        <f t="shared" si="56"/>
        <v>762120000</v>
      </c>
      <c r="R129" s="6">
        <f>$C$13+$C$6*$A$18*$C$10+50*'Carbon Tax'!$B$6</f>
        <v>131999782.44834734</v>
      </c>
      <c r="S129" s="3">
        <f t="shared" si="32"/>
        <v>630120217.55165267</v>
      </c>
      <c r="T129" s="7">
        <f t="shared" si="55"/>
        <v>4901717.4985259771</v>
      </c>
      <c r="U129" s="7">
        <f t="shared" si="54"/>
        <v>1225429.3746314943</v>
      </c>
      <c r="V129" s="7">
        <f t="shared" si="36"/>
        <v>628894788.17702115</v>
      </c>
      <c r="W129" s="7">
        <f t="shared" si="48"/>
        <v>169801592.80779573</v>
      </c>
      <c r="X129" s="11">
        <f t="shared" si="38"/>
        <v>460318624.74385691</v>
      </c>
      <c r="Y129" s="7">
        <f t="shared" si="47"/>
        <v>10071238.999938855</v>
      </c>
    </row>
    <row r="130" spans="5:25">
      <c r="E130">
        <v>127</v>
      </c>
      <c r="F130" s="2">
        <f t="shared" si="52"/>
        <v>324120000</v>
      </c>
      <c r="G130" s="2">
        <f t="shared" si="53"/>
        <v>19600000</v>
      </c>
      <c r="H130" s="2">
        <f t="shared" si="30"/>
        <v>304520000</v>
      </c>
      <c r="I130" s="2">
        <f t="shared" si="50"/>
        <v>73282.426507813463</v>
      </c>
      <c r="J130" s="2">
        <f t="shared" si="51"/>
        <v>21984.727952344037</v>
      </c>
      <c r="K130" s="2">
        <f t="shared" si="35"/>
        <v>304498015.27204764</v>
      </c>
      <c r="L130" s="2">
        <f t="shared" si="49"/>
        <v>82214464.123452872</v>
      </c>
      <c r="M130" s="2">
        <f t="shared" si="39"/>
        <v>222305535.87654713</v>
      </c>
      <c r="N130" s="2">
        <f t="shared" si="46"/>
        <v>4718459.4060135288</v>
      </c>
      <c r="P130">
        <v>127</v>
      </c>
      <c r="Q130" s="3">
        <f t="shared" si="56"/>
        <v>762120000</v>
      </c>
      <c r="R130" s="6">
        <f>$C$13+$C$6*$A$18*$C$10+50*'Carbon Tax'!$B$6</f>
        <v>131999782.44834734</v>
      </c>
      <c r="S130" s="3">
        <f t="shared" si="32"/>
        <v>630120217.55165267</v>
      </c>
      <c r="T130" s="7">
        <f t="shared" si="55"/>
        <v>3676288.1238944829</v>
      </c>
      <c r="U130" s="7">
        <f t="shared" si="54"/>
        <v>919072.03097362071</v>
      </c>
      <c r="V130" s="7">
        <f t="shared" si="36"/>
        <v>629201145.520679</v>
      </c>
      <c r="W130" s="7">
        <f t="shared" si="48"/>
        <v>169884309.29058334</v>
      </c>
      <c r="X130" s="11">
        <f t="shared" si="38"/>
        <v>460235908.2610693</v>
      </c>
      <c r="Y130" s="7">
        <f t="shared" si="47"/>
        <v>9768557.6823672913</v>
      </c>
    </row>
    <row r="131" spans="5:25">
      <c r="E131">
        <v>128</v>
      </c>
      <c r="F131" s="2">
        <f t="shared" si="52"/>
        <v>324120000</v>
      </c>
      <c r="G131" s="2">
        <f t="shared" si="53"/>
        <v>19600000</v>
      </c>
      <c r="H131" s="2">
        <f t="shared" ref="H131:H168" si="57">$F131-$G131</f>
        <v>304520000</v>
      </c>
      <c r="I131" s="2">
        <f t="shared" si="50"/>
        <v>51297.698555469426</v>
      </c>
      <c r="J131" s="2">
        <f t="shared" si="51"/>
        <v>15389.309566640826</v>
      </c>
      <c r="K131" s="2">
        <f t="shared" si="35"/>
        <v>304504610.69043338</v>
      </c>
      <c r="L131" s="2">
        <f t="shared" si="49"/>
        <v>82216244.886417016</v>
      </c>
      <c r="M131" s="2">
        <f t="shared" si="39"/>
        <v>222303755.11358297</v>
      </c>
      <c r="N131" s="2">
        <f t="shared" ref="N131:N162" si="58">M131/((1+$B$16)^E131)</f>
        <v>4577436.562984189</v>
      </c>
      <c r="P131">
        <v>128</v>
      </c>
      <c r="Q131" s="3">
        <f t="shared" si="56"/>
        <v>762120000</v>
      </c>
      <c r="R131" s="6">
        <f>$C$13+$C$6*$A$18*$C$10+50*'Carbon Tax'!$B$6</f>
        <v>131999782.44834734</v>
      </c>
      <c r="S131" s="3">
        <f t="shared" ref="S131:S168" si="59">Q131-R131</f>
        <v>630120217.55165267</v>
      </c>
      <c r="T131" s="7">
        <f t="shared" si="55"/>
        <v>2757216.0929208621</v>
      </c>
      <c r="U131" s="7">
        <f t="shared" si="54"/>
        <v>689304.02323021553</v>
      </c>
      <c r="V131" s="7">
        <f t="shared" si="36"/>
        <v>629430913.52842247</v>
      </c>
      <c r="W131" s="7">
        <f t="shared" si="48"/>
        <v>169946346.65267408</v>
      </c>
      <c r="X131" s="11">
        <f t="shared" si="38"/>
        <v>460173870.89897859</v>
      </c>
      <c r="Y131" s="7">
        <f t="shared" ref="Y131:Y162" si="60">X131/((1+$B$16)^P131)</f>
        <v>9475398.654002523</v>
      </c>
    </row>
    <row r="132" spans="5:25">
      <c r="E132">
        <v>129</v>
      </c>
      <c r="F132" s="2">
        <f t="shared" si="52"/>
        <v>324120000</v>
      </c>
      <c r="G132" s="2">
        <f t="shared" si="53"/>
        <v>19600000</v>
      </c>
      <c r="H132" s="2">
        <f t="shared" si="57"/>
        <v>304520000</v>
      </c>
      <c r="I132" s="2">
        <f t="shared" si="50"/>
        <v>35908.388988828599</v>
      </c>
      <c r="J132" s="2">
        <f t="shared" si="51"/>
        <v>10772.516696648579</v>
      </c>
      <c r="K132" s="2">
        <f t="shared" ref="K132:K167" si="61">H132-J132</f>
        <v>304509227.48330337</v>
      </c>
      <c r="L132" s="2">
        <f t="shared" si="49"/>
        <v>82217491.420491919</v>
      </c>
      <c r="M132" s="2">
        <f t="shared" si="39"/>
        <v>222302508.57950807</v>
      </c>
      <c r="N132" s="2">
        <f t="shared" si="58"/>
        <v>4440639.2081039278</v>
      </c>
      <c r="P132">
        <v>129</v>
      </c>
      <c r="Q132" s="3">
        <f t="shared" si="56"/>
        <v>762120000</v>
      </c>
      <c r="R132" s="6">
        <f>$C$13+$C$6*$A$18*$C$10+50*'Carbon Tax'!$B$6</f>
        <v>131999782.44834734</v>
      </c>
      <c r="S132" s="3">
        <f t="shared" si="59"/>
        <v>630120217.55165267</v>
      </c>
      <c r="T132" s="7">
        <f t="shared" si="55"/>
        <v>2067912.0696906466</v>
      </c>
      <c r="U132" s="7">
        <f t="shared" si="54"/>
        <v>516978.01742266165</v>
      </c>
      <c r="V132" s="7">
        <f t="shared" ref="V132:V167" si="62">S132-U132</f>
        <v>629603239.53422999</v>
      </c>
      <c r="W132" s="7">
        <f t="shared" si="48"/>
        <v>169992874.67424211</v>
      </c>
      <c r="X132" s="11">
        <f t="shared" si="38"/>
        <v>460127342.87741053</v>
      </c>
      <c r="Y132" s="7">
        <f t="shared" si="60"/>
        <v>9191347.1087588854</v>
      </c>
    </row>
    <row r="133" spans="5:25">
      <c r="E133">
        <v>130</v>
      </c>
      <c r="F133" s="2">
        <f t="shared" si="52"/>
        <v>324120000</v>
      </c>
      <c r="G133" s="2">
        <f t="shared" si="53"/>
        <v>19600000</v>
      </c>
      <c r="H133" s="2">
        <f t="shared" si="57"/>
        <v>304520000</v>
      </c>
      <c r="I133" s="2">
        <f t="shared" si="50"/>
        <v>25135.872292180022</v>
      </c>
      <c r="J133" s="2">
        <f t="shared" si="51"/>
        <v>7540.761687654006</v>
      </c>
      <c r="K133" s="2">
        <f t="shared" si="61"/>
        <v>304512459.23831236</v>
      </c>
      <c r="L133" s="2">
        <f t="shared" si="49"/>
        <v>82218363.994344339</v>
      </c>
      <c r="M133" s="2">
        <f t="shared" si="39"/>
        <v>222301636.00565565</v>
      </c>
      <c r="N133" s="2">
        <f t="shared" si="58"/>
        <v>4307937.3087561112</v>
      </c>
      <c r="P133">
        <v>130</v>
      </c>
      <c r="Q133" s="3">
        <f t="shared" si="56"/>
        <v>762120000</v>
      </c>
      <c r="R133" s="6">
        <f>$C$13+$C$6*$A$18*$C$10+50*'Carbon Tax'!$B$6</f>
        <v>131999782.44834734</v>
      </c>
      <c r="S133" s="3">
        <f t="shared" si="59"/>
        <v>630120217.55165267</v>
      </c>
      <c r="T133" s="7">
        <f t="shared" si="55"/>
        <v>1550934.052267985</v>
      </c>
      <c r="U133" s="7">
        <f t="shared" si="54"/>
        <v>387733.51306699624</v>
      </c>
      <c r="V133" s="7">
        <f t="shared" si="62"/>
        <v>629732484.03858566</v>
      </c>
      <c r="W133" s="7">
        <f t="shared" ref="W133:W164" si="63">IF(W132&lt;0,V133*$B$15+W132,V133*$B$15)</f>
        <v>170027770.69041815</v>
      </c>
      <c r="X133" s="11">
        <f t="shared" ref="X133:X167" si="64">IF(W133&lt;0,S133,S133-W133)</f>
        <v>460092446.86123455</v>
      </c>
      <c r="Y133" s="7">
        <f t="shared" si="60"/>
        <v>8916036.1251681242</v>
      </c>
    </row>
    <row r="134" spans="5:25">
      <c r="E134">
        <v>131</v>
      </c>
      <c r="F134" s="2">
        <f t="shared" si="52"/>
        <v>324120000</v>
      </c>
      <c r="G134" s="2">
        <f t="shared" si="53"/>
        <v>19600000</v>
      </c>
      <c r="H134" s="2">
        <f t="shared" si="57"/>
        <v>304520000</v>
      </c>
      <c r="I134" s="2">
        <f t="shared" si="50"/>
        <v>17595.110604526017</v>
      </c>
      <c r="J134" s="2">
        <f t="shared" si="51"/>
        <v>5278.533181357805</v>
      </c>
      <c r="K134" s="2">
        <f t="shared" si="61"/>
        <v>304514721.46681863</v>
      </c>
      <c r="L134" s="2">
        <f t="shared" si="49"/>
        <v>82218974.796041042</v>
      </c>
      <c r="M134" s="2">
        <f t="shared" ref="M134:M167" si="65">IF(L134&lt;0,H134,H134-L134)</f>
        <v>222301025.20395896</v>
      </c>
      <c r="N134" s="2">
        <f t="shared" si="58"/>
        <v>4179205.9295272455</v>
      </c>
      <c r="P134">
        <v>131</v>
      </c>
      <c r="Q134" s="3">
        <f t="shared" si="56"/>
        <v>762120000</v>
      </c>
      <c r="R134" s="6">
        <f>$C$13+$C$6*$A$18*$C$10+50*'Carbon Tax'!$B$6</f>
        <v>131999782.44834734</v>
      </c>
      <c r="S134" s="3">
        <f t="shared" si="59"/>
        <v>630120217.55165267</v>
      </c>
      <c r="T134" s="7">
        <f t="shared" si="55"/>
        <v>1163200.5392009886</v>
      </c>
      <c r="U134" s="7">
        <f t="shared" si="54"/>
        <v>290800.13480024715</v>
      </c>
      <c r="V134" s="7">
        <f t="shared" si="62"/>
        <v>629829417.41685247</v>
      </c>
      <c r="W134" s="7">
        <f t="shared" si="63"/>
        <v>170053942.70255017</v>
      </c>
      <c r="X134" s="11">
        <f t="shared" si="64"/>
        <v>460066274.8491025</v>
      </c>
      <c r="Y134" s="7">
        <f t="shared" si="60"/>
        <v>8649135.5676871575</v>
      </c>
    </row>
    <row r="135" spans="5:25">
      <c r="E135">
        <v>132</v>
      </c>
      <c r="F135" s="2">
        <f t="shared" si="52"/>
        <v>324120000</v>
      </c>
      <c r="G135" s="2">
        <f>$B$13+$B$12</f>
        <v>1134800000</v>
      </c>
      <c r="H135" s="2">
        <f t="shared" si="57"/>
        <v>-810680000</v>
      </c>
      <c r="I135" s="2">
        <f t="shared" si="50"/>
        <v>12316.577423168212</v>
      </c>
      <c r="J135" s="13">
        <v>0</v>
      </c>
      <c r="K135" s="13">
        <f>H135-J135+$B$12+$B$14</f>
        <v>304520000</v>
      </c>
      <c r="L135" s="2">
        <f t="shared" si="49"/>
        <v>82220400</v>
      </c>
      <c r="M135" s="13">
        <f>IF(L135&lt;0,H135,H135-L135+$B$14)</f>
        <v>-892900400</v>
      </c>
      <c r="N135" s="2">
        <f t="shared" si="58"/>
        <v>-16284743.166270338</v>
      </c>
      <c r="P135">
        <v>132</v>
      </c>
      <c r="Q135" s="3">
        <f t="shared" si="56"/>
        <v>762120000</v>
      </c>
      <c r="R135" s="6">
        <f>$C$13+$C$6*$A$18*$C$10+50*'Carbon Tax'!$B$6</f>
        <v>131999782.44834734</v>
      </c>
      <c r="S135" s="3">
        <f t="shared" si="59"/>
        <v>630120217.55165267</v>
      </c>
      <c r="T135" s="7">
        <f t="shared" si="55"/>
        <v>872400.40440074145</v>
      </c>
      <c r="U135" s="7">
        <f t="shared" si="54"/>
        <v>218100.10110018536</v>
      </c>
      <c r="V135" s="7">
        <f t="shared" si="62"/>
        <v>629902117.45055246</v>
      </c>
      <c r="W135" s="7">
        <f t="shared" si="63"/>
        <v>170073571.71164918</v>
      </c>
      <c r="X135" s="11">
        <f t="shared" si="64"/>
        <v>460046645.84000349</v>
      </c>
      <c r="Y135" s="7">
        <f t="shared" si="60"/>
        <v>8390343.9532657694</v>
      </c>
    </row>
    <row r="136" spans="5:25">
      <c r="E136">
        <v>133</v>
      </c>
      <c r="F136" s="2">
        <v>0</v>
      </c>
      <c r="G136" s="2">
        <v>0</v>
      </c>
      <c r="H136" s="2">
        <f t="shared" si="57"/>
        <v>0</v>
      </c>
      <c r="I136" s="2">
        <v>1115200000</v>
      </c>
      <c r="J136" s="2">
        <v>0</v>
      </c>
      <c r="K136" s="2">
        <f t="shared" si="61"/>
        <v>0</v>
      </c>
      <c r="L136" s="2">
        <f>K136*$B$15</f>
        <v>0</v>
      </c>
      <c r="M136" s="2">
        <f t="shared" si="65"/>
        <v>0</v>
      </c>
      <c r="N136" s="2">
        <f t="shared" si="58"/>
        <v>0</v>
      </c>
      <c r="P136">
        <v>133</v>
      </c>
      <c r="Q136" s="3">
        <f t="shared" si="56"/>
        <v>762120000</v>
      </c>
      <c r="R136" s="6">
        <f>$C$13+$C$6*$A$18*$C$10+50*'Carbon Tax'!$B$6</f>
        <v>131999782.44834734</v>
      </c>
      <c r="S136" s="3">
        <f t="shared" si="59"/>
        <v>630120217.55165267</v>
      </c>
      <c r="T136" s="7">
        <f t="shared" si="55"/>
        <v>654300.30330055603</v>
      </c>
      <c r="U136" s="7">
        <f t="shared" si="54"/>
        <v>163575.07582513901</v>
      </c>
      <c r="V136" s="7">
        <f t="shared" si="62"/>
        <v>629956642.47582757</v>
      </c>
      <c r="W136" s="7">
        <f t="shared" si="63"/>
        <v>170088293.46847346</v>
      </c>
      <c r="X136" s="11">
        <f t="shared" si="64"/>
        <v>460031924.08317924</v>
      </c>
      <c r="Y136" s="7">
        <f t="shared" si="60"/>
        <v>8139382.4771454763</v>
      </c>
    </row>
    <row r="137" spans="5:25">
      <c r="E137">
        <v>134</v>
      </c>
      <c r="F137" s="2">
        <v>0</v>
      </c>
      <c r="G137" s="2">
        <v>0</v>
      </c>
      <c r="H137" s="2">
        <f t="shared" si="57"/>
        <v>0</v>
      </c>
      <c r="I137" s="2">
        <f>I136-J136</f>
        <v>1115200000</v>
      </c>
      <c r="J137" s="2">
        <f>I137*0.3</f>
        <v>334560000</v>
      </c>
      <c r="K137" s="2">
        <f t="shared" si="61"/>
        <v>-334560000</v>
      </c>
      <c r="L137" s="2">
        <f t="shared" ref="L137:L168" si="66">IF(L136&lt;0,K137*$B$15+L136,K137*$B$15)</f>
        <v>-90331200</v>
      </c>
      <c r="M137" s="2">
        <f t="shared" si="65"/>
        <v>0</v>
      </c>
      <c r="N137" s="2">
        <f t="shared" si="58"/>
        <v>0</v>
      </c>
      <c r="P137">
        <v>134</v>
      </c>
      <c r="Q137" s="3">
        <f t="shared" si="56"/>
        <v>762120000</v>
      </c>
      <c r="R137" s="6">
        <f>$C$13+$C$6*$A$18*$C$10+50*'Carbon Tax'!$B$6</f>
        <v>131999782.44834734</v>
      </c>
      <c r="S137" s="3">
        <f t="shared" si="59"/>
        <v>630120217.55165267</v>
      </c>
      <c r="T137" s="7">
        <f t="shared" si="55"/>
        <v>490725.22747541702</v>
      </c>
      <c r="U137" s="7">
        <f t="shared" si="54"/>
        <v>122681.30686885426</v>
      </c>
      <c r="V137" s="7">
        <f t="shared" si="62"/>
        <v>629997536.24478376</v>
      </c>
      <c r="W137" s="7">
        <f t="shared" si="63"/>
        <v>170099334.78609163</v>
      </c>
      <c r="X137" s="11">
        <f t="shared" si="64"/>
        <v>460020882.76556104</v>
      </c>
      <c r="Y137" s="7">
        <f t="shared" si="60"/>
        <v>7895990.6113788784</v>
      </c>
    </row>
    <row r="138" spans="5:25">
      <c r="E138">
        <v>135</v>
      </c>
      <c r="F138" s="2">
        <v>0</v>
      </c>
      <c r="G138" s="2">
        <v>0</v>
      </c>
      <c r="H138" s="2">
        <f t="shared" si="57"/>
        <v>0</v>
      </c>
      <c r="I138" s="2">
        <f t="shared" ref="I138:I168" si="67">I137-J137</f>
        <v>780640000</v>
      </c>
      <c r="J138" s="2">
        <f t="shared" ref="J138:J167" si="68">I138*0.3</f>
        <v>234192000</v>
      </c>
      <c r="K138" s="2">
        <f t="shared" si="61"/>
        <v>-234192000</v>
      </c>
      <c r="L138" s="2">
        <f t="shared" si="66"/>
        <v>-153563040</v>
      </c>
      <c r="M138" s="2">
        <f t="shared" si="65"/>
        <v>0</v>
      </c>
      <c r="N138" s="2">
        <f t="shared" si="58"/>
        <v>0</v>
      </c>
      <c r="P138">
        <v>135</v>
      </c>
      <c r="Q138" s="3">
        <f t="shared" si="56"/>
        <v>762120000</v>
      </c>
      <c r="R138" s="6">
        <f>$C$13+$C$6*$A$18*$C$10+50*'Carbon Tax'!$B$6</f>
        <v>131999782.44834734</v>
      </c>
      <c r="S138" s="3">
        <f t="shared" si="59"/>
        <v>630120217.55165267</v>
      </c>
      <c r="T138" s="7">
        <f t="shared" si="55"/>
        <v>368043.92060656275</v>
      </c>
      <c r="U138" s="7">
        <f t="shared" si="54"/>
        <v>92010.980151640688</v>
      </c>
      <c r="V138" s="7">
        <f t="shared" si="62"/>
        <v>630028206.57150102</v>
      </c>
      <c r="W138" s="7">
        <f t="shared" si="63"/>
        <v>170107615.77430528</v>
      </c>
      <c r="X138" s="11">
        <f t="shared" si="64"/>
        <v>460012601.77734739</v>
      </c>
      <c r="Y138" s="7">
        <f t="shared" si="60"/>
        <v>7659922.8492798721</v>
      </c>
    </row>
    <row r="139" spans="5:25">
      <c r="E139">
        <v>136</v>
      </c>
      <c r="F139" s="2">
        <f t="shared" ref="F139:F168" si="69">$B$11</f>
        <v>324120000</v>
      </c>
      <c r="G139" s="2">
        <f t="shared" ref="G139:G168" si="70">$B$13</f>
        <v>19600000</v>
      </c>
      <c r="H139" s="2">
        <f t="shared" si="57"/>
        <v>304520000</v>
      </c>
      <c r="I139" s="2">
        <f t="shared" si="67"/>
        <v>546448000</v>
      </c>
      <c r="J139" s="2">
        <f t="shared" si="68"/>
        <v>163934400</v>
      </c>
      <c r="K139" s="2">
        <f t="shared" si="61"/>
        <v>140585600</v>
      </c>
      <c r="L139" s="2">
        <f t="shared" si="66"/>
        <v>-115604928</v>
      </c>
      <c r="M139" s="2">
        <f t="shared" si="65"/>
        <v>304520000</v>
      </c>
      <c r="N139" s="2">
        <f t="shared" si="58"/>
        <v>4919218.0953841191</v>
      </c>
      <c r="P139">
        <v>136</v>
      </c>
      <c r="Q139" s="3">
        <f t="shared" si="56"/>
        <v>762120000</v>
      </c>
      <c r="R139" s="6">
        <f>$C$13+$C$6*$A$18*$C$10+50*'Carbon Tax'!$B$6</f>
        <v>131999782.44834734</v>
      </c>
      <c r="S139" s="3">
        <f t="shared" si="59"/>
        <v>630120217.55165267</v>
      </c>
      <c r="T139" s="7">
        <f t="shared" si="55"/>
        <v>276032.94045492203</v>
      </c>
      <c r="U139" s="7">
        <f t="shared" si="54"/>
        <v>69008.235113730509</v>
      </c>
      <c r="V139" s="7">
        <f t="shared" si="62"/>
        <v>630051209.31653893</v>
      </c>
      <c r="W139" s="7">
        <f t="shared" si="63"/>
        <v>170113826.51546553</v>
      </c>
      <c r="X139" s="11">
        <f t="shared" si="64"/>
        <v>460006391.03618717</v>
      </c>
      <c r="Y139" s="7">
        <f t="shared" si="60"/>
        <v>7430946.2852277523</v>
      </c>
    </row>
    <row r="140" spans="5:25">
      <c r="E140">
        <v>137</v>
      </c>
      <c r="F140" s="2">
        <f t="shared" si="69"/>
        <v>324120000</v>
      </c>
      <c r="G140" s="2">
        <f t="shared" si="70"/>
        <v>19600000</v>
      </c>
      <c r="H140" s="2">
        <f t="shared" si="57"/>
        <v>304520000</v>
      </c>
      <c r="I140" s="2">
        <f t="shared" si="67"/>
        <v>382513600</v>
      </c>
      <c r="J140" s="2">
        <f t="shared" si="68"/>
        <v>114754080</v>
      </c>
      <c r="K140" s="2">
        <f t="shared" si="61"/>
        <v>189765920</v>
      </c>
      <c r="L140" s="2">
        <f t="shared" si="66"/>
        <v>-64368129.599999994</v>
      </c>
      <c r="M140" s="2">
        <f t="shared" si="65"/>
        <v>304520000</v>
      </c>
      <c r="N140" s="2">
        <f t="shared" si="58"/>
        <v>4772233.3094529677</v>
      </c>
      <c r="P140">
        <v>137</v>
      </c>
      <c r="Q140" s="3">
        <f t="shared" si="56"/>
        <v>762120000</v>
      </c>
      <c r="R140" s="6">
        <f>$C$13+$C$6*$A$18*$C$10+50*'Carbon Tax'!$B$6</f>
        <v>131999782.44834734</v>
      </c>
      <c r="S140" s="3">
        <f t="shared" si="59"/>
        <v>630120217.55165267</v>
      </c>
      <c r="T140" s="7">
        <f t="shared" si="55"/>
        <v>207024.70534119153</v>
      </c>
      <c r="U140" s="7">
        <f t="shared" si="54"/>
        <v>51756.176335297881</v>
      </c>
      <c r="V140" s="7">
        <f t="shared" si="62"/>
        <v>630068461.37531734</v>
      </c>
      <c r="W140" s="7">
        <f t="shared" si="63"/>
        <v>170118484.5713357</v>
      </c>
      <c r="X140" s="11">
        <f t="shared" si="64"/>
        <v>460001732.980317</v>
      </c>
      <c r="Y140" s="7">
        <f t="shared" si="60"/>
        <v>7208838.8038051976</v>
      </c>
    </row>
    <row r="141" spans="5:25">
      <c r="E141">
        <v>138</v>
      </c>
      <c r="F141" s="2">
        <f t="shared" si="69"/>
        <v>324120000</v>
      </c>
      <c r="G141" s="2">
        <f t="shared" si="70"/>
        <v>19600000</v>
      </c>
      <c r="H141" s="2">
        <f t="shared" si="57"/>
        <v>304520000</v>
      </c>
      <c r="I141" s="2">
        <f t="shared" si="67"/>
        <v>267759520</v>
      </c>
      <c r="J141" s="2">
        <f t="shared" si="68"/>
        <v>80327856</v>
      </c>
      <c r="K141" s="2">
        <f t="shared" si="61"/>
        <v>224192144</v>
      </c>
      <c r="L141" s="2">
        <f t="shared" si="66"/>
        <v>-3836250.7199999914</v>
      </c>
      <c r="M141" s="2">
        <f t="shared" si="65"/>
        <v>304520000</v>
      </c>
      <c r="N141" s="2">
        <f t="shared" si="58"/>
        <v>4629640.3855771907</v>
      </c>
      <c r="P141">
        <v>138</v>
      </c>
      <c r="Q141" s="3">
        <f t="shared" si="56"/>
        <v>762120000</v>
      </c>
      <c r="R141" s="6">
        <f>$C$13+$C$6*$A$18*$C$10+50*'Carbon Tax'!$B$6</f>
        <v>131999782.44834734</v>
      </c>
      <c r="S141" s="3">
        <f t="shared" si="59"/>
        <v>630120217.55165267</v>
      </c>
      <c r="T141" s="7">
        <f t="shared" si="55"/>
        <v>155268.52900589365</v>
      </c>
      <c r="U141" s="7">
        <f t="shared" si="54"/>
        <v>38817.132251473413</v>
      </c>
      <c r="V141" s="7">
        <f t="shared" si="62"/>
        <v>630081400.41940117</v>
      </c>
      <c r="W141" s="7">
        <f t="shared" si="63"/>
        <v>170121978.11323833</v>
      </c>
      <c r="X141" s="11">
        <f t="shared" si="64"/>
        <v>459998239.43841434</v>
      </c>
      <c r="Y141" s="7">
        <f t="shared" si="60"/>
        <v>6993387.7137741009</v>
      </c>
    </row>
    <row r="142" spans="5:25">
      <c r="E142">
        <v>139</v>
      </c>
      <c r="F142" s="2">
        <f t="shared" si="69"/>
        <v>324120000</v>
      </c>
      <c r="G142" s="2">
        <f t="shared" si="70"/>
        <v>19600000</v>
      </c>
      <c r="H142" s="2">
        <f t="shared" si="57"/>
        <v>304520000</v>
      </c>
      <c r="I142" s="2">
        <f t="shared" si="67"/>
        <v>187431664</v>
      </c>
      <c r="J142" s="2">
        <f t="shared" si="68"/>
        <v>56229499.199999996</v>
      </c>
      <c r="K142" s="2">
        <f t="shared" si="61"/>
        <v>248290500.80000001</v>
      </c>
      <c r="L142" s="2">
        <f t="shared" si="66"/>
        <v>63202184.496000014</v>
      </c>
      <c r="M142" s="2">
        <f t="shared" si="65"/>
        <v>241317815.50399998</v>
      </c>
      <c r="N142" s="2">
        <f t="shared" si="58"/>
        <v>3559150.9869097089</v>
      </c>
      <c r="P142">
        <v>139</v>
      </c>
      <c r="Q142" s="3">
        <f t="shared" si="56"/>
        <v>762120000</v>
      </c>
      <c r="R142" s="6">
        <f>$C$13+$C$6*$A$18*$C$10+50*'Carbon Tax'!$B$6</f>
        <v>131999782.44834734</v>
      </c>
      <c r="S142" s="3">
        <f t="shared" si="59"/>
        <v>630120217.55165267</v>
      </c>
      <c r="T142" s="7">
        <f t="shared" si="55"/>
        <v>116451.39675442025</v>
      </c>
      <c r="U142" s="7">
        <f t="shared" si="54"/>
        <v>29112.849188605061</v>
      </c>
      <c r="V142" s="7">
        <f t="shared" si="62"/>
        <v>630091104.7024641</v>
      </c>
      <c r="W142" s="7">
        <f t="shared" si="63"/>
        <v>170124598.26966533</v>
      </c>
      <c r="X142" s="11">
        <f t="shared" si="64"/>
        <v>459995619.28198731</v>
      </c>
      <c r="Y142" s="7">
        <f t="shared" si="60"/>
        <v>6784388.707159047</v>
      </c>
    </row>
    <row r="143" spans="5:25">
      <c r="E143">
        <v>140</v>
      </c>
      <c r="F143" s="2">
        <f t="shared" si="69"/>
        <v>324120000</v>
      </c>
      <c r="G143" s="2">
        <f t="shared" si="70"/>
        <v>19600000</v>
      </c>
      <c r="H143" s="2">
        <f t="shared" si="57"/>
        <v>304520000</v>
      </c>
      <c r="I143" s="2">
        <f t="shared" si="67"/>
        <v>131202164.80000001</v>
      </c>
      <c r="J143" s="2">
        <f t="shared" si="68"/>
        <v>39360649.440000005</v>
      </c>
      <c r="K143" s="2">
        <f t="shared" si="61"/>
        <v>265159350.56</v>
      </c>
      <c r="L143" s="2">
        <f t="shared" si="66"/>
        <v>71593024.651200011</v>
      </c>
      <c r="M143" s="2">
        <f t="shared" si="65"/>
        <v>232926975.3488</v>
      </c>
      <c r="N143" s="2">
        <f t="shared" si="58"/>
        <v>3332747.445315884</v>
      </c>
      <c r="P143">
        <v>140</v>
      </c>
      <c r="Q143" s="3">
        <f t="shared" si="56"/>
        <v>762120000</v>
      </c>
      <c r="R143" s="6">
        <f>$C$13+$C$6*$A$18*$C$10+50*'Carbon Tax'!$B$6</f>
        <v>131999782.44834734</v>
      </c>
      <c r="S143" s="3">
        <f t="shared" si="59"/>
        <v>630120217.55165267</v>
      </c>
      <c r="T143" s="7">
        <f t="shared" si="55"/>
        <v>87338.547565815184</v>
      </c>
      <c r="U143" s="7">
        <f t="shared" si="54"/>
        <v>21834.636891453796</v>
      </c>
      <c r="V143" s="7">
        <f t="shared" si="62"/>
        <v>630098382.91476119</v>
      </c>
      <c r="W143" s="7">
        <f t="shared" si="63"/>
        <v>170126563.38698554</v>
      </c>
      <c r="X143" s="11">
        <f t="shared" si="64"/>
        <v>459993654.16466713</v>
      </c>
      <c r="Y143" s="7">
        <f t="shared" si="60"/>
        <v>6581645.0562805561</v>
      </c>
    </row>
    <row r="144" spans="5:25">
      <c r="E144">
        <v>141</v>
      </c>
      <c r="F144" s="2">
        <f t="shared" si="69"/>
        <v>324120000</v>
      </c>
      <c r="G144" s="2">
        <f t="shared" si="70"/>
        <v>19600000</v>
      </c>
      <c r="H144" s="2">
        <f t="shared" si="57"/>
        <v>304520000</v>
      </c>
      <c r="I144" s="2">
        <f t="shared" si="67"/>
        <v>91841515.360000014</v>
      </c>
      <c r="J144" s="2">
        <f t="shared" si="68"/>
        <v>27552454.608000003</v>
      </c>
      <c r="K144" s="2">
        <f t="shared" si="61"/>
        <v>276967545.39200002</v>
      </c>
      <c r="L144" s="2">
        <f t="shared" si="66"/>
        <v>74781237.255840003</v>
      </c>
      <c r="M144" s="2">
        <f t="shared" si="65"/>
        <v>229738762.74416</v>
      </c>
      <c r="N144" s="2">
        <f t="shared" si="58"/>
        <v>3188911.6339304266</v>
      </c>
      <c r="P144">
        <v>141</v>
      </c>
      <c r="Q144" s="3">
        <f t="shared" si="56"/>
        <v>762120000</v>
      </c>
      <c r="R144" s="6">
        <f>$C$13+$C$6*$A$18*$C$10+50*'Carbon Tax'!$B$6</f>
        <v>131999782.44834734</v>
      </c>
      <c r="S144" s="3">
        <f t="shared" si="59"/>
        <v>630120217.55165267</v>
      </c>
      <c r="T144" s="7">
        <f t="shared" si="55"/>
        <v>65503.910674361388</v>
      </c>
      <c r="U144" s="7">
        <f t="shared" si="54"/>
        <v>16375.977668590347</v>
      </c>
      <c r="V144" s="7">
        <f t="shared" si="62"/>
        <v>630103841.57398403</v>
      </c>
      <c r="W144" s="7">
        <f t="shared" si="63"/>
        <v>170128037.22497571</v>
      </c>
      <c r="X144" s="11">
        <f t="shared" si="64"/>
        <v>459992180.32667696</v>
      </c>
      <c r="Y144" s="7">
        <f t="shared" si="60"/>
        <v>6384966.9852809859</v>
      </c>
    </row>
    <row r="145" spans="5:25">
      <c r="E145">
        <v>142</v>
      </c>
      <c r="F145" s="2">
        <f t="shared" si="69"/>
        <v>324120000</v>
      </c>
      <c r="G145" s="2">
        <f t="shared" si="70"/>
        <v>19600000</v>
      </c>
      <c r="H145" s="2">
        <f t="shared" si="57"/>
        <v>304520000</v>
      </c>
      <c r="I145" s="2">
        <f t="shared" si="67"/>
        <v>64289060.752000012</v>
      </c>
      <c r="J145" s="2">
        <f t="shared" si="68"/>
        <v>19286718.225600004</v>
      </c>
      <c r="K145" s="2">
        <f t="shared" si="61"/>
        <v>285233281.7744</v>
      </c>
      <c r="L145" s="2">
        <f t="shared" si="66"/>
        <v>77012986.079088002</v>
      </c>
      <c r="M145" s="2">
        <f t="shared" si="65"/>
        <v>227507013.920912</v>
      </c>
      <c r="N145" s="2">
        <f t="shared" si="58"/>
        <v>3063575.4981656214</v>
      </c>
      <c r="P145">
        <v>142</v>
      </c>
      <c r="Q145" s="3">
        <f t="shared" si="56"/>
        <v>762120000</v>
      </c>
      <c r="R145" s="6">
        <f>$C$13+$C$6*$A$18*$C$10+50*'Carbon Tax'!$B$6</f>
        <v>131999782.44834734</v>
      </c>
      <c r="S145" s="3">
        <f t="shared" si="59"/>
        <v>630120217.55165267</v>
      </c>
      <c r="T145" s="7">
        <f t="shared" si="55"/>
        <v>49127.933005771039</v>
      </c>
      <c r="U145" s="7">
        <f t="shared" si="54"/>
        <v>12281.98325144276</v>
      </c>
      <c r="V145" s="7">
        <f t="shared" si="62"/>
        <v>630107935.56840122</v>
      </c>
      <c r="W145" s="7">
        <f t="shared" si="63"/>
        <v>170129142.60346833</v>
      </c>
      <c r="X145" s="11">
        <f t="shared" si="64"/>
        <v>459991074.94818437</v>
      </c>
      <c r="Y145" s="7">
        <f t="shared" si="60"/>
        <v>6194171.1699315272</v>
      </c>
    </row>
    <row r="146" spans="5:25">
      <c r="E146">
        <v>143</v>
      </c>
      <c r="F146" s="2">
        <f t="shared" si="69"/>
        <v>324120000</v>
      </c>
      <c r="G146" s="2">
        <f t="shared" si="70"/>
        <v>19600000</v>
      </c>
      <c r="H146" s="2">
        <f t="shared" si="57"/>
        <v>304520000</v>
      </c>
      <c r="I146" s="2">
        <f t="shared" si="67"/>
        <v>45002342.526400007</v>
      </c>
      <c r="J146" s="2">
        <f t="shared" si="68"/>
        <v>13500702.757920003</v>
      </c>
      <c r="K146" s="2">
        <f t="shared" si="61"/>
        <v>291019297.24207997</v>
      </c>
      <c r="L146" s="2">
        <f t="shared" si="66"/>
        <v>78575210.255361602</v>
      </c>
      <c r="M146" s="2">
        <f t="shared" si="65"/>
        <v>225944789.74463838</v>
      </c>
      <c r="N146" s="2">
        <f t="shared" si="58"/>
        <v>2951628.6578788627</v>
      </c>
      <c r="P146">
        <v>143</v>
      </c>
      <c r="Q146" s="3">
        <f t="shared" si="56"/>
        <v>762120000</v>
      </c>
      <c r="R146" s="6">
        <f>$C$13+$C$6*$A$18*$C$10+50*'Carbon Tax'!$B$6</f>
        <v>131999782.44834734</v>
      </c>
      <c r="S146" s="3">
        <f t="shared" si="59"/>
        <v>630120217.55165267</v>
      </c>
      <c r="T146" s="7">
        <f t="shared" si="55"/>
        <v>36845.949754328278</v>
      </c>
      <c r="U146" s="7">
        <f t="shared" ref="U146:U167" si="71">T146*$B$29</f>
        <v>9211.4874385820694</v>
      </c>
      <c r="V146" s="7">
        <f t="shared" si="62"/>
        <v>630111006.06421411</v>
      </c>
      <c r="W146" s="7">
        <f t="shared" si="63"/>
        <v>170129971.63733783</v>
      </c>
      <c r="X146" s="11">
        <f t="shared" si="64"/>
        <v>459990245.91431487</v>
      </c>
      <c r="Y146" s="7">
        <f t="shared" si="60"/>
        <v>6009080.3320577806</v>
      </c>
    </row>
    <row r="147" spans="5:25">
      <c r="E147">
        <v>144</v>
      </c>
      <c r="F147" s="2">
        <f t="shared" si="69"/>
        <v>324120000</v>
      </c>
      <c r="G147" s="2">
        <f t="shared" si="70"/>
        <v>19600000</v>
      </c>
      <c r="H147" s="2">
        <f t="shared" si="57"/>
        <v>304520000</v>
      </c>
      <c r="I147" s="2">
        <f t="shared" si="67"/>
        <v>31501639.768480003</v>
      </c>
      <c r="J147" s="2">
        <f t="shared" si="68"/>
        <v>9450491.9305440001</v>
      </c>
      <c r="K147" s="2">
        <f t="shared" si="61"/>
        <v>295069508.06945598</v>
      </c>
      <c r="L147" s="2">
        <f t="shared" si="66"/>
        <v>79668767.178753123</v>
      </c>
      <c r="M147" s="2">
        <f t="shared" si="65"/>
        <v>224851232.82124686</v>
      </c>
      <c r="N147" s="2">
        <f t="shared" si="58"/>
        <v>2849576.0403068857</v>
      </c>
      <c r="P147">
        <v>144</v>
      </c>
      <c r="Q147" s="3">
        <f t="shared" si="56"/>
        <v>762120000</v>
      </c>
      <c r="R147" s="6">
        <f>$C$13+$C$6*$A$18*$C$10+50*'Carbon Tax'!$B$6</f>
        <v>131999782.44834734</v>
      </c>
      <c r="S147" s="3">
        <f t="shared" si="59"/>
        <v>630120217.55165267</v>
      </c>
      <c r="T147" s="7">
        <f t="shared" si="55"/>
        <v>27634.462315746208</v>
      </c>
      <c r="U147" s="7">
        <f t="shared" si="71"/>
        <v>6908.6155789365521</v>
      </c>
      <c r="V147" s="7">
        <f t="shared" si="62"/>
        <v>630113308.93607378</v>
      </c>
      <c r="W147" s="7">
        <f t="shared" si="63"/>
        <v>170130593.41273993</v>
      </c>
      <c r="X147" s="11">
        <f t="shared" si="64"/>
        <v>459989624.13891274</v>
      </c>
      <c r="Y147" s="7">
        <f t="shared" si="60"/>
        <v>5829522.9040530156</v>
      </c>
    </row>
    <row r="148" spans="5:25">
      <c r="E148">
        <v>145</v>
      </c>
      <c r="F148" s="2">
        <f t="shared" si="69"/>
        <v>324120000</v>
      </c>
      <c r="G148" s="2">
        <f t="shared" si="70"/>
        <v>19600000</v>
      </c>
      <c r="H148" s="2">
        <f t="shared" si="57"/>
        <v>304520000</v>
      </c>
      <c r="I148" s="2">
        <f t="shared" si="67"/>
        <v>22051147.837936003</v>
      </c>
      <c r="J148" s="2">
        <f t="shared" si="68"/>
        <v>6615344.3513808008</v>
      </c>
      <c r="K148" s="2">
        <f t="shared" si="61"/>
        <v>297904655.64861917</v>
      </c>
      <c r="L148" s="2">
        <f t="shared" si="66"/>
        <v>80434257.025127187</v>
      </c>
      <c r="M148" s="2">
        <f t="shared" si="65"/>
        <v>224085742.97487283</v>
      </c>
      <c r="N148" s="2">
        <f t="shared" si="58"/>
        <v>2755020.2402752806</v>
      </c>
      <c r="P148">
        <v>145</v>
      </c>
      <c r="Q148" s="3">
        <f t="shared" si="56"/>
        <v>762120000</v>
      </c>
      <c r="R148" s="6">
        <f>$C$13+$C$6*$A$18*$C$10+50*'Carbon Tax'!$B$6</f>
        <v>131999782.44834734</v>
      </c>
      <c r="S148" s="3">
        <f t="shared" si="59"/>
        <v>630120217.55165267</v>
      </c>
      <c r="T148" s="7">
        <f t="shared" si="55"/>
        <v>20725.846736809657</v>
      </c>
      <c r="U148" s="7">
        <f t="shared" si="71"/>
        <v>5181.4616842024143</v>
      </c>
      <c r="V148" s="7">
        <f t="shared" si="62"/>
        <v>630115036.08996844</v>
      </c>
      <c r="W148" s="7">
        <f t="shared" si="63"/>
        <v>170131059.74429148</v>
      </c>
      <c r="X148" s="11">
        <f t="shared" si="64"/>
        <v>459989157.80736119</v>
      </c>
      <c r="Y148" s="7">
        <f t="shared" si="60"/>
        <v>5655332.745593559</v>
      </c>
    </row>
    <row r="149" spans="5:25">
      <c r="E149">
        <v>146</v>
      </c>
      <c r="F149" s="2">
        <f t="shared" si="69"/>
        <v>324120000</v>
      </c>
      <c r="G149" s="2">
        <f t="shared" si="70"/>
        <v>19600000</v>
      </c>
      <c r="H149" s="2">
        <f t="shared" si="57"/>
        <v>304520000</v>
      </c>
      <c r="I149" s="2">
        <f t="shared" si="67"/>
        <v>15435803.486555202</v>
      </c>
      <c r="J149" s="2">
        <f t="shared" si="68"/>
        <v>4630741.04596656</v>
      </c>
      <c r="K149" s="2">
        <f t="shared" si="61"/>
        <v>299889258.95403343</v>
      </c>
      <c r="L149" s="2">
        <f t="shared" si="66"/>
        <v>80970099.917589039</v>
      </c>
      <c r="M149" s="2">
        <f t="shared" si="65"/>
        <v>223549900.08241096</v>
      </c>
      <c r="N149" s="2">
        <f t="shared" si="58"/>
        <v>2666309.9771451112</v>
      </c>
      <c r="P149">
        <v>146</v>
      </c>
      <c r="Q149" s="3">
        <f t="shared" si="56"/>
        <v>762120000</v>
      </c>
      <c r="R149" s="6">
        <f>$C$13+$C$6*$A$18*$C$10+50*'Carbon Tax'!$B$6</f>
        <v>131999782.44834734</v>
      </c>
      <c r="S149" s="3">
        <f t="shared" si="59"/>
        <v>630120217.55165267</v>
      </c>
      <c r="T149" s="7">
        <f t="shared" si="55"/>
        <v>15544.385052607242</v>
      </c>
      <c r="U149" s="7">
        <f t="shared" si="71"/>
        <v>3886.0962631518105</v>
      </c>
      <c r="V149" s="7">
        <f t="shared" si="62"/>
        <v>630116331.4553895</v>
      </c>
      <c r="W149" s="7">
        <f t="shared" si="63"/>
        <v>170131409.49295518</v>
      </c>
      <c r="X149" s="11">
        <f t="shared" si="64"/>
        <v>459988808.05869746</v>
      </c>
      <c r="Y149" s="7">
        <f t="shared" si="60"/>
        <v>5486348.8995068101</v>
      </c>
    </row>
    <row r="150" spans="5:25">
      <c r="E150">
        <v>147</v>
      </c>
      <c r="F150" s="2">
        <f t="shared" si="69"/>
        <v>324120000</v>
      </c>
      <c r="G150" s="2">
        <f t="shared" si="70"/>
        <v>19600000</v>
      </c>
      <c r="H150" s="2">
        <f t="shared" si="57"/>
        <v>304520000</v>
      </c>
      <c r="I150" s="2">
        <f t="shared" si="67"/>
        <v>10805062.440588642</v>
      </c>
      <c r="J150" s="2">
        <f t="shared" si="68"/>
        <v>3241518.7321765926</v>
      </c>
      <c r="K150" s="2">
        <f t="shared" si="61"/>
        <v>301278481.2678234</v>
      </c>
      <c r="L150" s="2">
        <f t="shared" si="66"/>
        <v>81345189.94231233</v>
      </c>
      <c r="M150" s="2">
        <f t="shared" si="65"/>
        <v>223174810.05768767</v>
      </c>
      <c r="N150" s="2">
        <f t="shared" si="58"/>
        <v>2582301.3460892593</v>
      </c>
      <c r="P150">
        <v>147</v>
      </c>
      <c r="Q150" s="3">
        <f t="shared" si="56"/>
        <v>762120000</v>
      </c>
      <c r="R150" s="6">
        <f>$C$13+$C$6*$A$18*$C$10+50*'Carbon Tax'!$B$6</f>
        <v>131999782.44834734</v>
      </c>
      <c r="S150" s="3">
        <f t="shared" si="59"/>
        <v>630120217.55165267</v>
      </c>
      <c r="T150" s="7">
        <f t="shared" si="55"/>
        <v>11658.288789455431</v>
      </c>
      <c r="U150" s="7">
        <f t="shared" si="71"/>
        <v>2914.5721973638579</v>
      </c>
      <c r="V150" s="7">
        <f t="shared" si="62"/>
        <v>630117302.97945535</v>
      </c>
      <c r="W150" s="7">
        <f t="shared" si="63"/>
        <v>170131671.80445296</v>
      </c>
      <c r="X150" s="11">
        <f t="shared" si="64"/>
        <v>459988545.74719971</v>
      </c>
      <c r="Y150" s="7">
        <f t="shared" si="60"/>
        <v>5322415.3772623213</v>
      </c>
    </row>
    <row r="151" spans="5:25">
      <c r="E151">
        <v>148</v>
      </c>
      <c r="F151" s="2">
        <f t="shared" si="69"/>
        <v>324120000</v>
      </c>
      <c r="G151" s="2">
        <f t="shared" si="70"/>
        <v>19600000</v>
      </c>
      <c r="H151" s="2">
        <f t="shared" si="57"/>
        <v>304520000</v>
      </c>
      <c r="I151" s="2">
        <f t="shared" si="67"/>
        <v>7563543.7084120493</v>
      </c>
      <c r="J151" s="2">
        <f t="shared" si="68"/>
        <v>2269063.1125236149</v>
      </c>
      <c r="K151" s="2">
        <f t="shared" si="61"/>
        <v>302250936.88747638</v>
      </c>
      <c r="L151" s="2">
        <f t="shared" si="66"/>
        <v>81607752.959618628</v>
      </c>
      <c r="M151" s="2">
        <f t="shared" si="65"/>
        <v>222912247.04038137</v>
      </c>
      <c r="N151" s="2">
        <f t="shared" si="58"/>
        <v>2502195.6668556803</v>
      </c>
      <c r="P151">
        <v>148</v>
      </c>
      <c r="Q151" s="3">
        <f t="shared" si="56"/>
        <v>762120000</v>
      </c>
      <c r="R151" s="6">
        <f>$C$13+$C$6*$A$18*$C$10+50*'Carbon Tax'!$B$6</f>
        <v>131999782.44834734</v>
      </c>
      <c r="S151" s="3">
        <f t="shared" si="59"/>
        <v>630120217.55165267</v>
      </c>
      <c r="T151" s="7">
        <f t="shared" si="55"/>
        <v>8743.7165920915741</v>
      </c>
      <c r="U151" s="7">
        <f t="shared" si="71"/>
        <v>2185.9291480228935</v>
      </c>
      <c r="V151" s="7">
        <f t="shared" si="62"/>
        <v>630118031.62250459</v>
      </c>
      <c r="W151" s="7">
        <f t="shared" si="63"/>
        <v>170131868.53807625</v>
      </c>
      <c r="X151" s="11">
        <f t="shared" si="64"/>
        <v>459988349.01357639</v>
      </c>
      <c r="Y151" s="7">
        <f t="shared" si="60"/>
        <v>5163380.9671182614</v>
      </c>
    </row>
    <row r="152" spans="5:25">
      <c r="E152">
        <v>149</v>
      </c>
      <c r="F152" s="2">
        <f t="shared" si="69"/>
        <v>324120000</v>
      </c>
      <c r="G152" s="2">
        <f t="shared" si="70"/>
        <v>19600000</v>
      </c>
      <c r="H152" s="2">
        <f t="shared" si="57"/>
        <v>304520000</v>
      </c>
      <c r="I152" s="2">
        <f t="shared" si="67"/>
        <v>5294480.595888434</v>
      </c>
      <c r="J152" s="2">
        <f t="shared" si="68"/>
        <v>1588344.1787665302</v>
      </c>
      <c r="K152" s="2">
        <f t="shared" si="61"/>
        <v>302931655.82123345</v>
      </c>
      <c r="L152" s="2">
        <f t="shared" si="66"/>
        <v>81791547.071733043</v>
      </c>
      <c r="M152" s="2">
        <f t="shared" si="65"/>
        <v>222728452.92826694</v>
      </c>
      <c r="N152" s="2">
        <f t="shared" si="58"/>
        <v>2425429.3492942951</v>
      </c>
      <c r="P152">
        <v>149</v>
      </c>
      <c r="Q152" s="3">
        <f t="shared" si="56"/>
        <v>762120000</v>
      </c>
      <c r="R152" s="6">
        <f>$C$13+$C$6*$A$18*$C$10+50*'Carbon Tax'!$B$6</f>
        <v>131999782.44834734</v>
      </c>
      <c r="S152" s="3">
        <f t="shared" si="59"/>
        <v>630120217.55165267</v>
      </c>
      <c r="T152" s="7">
        <f t="shared" si="55"/>
        <v>6557.787444068681</v>
      </c>
      <c r="U152" s="7">
        <f t="shared" si="71"/>
        <v>1639.4468610171702</v>
      </c>
      <c r="V152" s="7">
        <f t="shared" si="62"/>
        <v>630118578.10479164</v>
      </c>
      <c r="W152" s="7">
        <f t="shared" si="63"/>
        <v>170132016.08829376</v>
      </c>
      <c r="X152" s="11">
        <f t="shared" si="64"/>
        <v>459988201.46335888</v>
      </c>
      <c r="Y152" s="7">
        <f t="shared" si="60"/>
        <v>5009099.0598208196</v>
      </c>
    </row>
    <row r="153" spans="5:25">
      <c r="E153">
        <v>150</v>
      </c>
      <c r="F153" s="2">
        <f t="shared" si="69"/>
        <v>324120000</v>
      </c>
      <c r="G153" s="2">
        <f t="shared" si="70"/>
        <v>19600000</v>
      </c>
      <c r="H153" s="2">
        <f t="shared" si="57"/>
        <v>304520000</v>
      </c>
      <c r="I153" s="2">
        <f t="shared" si="67"/>
        <v>3706136.417121904</v>
      </c>
      <c r="J153" s="2">
        <f t="shared" si="68"/>
        <v>1111840.9251365711</v>
      </c>
      <c r="K153" s="2">
        <f t="shared" si="61"/>
        <v>303408159.07486343</v>
      </c>
      <c r="L153" s="2">
        <f t="shared" si="66"/>
        <v>81920202.950213134</v>
      </c>
      <c r="M153" s="2">
        <f t="shared" si="65"/>
        <v>222599797.04978687</v>
      </c>
      <c r="N153" s="2">
        <f t="shared" si="58"/>
        <v>2351599.083247968</v>
      </c>
      <c r="P153">
        <v>150</v>
      </c>
      <c r="Q153" s="3">
        <f t="shared" si="56"/>
        <v>762120000</v>
      </c>
      <c r="R153" s="6">
        <f>$C$13+$C$6*$A$18*$C$10+50*'Carbon Tax'!$B$6</f>
        <v>131999782.44834734</v>
      </c>
      <c r="S153" s="3">
        <f t="shared" si="59"/>
        <v>630120217.55165267</v>
      </c>
      <c r="T153" s="7">
        <f t="shared" si="55"/>
        <v>4918.3405830515112</v>
      </c>
      <c r="U153" s="7">
        <f t="shared" si="71"/>
        <v>1229.5851457628778</v>
      </c>
      <c r="V153" s="7">
        <f t="shared" si="62"/>
        <v>630118987.96650696</v>
      </c>
      <c r="W153" s="7">
        <f t="shared" si="63"/>
        <v>170132126.75095689</v>
      </c>
      <c r="X153" s="11">
        <f t="shared" si="64"/>
        <v>459988090.80069578</v>
      </c>
      <c r="Y153" s="7">
        <f t="shared" si="60"/>
        <v>4859427.4881120557</v>
      </c>
    </row>
    <row r="154" spans="5:25">
      <c r="E154">
        <v>151</v>
      </c>
      <c r="F154" s="2">
        <f t="shared" si="69"/>
        <v>324120000</v>
      </c>
      <c r="G154" s="2">
        <f t="shared" si="70"/>
        <v>19600000</v>
      </c>
      <c r="H154" s="2">
        <f t="shared" si="57"/>
        <v>304520000</v>
      </c>
      <c r="I154" s="2">
        <f t="shared" si="67"/>
        <v>2594295.4919853332</v>
      </c>
      <c r="J154" s="2">
        <f t="shared" si="68"/>
        <v>778288.64759559988</v>
      </c>
      <c r="K154" s="2">
        <f t="shared" si="61"/>
        <v>303741711.35240442</v>
      </c>
      <c r="L154" s="2">
        <f t="shared" si="66"/>
        <v>82010262.065149203</v>
      </c>
      <c r="M154" s="2">
        <f t="shared" si="65"/>
        <v>222509737.93485081</v>
      </c>
      <c r="N154" s="2">
        <f t="shared" si="58"/>
        <v>2280411.0172447287</v>
      </c>
      <c r="P154">
        <v>151</v>
      </c>
      <c r="Q154" s="3">
        <f t="shared" si="56"/>
        <v>762120000</v>
      </c>
      <c r="R154" s="6">
        <f>$C$13+$C$6*$A$18*$C$10+50*'Carbon Tax'!$B$6</f>
        <v>131999782.44834734</v>
      </c>
      <c r="S154" s="3">
        <f t="shared" si="59"/>
        <v>630120217.55165267</v>
      </c>
      <c r="T154" s="7">
        <f t="shared" si="55"/>
        <v>3688.7554372886334</v>
      </c>
      <c r="U154" s="7">
        <f t="shared" si="71"/>
        <v>922.18885932215835</v>
      </c>
      <c r="V154" s="7">
        <f t="shared" si="62"/>
        <v>630119295.36279333</v>
      </c>
      <c r="W154" s="7">
        <f t="shared" si="63"/>
        <v>170132209.74795422</v>
      </c>
      <c r="X154" s="11">
        <f t="shared" si="64"/>
        <v>459988007.80369842</v>
      </c>
      <c r="Y154" s="7">
        <f t="shared" si="60"/>
        <v>4714228.3772907788</v>
      </c>
    </row>
    <row r="155" spans="5:25">
      <c r="E155">
        <v>152</v>
      </c>
      <c r="F155" s="2">
        <f t="shared" si="69"/>
        <v>324120000</v>
      </c>
      <c r="G155" s="2">
        <f t="shared" si="70"/>
        <v>19600000</v>
      </c>
      <c r="H155" s="2">
        <f t="shared" si="57"/>
        <v>304520000</v>
      </c>
      <c r="I155" s="2">
        <f t="shared" si="67"/>
        <v>1816006.8443897334</v>
      </c>
      <c r="J155" s="2">
        <f t="shared" si="68"/>
        <v>544802.05331691995</v>
      </c>
      <c r="K155" s="2">
        <f t="shared" si="61"/>
        <v>303975197.94668311</v>
      </c>
      <c r="L155" s="2">
        <f t="shared" si="66"/>
        <v>82073303.445604444</v>
      </c>
      <c r="M155" s="2">
        <f t="shared" si="65"/>
        <v>222446696.55439556</v>
      </c>
      <c r="N155" s="2">
        <f t="shared" si="58"/>
        <v>2211646.2281720997</v>
      </c>
      <c r="P155">
        <v>152</v>
      </c>
      <c r="Q155" s="3">
        <f t="shared" si="56"/>
        <v>762120000</v>
      </c>
      <c r="R155" s="6">
        <f>$C$13+$C$6*$A$18*$C$10+50*'Carbon Tax'!$B$6</f>
        <v>131999782.44834734</v>
      </c>
      <c r="S155" s="3">
        <f t="shared" si="59"/>
        <v>630120217.55165267</v>
      </c>
      <c r="T155" s="7">
        <f t="shared" si="55"/>
        <v>2766.5665779664751</v>
      </c>
      <c r="U155" s="7">
        <f t="shared" si="71"/>
        <v>691.64164449161876</v>
      </c>
      <c r="V155" s="7">
        <f t="shared" si="62"/>
        <v>630119525.91000819</v>
      </c>
      <c r="W155" s="7">
        <f t="shared" si="63"/>
        <v>170132271.99570224</v>
      </c>
      <c r="X155" s="11">
        <f t="shared" si="64"/>
        <v>459987945.5559504</v>
      </c>
      <c r="Y155" s="7">
        <f t="shared" si="60"/>
        <v>4573368.0047915652</v>
      </c>
    </row>
    <row r="156" spans="5:25">
      <c r="E156">
        <v>153</v>
      </c>
      <c r="F156" s="2">
        <f t="shared" si="69"/>
        <v>324120000</v>
      </c>
      <c r="G156" s="2">
        <f t="shared" si="70"/>
        <v>19600000</v>
      </c>
      <c r="H156" s="2">
        <f t="shared" si="57"/>
        <v>304520000</v>
      </c>
      <c r="I156" s="2">
        <f t="shared" si="67"/>
        <v>1271204.7910728133</v>
      </c>
      <c r="J156" s="2">
        <f t="shared" si="68"/>
        <v>381361.43732184399</v>
      </c>
      <c r="K156" s="2">
        <f t="shared" si="61"/>
        <v>304138638.56267816</v>
      </c>
      <c r="L156" s="2">
        <f t="shared" si="66"/>
        <v>82117432.41192311</v>
      </c>
      <c r="M156" s="2">
        <f t="shared" si="65"/>
        <v>222402567.58807689</v>
      </c>
      <c r="N156" s="2">
        <f t="shared" si="58"/>
        <v>2145137.2544492185</v>
      </c>
      <c r="P156">
        <v>153</v>
      </c>
      <c r="Q156" s="3">
        <f t="shared" si="56"/>
        <v>762120000</v>
      </c>
      <c r="R156" s="6">
        <f>$C$13+$C$6*$A$18*$C$10+50*'Carbon Tax'!$B$6</f>
        <v>131999782.44834734</v>
      </c>
      <c r="S156" s="3">
        <f t="shared" si="59"/>
        <v>630120217.55165267</v>
      </c>
      <c r="T156" s="7">
        <f t="shared" si="55"/>
        <v>2074.9249334748565</v>
      </c>
      <c r="U156" s="7">
        <f t="shared" si="71"/>
        <v>518.73123336871413</v>
      </c>
      <c r="V156" s="7">
        <f t="shared" si="62"/>
        <v>630119698.82041931</v>
      </c>
      <c r="W156" s="7">
        <f t="shared" si="63"/>
        <v>170132318.68151322</v>
      </c>
      <c r="X156" s="11">
        <f t="shared" si="64"/>
        <v>459987898.87013948</v>
      </c>
      <c r="Y156" s="7">
        <f t="shared" si="60"/>
        <v>4436716.6672722138</v>
      </c>
    </row>
    <row r="157" spans="5:25">
      <c r="E157">
        <v>154</v>
      </c>
      <c r="F157" s="2">
        <f t="shared" si="69"/>
        <v>324120000</v>
      </c>
      <c r="G157" s="2">
        <f t="shared" si="70"/>
        <v>19600000</v>
      </c>
      <c r="H157" s="2">
        <f t="shared" si="57"/>
        <v>304520000</v>
      </c>
      <c r="I157" s="2">
        <f t="shared" si="67"/>
        <v>889843.35375096928</v>
      </c>
      <c r="J157" s="2">
        <f t="shared" si="68"/>
        <v>266953.00612529076</v>
      </c>
      <c r="K157" s="2">
        <f t="shared" si="61"/>
        <v>304253046.99387473</v>
      </c>
      <c r="L157" s="2">
        <f t="shared" si="66"/>
        <v>82148322.688346177</v>
      </c>
      <c r="M157" s="2">
        <f t="shared" si="65"/>
        <v>222371677.31165382</v>
      </c>
      <c r="N157" s="2">
        <f t="shared" si="58"/>
        <v>2080752.1427782944</v>
      </c>
      <c r="P157">
        <v>154</v>
      </c>
      <c r="Q157" s="3">
        <f t="shared" si="56"/>
        <v>762120000</v>
      </c>
      <c r="R157" s="6">
        <f>$C$13+$C$6*$A$18*$C$10+50*'Carbon Tax'!$B$6</f>
        <v>131999782.44834734</v>
      </c>
      <c r="S157" s="3">
        <f t="shared" si="59"/>
        <v>630120217.55165267</v>
      </c>
      <c r="T157" s="7">
        <f t="shared" si="55"/>
        <v>1556.1937001061424</v>
      </c>
      <c r="U157" s="7">
        <f t="shared" si="71"/>
        <v>389.0484250265356</v>
      </c>
      <c r="V157" s="7">
        <f t="shared" si="62"/>
        <v>630119828.50322759</v>
      </c>
      <c r="W157" s="7">
        <f t="shared" si="63"/>
        <v>170132353.69587147</v>
      </c>
      <c r="X157" s="11">
        <f t="shared" si="64"/>
        <v>459987863.8557812</v>
      </c>
      <c r="Y157" s="7">
        <f t="shared" si="60"/>
        <v>4304148.5540828239</v>
      </c>
    </row>
    <row r="158" spans="5:25">
      <c r="E158">
        <v>155</v>
      </c>
      <c r="F158" s="2">
        <f t="shared" si="69"/>
        <v>324120000</v>
      </c>
      <c r="G158" s="2">
        <f t="shared" si="70"/>
        <v>19600000</v>
      </c>
      <c r="H158" s="2">
        <f t="shared" si="57"/>
        <v>304520000</v>
      </c>
      <c r="I158" s="2">
        <f t="shared" si="67"/>
        <v>622890.34762567852</v>
      </c>
      <c r="J158" s="2">
        <f t="shared" si="68"/>
        <v>186867.10428770355</v>
      </c>
      <c r="K158" s="2">
        <f t="shared" si="61"/>
        <v>304333132.89571232</v>
      </c>
      <c r="L158" s="2">
        <f t="shared" si="66"/>
        <v>82169945.88184233</v>
      </c>
      <c r="M158" s="2">
        <f t="shared" si="65"/>
        <v>222350054.11815768</v>
      </c>
      <c r="N158" s="2">
        <f t="shared" si="58"/>
        <v>2018383.5977659521</v>
      </c>
      <c r="P158">
        <v>155</v>
      </c>
      <c r="Q158" s="3">
        <f t="shared" si="56"/>
        <v>762120000</v>
      </c>
      <c r="R158" s="6">
        <f>$C$13+$C$6*$A$18*$C$10+50*'Carbon Tax'!$B$6</f>
        <v>131999782.44834734</v>
      </c>
      <c r="S158" s="3">
        <f t="shared" si="59"/>
        <v>630120217.55165267</v>
      </c>
      <c r="T158" s="7">
        <f t="shared" si="55"/>
        <v>1167.1452750796068</v>
      </c>
      <c r="U158" s="7">
        <f t="shared" si="71"/>
        <v>291.7863187699017</v>
      </c>
      <c r="V158" s="7">
        <f t="shared" si="62"/>
        <v>630119925.76533389</v>
      </c>
      <c r="W158" s="7">
        <f t="shared" si="63"/>
        <v>170132379.95664015</v>
      </c>
      <c r="X158" s="11">
        <f t="shared" si="64"/>
        <v>459987837.59501255</v>
      </c>
      <c r="Y158" s="7">
        <f t="shared" si="60"/>
        <v>4175541.626269313</v>
      </c>
    </row>
    <row r="159" spans="5:25">
      <c r="E159">
        <v>156</v>
      </c>
      <c r="F159" s="2">
        <f t="shared" si="69"/>
        <v>324120000</v>
      </c>
      <c r="G159" s="2">
        <f t="shared" si="70"/>
        <v>19600000</v>
      </c>
      <c r="H159" s="2">
        <f t="shared" si="57"/>
        <v>304520000</v>
      </c>
      <c r="I159" s="2">
        <f t="shared" si="67"/>
        <v>436023.243337975</v>
      </c>
      <c r="J159" s="2">
        <f t="shared" si="68"/>
        <v>130806.9730013925</v>
      </c>
      <c r="K159" s="2">
        <f t="shared" si="61"/>
        <v>304389193.02699858</v>
      </c>
      <c r="L159" s="2">
        <f t="shared" si="66"/>
        <v>82185082.117289618</v>
      </c>
      <c r="M159" s="2">
        <f t="shared" si="65"/>
        <v>222334917.8827104</v>
      </c>
      <c r="N159" s="2">
        <f t="shared" si="58"/>
        <v>1957941.5973242761</v>
      </c>
      <c r="P159">
        <v>156</v>
      </c>
      <c r="Q159" s="3">
        <f t="shared" si="56"/>
        <v>762120000</v>
      </c>
      <c r="R159" s="6">
        <f>$C$13+$C$6*$A$18*$C$10+50*'Carbon Tax'!$B$6</f>
        <v>131999782.44834734</v>
      </c>
      <c r="S159" s="3">
        <f t="shared" si="59"/>
        <v>630120217.55165267</v>
      </c>
      <c r="T159" s="7">
        <f t="shared" si="55"/>
        <v>875.35895630970504</v>
      </c>
      <c r="U159" s="7">
        <f t="shared" si="71"/>
        <v>218.83973907742626</v>
      </c>
      <c r="V159" s="7">
        <f t="shared" si="62"/>
        <v>630119998.71191359</v>
      </c>
      <c r="W159" s="7">
        <f t="shared" si="63"/>
        <v>170132399.65221667</v>
      </c>
      <c r="X159" s="11">
        <f t="shared" si="64"/>
        <v>459987817.899436</v>
      </c>
      <c r="Y159" s="7">
        <f t="shared" si="60"/>
        <v>4050777.5004682085</v>
      </c>
    </row>
    <row r="160" spans="5:25">
      <c r="E160">
        <v>157</v>
      </c>
      <c r="F160" s="2">
        <f t="shared" si="69"/>
        <v>324120000</v>
      </c>
      <c r="G160" s="2">
        <f t="shared" si="70"/>
        <v>19600000</v>
      </c>
      <c r="H160" s="2">
        <f t="shared" si="57"/>
        <v>304520000</v>
      </c>
      <c r="I160" s="2">
        <f t="shared" si="67"/>
        <v>305216.2703365825</v>
      </c>
      <c r="J160" s="2">
        <f t="shared" si="68"/>
        <v>91564.881100974744</v>
      </c>
      <c r="K160" s="2">
        <f t="shared" si="61"/>
        <v>304428435.11889905</v>
      </c>
      <c r="L160" s="2">
        <f t="shared" si="66"/>
        <v>82195677.482102752</v>
      </c>
      <c r="M160" s="2">
        <f t="shared" si="65"/>
        <v>222324322.51789725</v>
      </c>
      <c r="N160" s="2">
        <f t="shared" si="58"/>
        <v>1899348.3621145119</v>
      </c>
      <c r="P160">
        <v>157</v>
      </c>
      <c r="Q160" s="3">
        <f t="shared" si="56"/>
        <v>762120000</v>
      </c>
      <c r="R160" s="6">
        <f>$C$13+$C$6*$A$18*$C$10+50*'Carbon Tax'!$B$6</f>
        <v>131999782.44834734</v>
      </c>
      <c r="S160" s="3">
        <f t="shared" si="59"/>
        <v>630120217.55165267</v>
      </c>
      <c r="T160" s="7">
        <f t="shared" si="55"/>
        <v>656.51921723227883</v>
      </c>
      <c r="U160" s="7">
        <f t="shared" si="71"/>
        <v>164.12980430806971</v>
      </c>
      <c r="V160" s="7">
        <f t="shared" si="62"/>
        <v>630120053.42184842</v>
      </c>
      <c r="W160" s="7">
        <f t="shared" si="63"/>
        <v>170132414.42389908</v>
      </c>
      <c r="X160" s="11">
        <f t="shared" si="64"/>
        <v>459987803.12775362</v>
      </c>
      <c r="Y160" s="7">
        <f t="shared" si="60"/>
        <v>3929741.3371990365</v>
      </c>
    </row>
    <row r="161" spans="5:25">
      <c r="E161">
        <v>158</v>
      </c>
      <c r="F161" s="2">
        <f t="shared" si="69"/>
        <v>324120000</v>
      </c>
      <c r="G161" s="2">
        <f t="shared" si="70"/>
        <v>19600000</v>
      </c>
      <c r="H161" s="2">
        <f t="shared" si="57"/>
        <v>304520000</v>
      </c>
      <c r="I161" s="2">
        <f t="shared" si="67"/>
        <v>213651.38923560776</v>
      </c>
      <c r="J161" s="2">
        <f t="shared" si="68"/>
        <v>64095.416770682321</v>
      </c>
      <c r="K161" s="2">
        <f t="shared" si="61"/>
        <v>304455904.5832293</v>
      </c>
      <c r="L161" s="2">
        <f t="shared" si="66"/>
        <v>82203094.237471923</v>
      </c>
      <c r="M161" s="2">
        <f t="shared" si="65"/>
        <v>222316905.76252806</v>
      </c>
      <c r="N161" s="2">
        <f t="shared" si="58"/>
        <v>1842534.9240557994</v>
      </c>
      <c r="P161">
        <v>158</v>
      </c>
      <c r="Q161" s="3">
        <f t="shared" si="56"/>
        <v>762120000</v>
      </c>
      <c r="R161" s="6">
        <f>$C$13+$C$6*$A$18*$C$10+50*'Carbon Tax'!$B$6</f>
        <v>131999782.44834734</v>
      </c>
      <c r="S161" s="3">
        <f t="shared" si="59"/>
        <v>630120217.55165267</v>
      </c>
      <c r="T161" s="7">
        <f t="shared" si="55"/>
        <v>492.38941292420913</v>
      </c>
      <c r="U161" s="7">
        <f t="shared" si="71"/>
        <v>123.09735323105228</v>
      </c>
      <c r="V161" s="7">
        <f t="shared" si="62"/>
        <v>630120094.45429945</v>
      </c>
      <c r="W161" s="7">
        <f t="shared" si="63"/>
        <v>170132425.50266087</v>
      </c>
      <c r="X161" s="11">
        <f t="shared" si="64"/>
        <v>459987792.0489918</v>
      </c>
      <c r="Y161" s="7">
        <f t="shared" si="60"/>
        <v>3812321.7331699613</v>
      </c>
    </row>
    <row r="162" spans="5:25">
      <c r="E162">
        <v>159</v>
      </c>
      <c r="F162" s="2">
        <f t="shared" si="69"/>
        <v>324120000</v>
      </c>
      <c r="G162" s="2">
        <f t="shared" si="70"/>
        <v>19600000</v>
      </c>
      <c r="H162" s="2">
        <f t="shared" si="57"/>
        <v>304520000</v>
      </c>
      <c r="I162" s="2">
        <f t="shared" si="67"/>
        <v>149555.97246492543</v>
      </c>
      <c r="J162" s="2">
        <f t="shared" si="68"/>
        <v>44866.79173947763</v>
      </c>
      <c r="K162" s="2">
        <f t="shared" si="61"/>
        <v>304475133.20826054</v>
      </c>
      <c r="L162" s="2">
        <f t="shared" si="66"/>
        <v>82208285.966230348</v>
      </c>
      <c r="M162" s="2">
        <f t="shared" si="65"/>
        <v>222311714.03376967</v>
      </c>
      <c r="N162" s="2">
        <f t="shared" si="58"/>
        <v>1787438.781191478</v>
      </c>
      <c r="P162">
        <v>159</v>
      </c>
      <c r="Q162" s="3">
        <f t="shared" si="56"/>
        <v>762120000</v>
      </c>
      <c r="R162" s="6">
        <f>$C$13+$C$6*$A$18*$C$10+50*'Carbon Tax'!$B$6</f>
        <v>131999782.44834734</v>
      </c>
      <c r="S162" s="3">
        <f t="shared" si="59"/>
        <v>630120217.55165267</v>
      </c>
      <c r="T162" s="7">
        <f t="shared" si="55"/>
        <v>369.29205969315683</v>
      </c>
      <c r="U162" s="7">
        <f t="shared" si="71"/>
        <v>92.323014923289207</v>
      </c>
      <c r="V162" s="7">
        <f t="shared" si="62"/>
        <v>630120125.2286377</v>
      </c>
      <c r="W162" s="7">
        <f t="shared" si="63"/>
        <v>170132433.8117322</v>
      </c>
      <c r="X162" s="11">
        <f t="shared" si="64"/>
        <v>459987783.7399205</v>
      </c>
      <c r="Y162" s="7">
        <f t="shared" si="60"/>
        <v>3698410.6172927916</v>
      </c>
    </row>
    <row r="163" spans="5:25">
      <c r="E163">
        <v>160</v>
      </c>
      <c r="F163" s="2">
        <f t="shared" si="69"/>
        <v>324120000</v>
      </c>
      <c r="G163" s="2">
        <f t="shared" si="70"/>
        <v>19600000</v>
      </c>
      <c r="H163" s="2">
        <f t="shared" si="57"/>
        <v>304520000</v>
      </c>
      <c r="I163" s="2">
        <f t="shared" si="67"/>
        <v>104689.1807254478</v>
      </c>
      <c r="J163" s="2">
        <f t="shared" si="68"/>
        <v>31406.754217634341</v>
      </c>
      <c r="K163" s="2">
        <f t="shared" si="61"/>
        <v>304488593.24578238</v>
      </c>
      <c r="L163" s="2">
        <f t="shared" si="66"/>
        <v>82211920.176361248</v>
      </c>
      <c r="M163" s="2">
        <f t="shared" si="65"/>
        <v>222308079.82363874</v>
      </c>
      <c r="N163" s="2">
        <f t="shared" ref="N163:N168" si="72">M163/((1+$B$16)^E163)</f>
        <v>1734002.2907277334</v>
      </c>
      <c r="P163">
        <v>160</v>
      </c>
      <c r="Q163" s="3">
        <f t="shared" si="56"/>
        <v>762120000</v>
      </c>
      <c r="R163" s="6">
        <f>$C$13+$C$6*$A$18*$C$10+50*'Carbon Tax'!$B$6</f>
        <v>131999782.44834734</v>
      </c>
      <c r="S163" s="3">
        <f t="shared" si="59"/>
        <v>630120217.55165267</v>
      </c>
      <c r="T163" s="7">
        <f t="shared" si="55"/>
        <v>276.96904476986765</v>
      </c>
      <c r="U163" s="7">
        <f t="shared" si="71"/>
        <v>69.242261192466913</v>
      </c>
      <c r="V163" s="7">
        <f t="shared" si="62"/>
        <v>630120148.3093915</v>
      </c>
      <c r="W163" s="7">
        <f t="shared" si="63"/>
        <v>170132440.04353571</v>
      </c>
      <c r="X163" s="11">
        <f t="shared" si="64"/>
        <v>459987777.50811696</v>
      </c>
      <c r="Y163" s="7">
        <f t="shared" ref="Y163:Y168" si="73">X163/((1+$B$16)^P163)</f>
        <v>3587903.1501626074</v>
      </c>
    </row>
    <row r="164" spans="5:25">
      <c r="E164">
        <v>161</v>
      </c>
      <c r="F164" s="2">
        <f t="shared" si="69"/>
        <v>324120000</v>
      </c>
      <c r="G164" s="2">
        <f t="shared" si="70"/>
        <v>19600000</v>
      </c>
      <c r="H164" s="2">
        <f t="shared" si="57"/>
        <v>304520000</v>
      </c>
      <c r="I164" s="2">
        <f t="shared" si="67"/>
        <v>73282.426507813463</v>
      </c>
      <c r="J164" s="2">
        <f t="shared" si="68"/>
        <v>21984.727952344037</v>
      </c>
      <c r="K164" s="2">
        <f t="shared" si="61"/>
        <v>304498015.27204764</v>
      </c>
      <c r="L164" s="2">
        <f t="shared" si="66"/>
        <v>82214464.123452872</v>
      </c>
      <c r="M164" s="2">
        <f t="shared" si="65"/>
        <v>222305535.87654713</v>
      </c>
      <c r="N164" s="2">
        <f t="shared" si="72"/>
        <v>1682171.5637842398</v>
      </c>
      <c r="P164">
        <v>161</v>
      </c>
      <c r="Q164" s="3">
        <f t="shared" si="56"/>
        <v>762120000</v>
      </c>
      <c r="R164" s="6">
        <f>$C$13+$C$6*$A$18*$C$10+50*'Carbon Tax'!$B$6</f>
        <v>131999782.44834734</v>
      </c>
      <c r="S164" s="3">
        <f t="shared" si="59"/>
        <v>630120217.55165267</v>
      </c>
      <c r="T164" s="7">
        <f t="shared" si="55"/>
        <v>207.72678357740074</v>
      </c>
      <c r="U164" s="7">
        <f t="shared" si="71"/>
        <v>51.931695894350185</v>
      </c>
      <c r="V164" s="7">
        <f t="shared" si="62"/>
        <v>630120165.61995673</v>
      </c>
      <c r="W164" s="7">
        <f t="shared" si="63"/>
        <v>170132444.71738833</v>
      </c>
      <c r="X164" s="11">
        <f t="shared" si="64"/>
        <v>459987772.83426434</v>
      </c>
      <c r="Y164" s="7">
        <f t="shared" si="73"/>
        <v>3480697.6268010987</v>
      </c>
    </row>
    <row r="165" spans="5:25">
      <c r="E165">
        <v>162</v>
      </c>
      <c r="F165" s="2">
        <f t="shared" si="69"/>
        <v>324120000</v>
      </c>
      <c r="G165" s="2">
        <f t="shared" si="70"/>
        <v>19600000</v>
      </c>
      <c r="H165" s="2">
        <f t="shared" si="57"/>
        <v>304520000</v>
      </c>
      <c r="I165" s="2">
        <f t="shared" si="67"/>
        <v>51297.698555469426</v>
      </c>
      <c r="J165" s="2">
        <f t="shared" si="68"/>
        <v>15389.309566640826</v>
      </c>
      <c r="K165" s="2">
        <f t="shared" si="61"/>
        <v>304504610.69043338</v>
      </c>
      <c r="L165" s="2">
        <f t="shared" si="66"/>
        <v>82216244.886417016</v>
      </c>
      <c r="M165" s="2">
        <f t="shared" si="65"/>
        <v>222303755.11358297</v>
      </c>
      <c r="N165" s="2">
        <f t="shared" si="72"/>
        <v>1631895.7012674138</v>
      </c>
      <c r="P165">
        <v>162</v>
      </c>
      <c r="Q165" s="3">
        <f t="shared" si="56"/>
        <v>762120000</v>
      </c>
      <c r="R165" s="6">
        <f>$C$13+$C$6*$A$18*$C$10+50*'Carbon Tax'!$B$6</f>
        <v>131999782.44834734</v>
      </c>
      <c r="S165" s="3">
        <f t="shared" si="59"/>
        <v>630120217.55165267</v>
      </c>
      <c r="T165" s="7">
        <f t="shared" si="55"/>
        <v>155.79508768305055</v>
      </c>
      <c r="U165" s="7">
        <f t="shared" si="71"/>
        <v>38.948771920762638</v>
      </c>
      <c r="V165" s="7">
        <f t="shared" si="62"/>
        <v>630120178.60288072</v>
      </c>
      <c r="W165" s="7">
        <f t="shared" ref="W165:W168" si="74">IF(W164&lt;0,V165*$B$15+W164,V165*$B$15)</f>
        <v>170132448.22277781</v>
      </c>
      <c r="X165" s="11">
        <f t="shared" si="64"/>
        <v>459987769.32887483</v>
      </c>
      <c r="Y165" s="7">
        <f t="shared" si="73"/>
        <v>3376695.3824951923</v>
      </c>
    </row>
    <row r="166" spans="5:25">
      <c r="E166">
        <v>163</v>
      </c>
      <c r="F166" s="2">
        <f t="shared" si="69"/>
        <v>324120000</v>
      </c>
      <c r="G166" s="2">
        <f t="shared" si="70"/>
        <v>19600000</v>
      </c>
      <c r="H166" s="2">
        <f t="shared" si="57"/>
        <v>304520000</v>
      </c>
      <c r="I166" s="2">
        <f t="shared" si="67"/>
        <v>35908.388988828599</v>
      </c>
      <c r="J166" s="2">
        <f t="shared" si="68"/>
        <v>10772.516696648579</v>
      </c>
      <c r="K166" s="2">
        <f t="shared" si="61"/>
        <v>304509227.48330337</v>
      </c>
      <c r="L166" s="2">
        <f t="shared" si="66"/>
        <v>82217491.420491919</v>
      </c>
      <c r="M166" s="2">
        <f t="shared" si="65"/>
        <v>222302508.57950807</v>
      </c>
      <c r="N166" s="2">
        <f t="shared" si="72"/>
        <v>1583126.2618001162</v>
      </c>
      <c r="P166">
        <v>163</v>
      </c>
      <c r="Q166" s="3">
        <f t="shared" si="56"/>
        <v>762120000</v>
      </c>
      <c r="R166" s="6">
        <f>$C$13+$C$6*$A$18*$C$10+50*'Carbon Tax'!$B$6</f>
        <v>131999782.44834734</v>
      </c>
      <c r="S166" s="3">
        <f t="shared" si="59"/>
        <v>630120217.55165267</v>
      </c>
      <c r="T166" s="7">
        <f t="shared" si="55"/>
        <v>116.84631576228792</v>
      </c>
      <c r="U166" s="7">
        <f t="shared" si="71"/>
        <v>29.211578940571979</v>
      </c>
      <c r="V166" s="7">
        <f t="shared" si="62"/>
        <v>630120188.3400737</v>
      </c>
      <c r="W166" s="7">
        <f t="shared" si="74"/>
        <v>170132450.8518199</v>
      </c>
      <c r="X166" s="11">
        <f t="shared" si="64"/>
        <v>459987766.6998328</v>
      </c>
      <c r="Y166" s="7">
        <f t="shared" si="73"/>
        <v>3275800.7015869445</v>
      </c>
    </row>
    <row r="167" spans="5:25">
      <c r="E167">
        <v>164</v>
      </c>
      <c r="F167" s="2">
        <f t="shared" si="69"/>
        <v>324120000</v>
      </c>
      <c r="G167" s="2">
        <f t="shared" si="70"/>
        <v>19600000</v>
      </c>
      <c r="H167" s="2">
        <f t="shared" si="57"/>
        <v>304520000</v>
      </c>
      <c r="I167" s="2">
        <f t="shared" si="67"/>
        <v>25135.872292180022</v>
      </c>
      <c r="J167" s="2">
        <f t="shared" si="68"/>
        <v>7540.761687654006</v>
      </c>
      <c r="K167" s="2">
        <f t="shared" si="61"/>
        <v>304512459.23831236</v>
      </c>
      <c r="L167" s="2">
        <f t="shared" si="66"/>
        <v>82218363.994344339</v>
      </c>
      <c r="M167" s="2">
        <f t="shared" si="65"/>
        <v>222301636.00565565</v>
      </c>
      <c r="N167" s="2">
        <f t="shared" si="72"/>
        <v>1535816.887630539</v>
      </c>
      <c r="P167">
        <v>164</v>
      </c>
      <c r="Q167" s="3">
        <f t="shared" si="56"/>
        <v>762120000</v>
      </c>
      <c r="R167" s="6">
        <f>$C$13+$C$6*$A$18*$C$10+50*'Carbon Tax'!$B$6</f>
        <v>131999782.44834734</v>
      </c>
      <c r="S167" s="3">
        <f t="shared" si="59"/>
        <v>630120217.55165267</v>
      </c>
      <c r="T167" s="7">
        <f t="shared" si="55"/>
        <v>87.634736821715933</v>
      </c>
      <c r="U167" s="7">
        <f t="shared" si="71"/>
        <v>21.908684205428983</v>
      </c>
      <c r="V167" s="7">
        <f t="shared" si="62"/>
        <v>630120195.64296842</v>
      </c>
      <c r="W167" s="7">
        <f t="shared" si="74"/>
        <v>170132452.82360148</v>
      </c>
      <c r="X167" s="11">
        <f t="shared" si="64"/>
        <v>459987764.72805119</v>
      </c>
      <c r="Y167" s="7">
        <f t="shared" si="73"/>
        <v>3177920.7290889709</v>
      </c>
    </row>
    <row r="168" spans="5:25">
      <c r="E168">
        <v>165</v>
      </c>
      <c r="F168" s="2">
        <f t="shared" si="69"/>
        <v>324120000</v>
      </c>
      <c r="G168" s="2">
        <f t="shared" si="70"/>
        <v>19600000</v>
      </c>
      <c r="H168" s="2">
        <f t="shared" si="57"/>
        <v>304520000</v>
      </c>
      <c r="I168" s="2">
        <f t="shared" si="67"/>
        <v>17595.110604526017</v>
      </c>
      <c r="J168" s="13">
        <v>0</v>
      </c>
      <c r="K168" s="13">
        <f>H168-J168+$B$14</f>
        <v>304520000</v>
      </c>
      <c r="L168" s="2">
        <f t="shared" si="66"/>
        <v>82220400</v>
      </c>
      <c r="M168" s="13">
        <f>IF(L168&lt;0,H168,H168-L168+$B$14)</f>
        <v>222299600</v>
      </c>
      <c r="N168" s="2">
        <f t="shared" si="72"/>
        <v>1489913.4860922014</v>
      </c>
      <c r="P168">
        <v>165</v>
      </c>
      <c r="Q168" s="3">
        <f t="shared" si="56"/>
        <v>762120000</v>
      </c>
      <c r="R168" s="6">
        <f>$C$13+$C$6*$A$18*$C$10+50*'Carbon Tax'!$B$6</f>
        <v>131999782.44834734</v>
      </c>
      <c r="S168" s="3">
        <f t="shared" si="59"/>
        <v>630120217.55165267</v>
      </c>
      <c r="T168" s="7">
        <f t="shared" si="55"/>
        <v>65.72605261628695</v>
      </c>
      <c r="U168" s="15">
        <v>0</v>
      </c>
      <c r="V168" s="15">
        <f>S168-U168+$C$14</f>
        <v>630120217.55165267</v>
      </c>
      <c r="W168" s="7">
        <f t="shared" si="74"/>
        <v>170132458.73894623</v>
      </c>
      <c r="X168" s="16">
        <f>IF(W168&lt;0,S168,S168-W168+$C$14)</f>
        <v>459987758.81270647</v>
      </c>
      <c r="Y168" s="7">
        <f t="shared" si="73"/>
        <v>3082965.355278994</v>
      </c>
    </row>
    <row r="169" spans="5:25">
      <c r="M169"/>
      <c r="N169" s="2">
        <f>SUM(N3:N168)</f>
        <v>4831016483.916419</v>
      </c>
      <c r="X169" s="2"/>
      <c r="Y169" s="12">
        <f>SUM(Y3:Y168)</f>
        <v>11911858793.282722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36189-6FA8-4EFB-ACC5-A1A9416B50E6}">
  <dimension ref="A1:Y169"/>
  <sheetViews>
    <sheetView topLeftCell="A16" workbookViewId="0" xr3:uid="{7CEA3C9A-C60C-5E51-9B1C-EC3E72D1E74F}">
      <selection activeCell="B11" sqref="B11"/>
    </sheetView>
  </sheetViews>
  <sheetFormatPr defaultRowHeight="15"/>
  <cols>
    <col min="1" max="1" width="19.140625" customWidth="1"/>
    <col min="2" max="2" width="19.42578125" customWidth="1"/>
    <col min="3" max="3" width="18.28515625" customWidth="1"/>
    <col min="6" max="6" width="15.85546875" style="2" bestFit="1" customWidth="1"/>
    <col min="7" max="7" width="17.5703125" bestFit="1" customWidth="1"/>
    <col min="8" max="8" width="18.5703125" bestFit="1" customWidth="1"/>
    <col min="9" max="12" width="18.5703125" customWidth="1"/>
    <col min="13" max="13" width="18.5703125" style="2" customWidth="1"/>
    <col min="14" max="14" width="18.5703125" bestFit="1" customWidth="1"/>
    <col min="17" max="17" width="15.140625" bestFit="1" customWidth="1"/>
    <col min="18" max="18" width="16.28515625" bestFit="1" customWidth="1"/>
    <col min="19" max="23" width="20.85546875" customWidth="1"/>
    <col min="24" max="24" width="20.85546875" style="11" customWidth="1"/>
    <col min="25" max="25" width="17.5703125" customWidth="1"/>
  </cols>
  <sheetData>
    <row r="1" spans="1:25">
      <c r="A1" t="s">
        <v>0</v>
      </c>
      <c r="B1" t="s">
        <v>1</v>
      </c>
      <c r="C1" t="s">
        <v>2</v>
      </c>
      <c r="E1" t="s">
        <v>3</v>
      </c>
      <c r="N1" s="2"/>
    </row>
    <row r="2" spans="1:25">
      <c r="A2" t="s">
        <v>4</v>
      </c>
      <c r="B2">
        <v>3</v>
      </c>
      <c r="C2">
        <v>5</v>
      </c>
      <c r="E2" t="s">
        <v>5</v>
      </c>
      <c r="F2" s="2" t="s">
        <v>34</v>
      </c>
      <c r="G2" t="s">
        <v>7</v>
      </c>
      <c r="H2" t="s">
        <v>48</v>
      </c>
      <c r="I2" t="s">
        <v>49</v>
      </c>
      <c r="J2" t="s">
        <v>50</v>
      </c>
      <c r="K2" t="s">
        <v>51</v>
      </c>
      <c r="L2" t="s">
        <v>35</v>
      </c>
      <c r="M2" s="2" t="s">
        <v>36</v>
      </c>
      <c r="N2" t="s">
        <v>9</v>
      </c>
      <c r="P2" t="s">
        <v>5</v>
      </c>
      <c r="Q2" t="s">
        <v>6</v>
      </c>
      <c r="R2" t="s">
        <v>7</v>
      </c>
      <c r="S2" t="s">
        <v>48</v>
      </c>
      <c r="T2" t="s">
        <v>49</v>
      </c>
      <c r="U2" t="s">
        <v>50</v>
      </c>
      <c r="V2" t="s">
        <v>51</v>
      </c>
      <c r="W2" t="s">
        <v>35</v>
      </c>
      <c r="X2" s="11" t="s">
        <v>36</v>
      </c>
      <c r="Y2" t="s">
        <v>9</v>
      </c>
    </row>
    <row r="3" spans="1:25">
      <c r="A3" t="s">
        <v>10</v>
      </c>
      <c r="B3">
        <v>30</v>
      </c>
      <c r="C3">
        <v>50</v>
      </c>
      <c r="E3">
        <v>0</v>
      </c>
      <c r="F3" s="2">
        <v>0</v>
      </c>
      <c r="G3" s="2">
        <f>B12</f>
        <v>1115200000</v>
      </c>
      <c r="H3" s="2">
        <f t="shared" ref="H3:H66" si="0">$F3-$G3</f>
        <v>-1115200000</v>
      </c>
      <c r="I3" s="2"/>
      <c r="J3" s="2"/>
      <c r="K3" s="2"/>
      <c r="L3" s="2">
        <v>0</v>
      </c>
      <c r="M3" s="2">
        <f t="shared" ref="M3" si="1">H3</f>
        <v>-1115200000</v>
      </c>
      <c r="N3" s="2">
        <f t="shared" ref="N3:N34" si="2">M3/((1+$B$16)^E3)</f>
        <v>-1115200000</v>
      </c>
      <c r="O3" s="2"/>
      <c r="P3">
        <v>0</v>
      </c>
      <c r="Q3" s="7">
        <v>0</v>
      </c>
      <c r="R3" s="7">
        <f>C12</f>
        <v>366800000</v>
      </c>
      <c r="S3" s="7">
        <f t="shared" ref="S3:S66" si="3">Q3-R3</f>
        <v>-366800000</v>
      </c>
      <c r="T3" s="7"/>
      <c r="U3" s="7"/>
      <c r="V3" s="7"/>
      <c r="W3" s="7">
        <f>V3*$B$15</f>
        <v>0</v>
      </c>
      <c r="X3" s="11">
        <f t="shared" ref="X3" si="4">S3</f>
        <v>-366800000</v>
      </c>
      <c r="Y3" s="7">
        <f t="shared" ref="Y3:Y34" si="5">X3/((1+$B$16)^P3)</f>
        <v>-366800000</v>
      </c>
    </row>
    <row r="4" spans="1:25">
      <c r="A4" t="s">
        <v>11</v>
      </c>
      <c r="B4" s="1">
        <v>2788000</v>
      </c>
      <c r="C4" s="1">
        <v>917000</v>
      </c>
      <c r="E4">
        <v>1</v>
      </c>
      <c r="F4" s="2">
        <v>0</v>
      </c>
      <c r="G4" s="2">
        <v>0</v>
      </c>
      <c r="H4" s="2">
        <f t="shared" si="0"/>
        <v>0</v>
      </c>
      <c r="I4" s="2">
        <v>1115200000</v>
      </c>
      <c r="J4" s="2">
        <f t="shared" ref="J4:J67" si="6">I4*0.3</f>
        <v>334560000</v>
      </c>
      <c r="K4" s="2">
        <f t="shared" ref="K4:K67" si="7">H4-J4</f>
        <v>-334560000</v>
      </c>
      <c r="L4" s="2">
        <f>K4*$B$15</f>
        <v>-90331200</v>
      </c>
      <c r="M4" s="2">
        <f>IF(L4&lt;0,H4,H4-L4)</f>
        <v>0</v>
      </c>
      <c r="N4" s="2">
        <f t="shared" si="2"/>
        <v>0</v>
      </c>
      <c r="O4" s="2"/>
      <c r="P4">
        <v>1</v>
      </c>
      <c r="Q4" s="7">
        <v>0</v>
      </c>
      <c r="R4" s="7">
        <v>0</v>
      </c>
      <c r="S4" s="7">
        <f t="shared" si="3"/>
        <v>0</v>
      </c>
      <c r="T4" s="7">
        <f>-S3</f>
        <v>366800000</v>
      </c>
      <c r="U4" s="7">
        <f t="shared" ref="U4:U35" si="8">T4*$B$29</f>
        <v>91700000</v>
      </c>
      <c r="V4" s="7">
        <f t="shared" ref="V4:V67" si="9">S4-U4</f>
        <v>-91700000</v>
      </c>
      <c r="W4" s="7">
        <f>V4*$B$15+W3</f>
        <v>-24759000</v>
      </c>
      <c r="X4" s="11">
        <f>IF(W4&lt;0,S4,S4-W4)</f>
        <v>0</v>
      </c>
      <c r="Y4" s="7">
        <f t="shared" si="5"/>
        <v>0</v>
      </c>
    </row>
    <row r="5" spans="1:25">
      <c r="A5" t="s">
        <v>12</v>
      </c>
      <c r="B5" s="1">
        <v>49000</v>
      </c>
      <c r="C5" s="1">
        <v>13170</v>
      </c>
      <c r="E5">
        <v>2</v>
      </c>
      <c r="F5" s="2">
        <v>0</v>
      </c>
      <c r="G5" s="2">
        <v>0</v>
      </c>
      <c r="H5" s="2">
        <f t="shared" si="0"/>
        <v>0</v>
      </c>
      <c r="I5" s="2">
        <f t="shared" ref="I5:I36" si="10">I4-J4</f>
        <v>780640000</v>
      </c>
      <c r="J5" s="2">
        <f t="shared" si="6"/>
        <v>234192000</v>
      </c>
      <c r="K5" s="2">
        <f t="shared" si="7"/>
        <v>-234192000</v>
      </c>
      <c r="L5" s="2">
        <f t="shared" ref="L5:L36" si="11">IF(L4&lt;0,K5*$B$15+L4,K5*$B$15)</f>
        <v>-153563040</v>
      </c>
      <c r="M5" s="2">
        <f t="shared" ref="M5:M68" si="12">IF(L5&lt;0,H5,H5-L5)</f>
        <v>0</v>
      </c>
      <c r="N5" s="2">
        <f t="shared" si="2"/>
        <v>0</v>
      </c>
      <c r="O5" s="2"/>
      <c r="P5">
        <v>2</v>
      </c>
      <c r="Q5" s="7">
        <v>0</v>
      </c>
      <c r="R5" s="7">
        <v>0</v>
      </c>
      <c r="S5" s="7">
        <f t="shared" si="3"/>
        <v>0</v>
      </c>
      <c r="T5" s="7">
        <f>T4-U4</f>
        <v>275100000</v>
      </c>
      <c r="U5" s="7">
        <f t="shared" si="8"/>
        <v>68775000</v>
      </c>
      <c r="V5" s="7">
        <f t="shared" si="9"/>
        <v>-68775000</v>
      </c>
      <c r="W5" s="7">
        <f t="shared" ref="W5:W36" si="13">IF(W4&lt;0,V5*$B$15+W4,V5*$B$15)</f>
        <v>-43328250</v>
      </c>
      <c r="X5" s="11">
        <f t="shared" ref="X5:X68" si="14">IF(W5&lt;0,S5,S5-W5)</f>
        <v>0</v>
      </c>
      <c r="Y5" s="7">
        <f t="shared" si="5"/>
        <v>0</v>
      </c>
    </row>
    <row r="6" spans="1:25">
      <c r="A6" t="s">
        <v>13</v>
      </c>
      <c r="B6">
        <v>0</v>
      </c>
      <c r="C6">
        <v>183</v>
      </c>
      <c r="E6">
        <v>3</v>
      </c>
      <c r="F6" s="2">
        <v>0</v>
      </c>
      <c r="G6" s="2">
        <v>0</v>
      </c>
      <c r="H6" s="2">
        <f t="shared" si="0"/>
        <v>0</v>
      </c>
      <c r="I6" s="2">
        <f t="shared" si="10"/>
        <v>546448000</v>
      </c>
      <c r="J6" s="2">
        <f t="shared" si="6"/>
        <v>163934400</v>
      </c>
      <c r="K6" s="2">
        <f t="shared" si="7"/>
        <v>-163934400</v>
      </c>
      <c r="L6" s="2">
        <f t="shared" si="11"/>
        <v>-197825328</v>
      </c>
      <c r="M6" s="2">
        <f t="shared" si="12"/>
        <v>0</v>
      </c>
      <c r="N6" s="2">
        <f t="shared" si="2"/>
        <v>0</v>
      </c>
      <c r="O6" s="2"/>
      <c r="P6">
        <v>3</v>
      </c>
      <c r="Q6" s="7">
        <v>0</v>
      </c>
      <c r="R6" s="7">
        <v>0</v>
      </c>
      <c r="S6" s="7">
        <f t="shared" si="3"/>
        <v>0</v>
      </c>
      <c r="T6" s="7">
        <f t="shared" ref="T6:T58" si="15">T5-U5</f>
        <v>206325000</v>
      </c>
      <c r="U6" s="7">
        <f t="shared" si="8"/>
        <v>51581250</v>
      </c>
      <c r="V6" s="7">
        <f t="shared" si="9"/>
        <v>-51581250</v>
      </c>
      <c r="W6" s="7">
        <f t="shared" si="13"/>
        <v>-57255187.5</v>
      </c>
      <c r="X6" s="11">
        <f t="shared" si="14"/>
        <v>0</v>
      </c>
      <c r="Y6" s="7">
        <f t="shared" si="5"/>
        <v>0</v>
      </c>
    </row>
    <row r="7" spans="1:25">
      <c r="A7" t="s">
        <v>14</v>
      </c>
      <c r="B7">
        <f>A30</f>
        <v>1</v>
      </c>
      <c r="C7">
        <f>B7</f>
        <v>1</v>
      </c>
      <c r="E7">
        <v>4</v>
      </c>
      <c r="F7" s="2">
        <f t="shared" ref="F7:F36" si="16">$B$11</f>
        <v>385440000</v>
      </c>
      <c r="G7" s="2">
        <f t="shared" ref="G7:G35" si="17">$B$13</f>
        <v>19600000</v>
      </c>
      <c r="H7" s="2">
        <f t="shared" si="0"/>
        <v>365840000</v>
      </c>
      <c r="I7" s="2">
        <f t="shared" si="10"/>
        <v>382513600</v>
      </c>
      <c r="J7" s="2">
        <f t="shared" si="6"/>
        <v>114754080</v>
      </c>
      <c r="K7" s="2">
        <f t="shared" si="7"/>
        <v>251085920</v>
      </c>
      <c r="L7" s="2">
        <f t="shared" si="11"/>
        <v>-130032129.59999999</v>
      </c>
      <c r="M7" s="2">
        <f t="shared" si="12"/>
        <v>365840000</v>
      </c>
      <c r="N7" s="2">
        <f t="shared" si="2"/>
        <v>324036213.68057185</v>
      </c>
      <c r="O7" s="2"/>
      <c r="P7">
        <v>4</v>
      </c>
      <c r="Q7" s="7">
        <v>0</v>
      </c>
      <c r="R7" s="7">
        <v>0</v>
      </c>
      <c r="S7" s="7">
        <f t="shared" si="3"/>
        <v>0</v>
      </c>
      <c r="T7" s="7">
        <f t="shared" si="15"/>
        <v>154743750</v>
      </c>
      <c r="U7" s="7">
        <f t="shared" si="8"/>
        <v>38685937.5</v>
      </c>
      <c r="V7" s="7">
        <f t="shared" si="9"/>
        <v>-38685937.5</v>
      </c>
      <c r="W7" s="7">
        <f t="shared" si="13"/>
        <v>-67700390.625</v>
      </c>
      <c r="X7" s="11">
        <f t="shared" si="14"/>
        <v>0</v>
      </c>
      <c r="Y7" s="7">
        <f t="shared" si="5"/>
        <v>0</v>
      </c>
    </row>
    <row r="8" spans="1:25">
      <c r="A8" t="s">
        <v>15</v>
      </c>
      <c r="B8">
        <v>400</v>
      </c>
      <c r="C8">
        <v>400</v>
      </c>
      <c r="E8">
        <v>5</v>
      </c>
      <c r="F8" s="2">
        <f t="shared" si="16"/>
        <v>385440000</v>
      </c>
      <c r="G8" s="2">
        <f t="shared" si="17"/>
        <v>19600000</v>
      </c>
      <c r="H8" s="2">
        <f t="shared" si="0"/>
        <v>365840000</v>
      </c>
      <c r="I8" s="2">
        <f t="shared" si="10"/>
        <v>267759520</v>
      </c>
      <c r="J8" s="2">
        <f t="shared" si="6"/>
        <v>80327856</v>
      </c>
      <c r="K8" s="2">
        <f t="shared" si="7"/>
        <v>285512144</v>
      </c>
      <c r="L8" s="2">
        <f t="shared" si="11"/>
        <v>-52943850.719999984</v>
      </c>
      <c r="M8" s="2">
        <f t="shared" si="12"/>
        <v>365840000</v>
      </c>
      <c r="N8" s="2">
        <f t="shared" si="2"/>
        <v>314354107.17944497</v>
      </c>
      <c r="O8" s="2"/>
      <c r="P8">
        <v>5</v>
      </c>
      <c r="Q8" s="7">
        <v>0</v>
      </c>
      <c r="R8" s="7">
        <v>0</v>
      </c>
      <c r="S8" s="7">
        <f t="shared" si="3"/>
        <v>0</v>
      </c>
      <c r="T8" s="7">
        <f t="shared" si="15"/>
        <v>116057812.5</v>
      </c>
      <c r="U8" s="7">
        <f t="shared" si="8"/>
        <v>29014453.125</v>
      </c>
      <c r="V8" s="7">
        <f t="shared" si="9"/>
        <v>-29014453.125</v>
      </c>
      <c r="W8" s="7">
        <f t="shared" si="13"/>
        <v>-75534292.96875</v>
      </c>
      <c r="X8" s="11">
        <f t="shared" si="14"/>
        <v>0</v>
      </c>
      <c r="Y8" s="7">
        <f t="shared" si="5"/>
        <v>0</v>
      </c>
    </row>
    <row r="9" spans="1:25">
      <c r="A9" t="s">
        <v>16</v>
      </c>
      <c r="B9" s="1">
        <v>110</v>
      </c>
      <c r="C9" s="1">
        <v>110</v>
      </c>
      <c r="E9">
        <v>6</v>
      </c>
      <c r="F9" s="2">
        <f t="shared" si="16"/>
        <v>385440000</v>
      </c>
      <c r="G9" s="2">
        <f t="shared" si="17"/>
        <v>19600000</v>
      </c>
      <c r="H9" s="2">
        <f t="shared" si="0"/>
        <v>365840000</v>
      </c>
      <c r="I9" s="2">
        <f t="shared" si="10"/>
        <v>187431664</v>
      </c>
      <c r="J9" s="2">
        <f t="shared" si="6"/>
        <v>56229499.199999996</v>
      </c>
      <c r="K9" s="2">
        <f t="shared" si="7"/>
        <v>309610500.80000001</v>
      </c>
      <c r="L9" s="2">
        <f t="shared" si="11"/>
        <v>30650984.496000022</v>
      </c>
      <c r="M9" s="2">
        <f t="shared" si="12"/>
        <v>335189015.50399995</v>
      </c>
      <c r="N9" s="2">
        <f t="shared" si="2"/>
        <v>279410883.53922516</v>
      </c>
      <c r="O9" s="2"/>
      <c r="P9">
        <v>6</v>
      </c>
      <c r="Q9" s="3">
        <f t="shared" ref="Q9:Q58" si="18">$C$11</f>
        <v>385440000</v>
      </c>
      <c r="R9" s="6">
        <f>$C$13+$C$6*$A$18*$C$10+50*'Carbon Tax'!$B$6</f>
        <v>146812382.71938735</v>
      </c>
      <c r="S9" s="3">
        <f t="shared" si="3"/>
        <v>238627617.28061265</v>
      </c>
      <c r="T9" s="7">
        <f t="shared" si="15"/>
        <v>87043359.375</v>
      </c>
      <c r="U9" s="7">
        <f t="shared" si="8"/>
        <v>21760839.84375</v>
      </c>
      <c r="V9" s="7">
        <f t="shared" si="9"/>
        <v>216866777.43686265</v>
      </c>
      <c r="W9" s="7">
        <f t="shared" si="13"/>
        <v>-16980263.06079708</v>
      </c>
      <c r="X9" s="11">
        <f t="shared" si="14"/>
        <v>238627617.28061265</v>
      </c>
      <c r="Y9" s="7">
        <f t="shared" si="5"/>
        <v>198918073.97381851</v>
      </c>
    </row>
    <row r="10" spans="1:25">
      <c r="A10" t="s">
        <v>17</v>
      </c>
      <c r="B10">
        <f>365*24*B8*B7</f>
        <v>3504000</v>
      </c>
      <c r="C10">
        <f>365*24*C8*C7</f>
        <v>3504000</v>
      </c>
      <c r="E10">
        <v>7</v>
      </c>
      <c r="F10" s="2">
        <f t="shared" si="16"/>
        <v>385440000</v>
      </c>
      <c r="G10" s="2">
        <f t="shared" si="17"/>
        <v>19600000</v>
      </c>
      <c r="H10" s="2">
        <f t="shared" si="0"/>
        <v>365840000</v>
      </c>
      <c r="I10" s="2">
        <f t="shared" si="10"/>
        <v>131202164.80000001</v>
      </c>
      <c r="J10" s="2">
        <f t="shared" si="6"/>
        <v>39360649.440000005</v>
      </c>
      <c r="K10" s="2">
        <f t="shared" si="7"/>
        <v>326479350.56</v>
      </c>
      <c r="L10" s="2">
        <f t="shared" si="11"/>
        <v>88149424.651200011</v>
      </c>
      <c r="M10" s="2">
        <f t="shared" si="12"/>
        <v>277690575.3488</v>
      </c>
      <c r="N10" s="2">
        <f t="shared" si="2"/>
        <v>224564070.15627158</v>
      </c>
      <c r="O10" s="2"/>
      <c r="P10">
        <v>7</v>
      </c>
      <c r="Q10" s="3">
        <f t="shared" si="18"/>
        <v>385440000</v>
      </c>
      <c r="R10" s="6">
        <f>$C$13+$C$6*$A$18*$C$10+50*'Carbon Tax'!$B$6</f>
        <v>146812382.71938735</v>
      </c>
      <c r="S10" s="3">
        <f t="shared" si="3"/>
        <v>238627617.28061265</v>
      </c>
      <c r="T10" s="7">
        <f t="shared" si="15"/>
        <v>65282519.53125</v>
      </c>
      <c r="U10" s="7">
        <f t="shared" si="8"/>
        <v>16320629.8828125</v>
      </c>
      <c r="V10" s="7">
        <f t="shared" si="9"/>
        <v>222306987.39780015</v>
      </c>
      <c r="W10" s="7">
        <f t="shared" si="13"/>
        <v>43042623.536608964</v>
      </c>
      <c r="X10" s="11">
        <f t="shared" si="14"/>
        <v>195584993.74400368</v>
      </c>
      <c r="Y10" s="7">
        <f t="shared" si="5"/>
        <v>158166557.1525929</v>
      </c>
    </row>
    <row r="11" spans="1:25">
      <c r="A11" t="s">
        <v>18</v>
      </c>
      <c r="B11" s="1">
        <f>B10*B9</f>
        <v>385440000</v>
      </c>
      <c r="C11" s="3">
        <f>C10*C9</f>
        <v>385440000</v>
      </c>
      <c r="E11">
        <v>8</v>
      </c>
      <c r="F11" s="2">
        <f t="shared" si="16"/>
        <v>385440000</v>
      </c>
      <c r="G11" s="2">
        <f t="shared" si="17"/>
        <v>19600000</v>
      </c>
      <c r="H11" s="2">
        <f t="shared" si="0"/>
        <v>365840000</v>
      </c>
      <c r="I11" s="2">
        <f t="shared" si="10"/>
        <v>91841515.360000014</v>
      </c>
      <c r="J11" s="2">
        <f t="shared" si="6"/>
        <v>27552454.608000003</v>
      </c>
      <c r="K11" s="2">
        <f t="shared" si="7"/>
        <v>338287545.39200002</v>
      </c>
      <c r="L11" s="2">
        <f t="shared" si="11"/>
        <v>91337637.255840018</v>
      </c>
      <c r="M11" s="2">
        <f t="shared" si="12"/>
        <v>274502362.74416</v>
      </c>
      <c r="N11" s="2">
        <f t="shared" si="2"/>
        <v>215352941.37605682</v>
      </c>
      <c r="O11" s="2"/>
      <c r="P11">
        <v>8</v>
      </c>
      <c r="Q11" s="3">
        <f t="shared" si="18"/>
        <v>385440000</v>
      </c>
      <c r="R11" s="6">
        <f>$C$13+$C$6*$A$18*$C$10+50*'Carbon Tax'!$B$6</f>
        <v>146812382.71938735</v>
      </c>
      <c r="S11" s="3">
        <f t="shared" si="3"/>
        <v>238627617.28061265</v>
      </c>
      <c r="T11" s="7">
        <f t="shared" si="15"/>
        <v>48961889.6484375</v>
      </c>
      <c r="U11" s="7">
        <f t="shared" si="8"/>
        <v>12240472.412109375</v>
      </c>
      <c r="V11" s="7">
        <f t="shared" si="9"/>
        <v>226387144.86850327</v>
      </c>
      <c r="W11" s="7">
        <f t="shared" si="13"/>
        <v>61124529.114495888</v>
      </c>
      <c r="X11" s="11">
        <f t="shared" si="14"/>
        <v>177503088.16611677</v>
      </c>
      <c r="Y11" s="7">
        <f t="shared" si="5"/>
        <v>139254947.59960875</v>
      </c>
    </row>
    <row r="12" spans="1:25">
      <c r="A12" t="s">
        <v>19</v>
      </c>
      <c r="B12" s="2">
        <f>B4*B8</f>
        <v>1115200000</v>
      </c>
      <c r="C12" s="3">
        <f>C4*C8</f>
        <v>366800000</v>
      </c>
      <c r="E12">
        <v>9</v>
      </c>
      <c r="F12" s="2">
        <f t="shared" si="16"/>
        <v>385440000</v>
      </c>
      <c r="G12" s="2">
        <f t="shared" si="17"/>
        <v>19600000</v>
      </c>
      <c r="H12" s="2">
        <f t="shared" si="0"/>
        <v>365840000</v>
      </c>
      <c r="I12" s="2">
        <f t="shared" si="10"/>
        <v>64289060.752000012</v>
      </c>
      <c r="J12" s="2">
        <f t="shared" si="6"/>
        <v>19286718.225600004</v>
      </c>
      <c r="K12" s="2">
        <f t="shared" si="7"/>
        <v>346553281.7744</v>
      </c>
      <c r="L12" s="2">
        <f t="shared" si="11"/>
        <v>93569386.079088002</v>
      </c>
      <c r="M12" s="2">
        <f t="shared" si="12"/>
        <v>272270613.92091203</v>
      </c>
      <c r="N12" s="2">
        <f t="shared" si="2"/>
        <v>207219719.59830177</v>
      </c>
      <c r="O12" s="2"/>
      <c r="P12">
        <v>9</v>
      </c>
      <c r="Q12" s="3">
        <f t="shared" si="18"/>
        <v>385440000</v>
      </c>
      <c r="R12" s="6">
        <f>$C$13+$C$6*$A$18*$C$10+50*'Carbon Tax'!$B$6</f>
        <v>146812382.71938735</v>
      </c>
      <c r="S12" s="3">
        <f t="shared" si="3"/>
        <v>238627617.28061265</v>
      </c>
      <c r="T12" s="7">
        <f t="shared" si="15"/>
        <v>36721417.236328125</v>
      </c>
      <c r="U12" s="7">
        <f t="shared" si="8"/>
        <v>9180354.3090820313</v>
      </c>
      <c r="V12" s="7">
        <f t="shared" si="9"/>
        <v>229447262.97153062</v>
      </c>
      <c r="W12" s="7">
        <f t="shared" si="13"/>
        <v>61950761.002313271</v>
      </c>
      <c r="X12" s="11">
        <f t="shared" si="14"/>
        <v>176676856.27829939</v>
      </c>
      <c r="Y12" s="7">
        <f t="shared" si="5"/>
        <v>134465222.26645157</v>
      </c>
    </row>
    <row r="13" spans="1:25">
      <c r="A13" t="s">
        <v>20</v>
      </c>
      <c r="B13" s="1">
        <f>B5*B8</f>
        <v>19600000</v>
      </c>
      <c r="C13" s="1">
        <f>C5*C8</f>
        <v>5268000</v>
      </c>
      <c r="E13">
        <v>10</v>
      </c>
      <c r="F13" s="2">
        <f t="shared" si="16"/>
        <v>385440000</v>
      </c>
      <c r="G13" s="2">
        <f t="shared" si="17"/>
        <v>19600000</v>
      </c>
      <c r="H13" s="2">
        <f t="shared" si="0"/>
        <v>365840000</v>
      </c>
      <c r="I13" s="2">
        <f t="shared" si="10"/>
        <v>45002342.526400007</v>
      </c>
      <c r="J13" s="2">
        <f t="shared" si="6"/>
        <v>13500702.757920003</v>
      </c>
      <c r="K13" s="2">
        <f t="shared" si="7"/>
        <v>352339297.24207997</v>
      </c>
      <c r="L13" s="2">
        <f t="shared" si="11"/>
        <v>95131610.255361602</v>
      </c>
      <c r="M13" s="2">
        <f t="shared" si="12"/>
        <v>270708389.74463838</v>
      </c>
      <c r="N13" s="2">
        <f t="shared" si="2"/>
        <v>199874604.20827442</v>
      </c>
      <c r="O13" s="2"/>
      <c r="P13">
        <v>10</v>
      </c>
      <c r="Q13" s="3">
        <f t="shared" si="18"/>
        <v>385440000</v>
      </c>
      <c r="R13" s="6">
        <f>$C$13+$C$6*$A$18*$C$10+50*'Carbon Tax'!$B$6</f>
        <v>146812382.71938735</v>
      </c>
      <c r="S13" s="3">
        <f t="shared" si="3"/>
        <v>238627617.28061265</v>
      </c>
      <c r="T13" s="7">
        <f t="shared" si="15"/>
        <v>27541062.927246094</v>
      </c>
      <c r="U13" s="7">
        <f t="shared" si="8"/>
        <v>6885265.7318115234</v>
      </c>
      <c r="V13" s="7">
        <f t="shared" si="9"/>
        <v>231742351.54880112</v>
      </c>
      <c r="W13" s="7">
        <f t="shared" si="13"/>
        <v>62570434.918176308</v>
      </c>
      <c r="X13" s="11">
        <f t="shared" si="14"/>
        <v>176057182.36243635</v>
      </c>
      <c r="Y13" s="7">
        <f t="shared" si="5"/>
        <v>129989911.56465594</v>
      </c>
    </row>
    <row r="14" spans="1:25">
      <c r="A14" t="s">
        <v>53</v>
      </c>
      <c r="B14" s="2">
        <f>$B$12*(1-$B$28)^($B$21-1)</f>
        <v>12316.577423168173</v>
      </c>
      <c r="C14" s="2">
        <f>$C$12*(1-$B$29)^($C$21-1)</f>
        <v>65.72605261628695</v>
      </c>
      <c r="E14">
        <v>11</v>
      </c>
      <c r="F14" s="2">
        <f t="shared" si="16"/>
        <v>385440000</v>
      </c>
      <c r="G14" s="2">
        <f t="shared" si="17"/>
        <v>19600000</v>
      </c>
      <c r="H14" s="2">
        <f t="shared" si="0"/>
        <v>365840000</v>
      </c>
      <c r="I14" s="2">
        <f t="shared" si="10"/>
        <v>31501639.768480003</v>
      </c>
      <c r="J14" s="2">
        <f t="shared" si="6"/>
        <v>9450491.9305440001</v>
      </c>
      <c r="K14" s="2">
        <f t="shared" si="7"/>
        <v>356389508.06945598</v>
      </c>
      <c r="L14" s="2">
        <f t="shared" si="11"/>
        <v>96225167.178753123</v>
      </c>
      <c r="M14" s="2">
        <f t="shared" si="12"/>
        <v>269614832.82124686</v>
      </c>
      <c r="N14" s="2">
        <f t="shared" si="2"/>
        <v>193119119.43306479</v>
      </c>
      <c r="O14" s="2"/>
      <c r="P14">
        <v>11</v>
      </c>
      <c r="Q14" s="3">
        <f t="shared" si="18"/>
        <v>385440000</v>
      </c>
      <c r="R14" s="6">
        <f>$C$13+$C$6*$A$18*$C$10+50*'Carbon Tax'!$B$6</f>
        <v>146812382.71938735</v>
      </c>
      <c r="S14" s="3">
        <f t="shared" si="3"/>
        <v>238627617.28061265</v>
      </c>
      <c r="T14" s="7">
        <f t="shared" si="15"/>
        <v>20655797.19543457</v>
      </c>
      <c r="U14" s="7">
        <f t="shared" si="8"/>
        <v>5163949.2988586426</v>
      </c>
      <c r="V14" s="7">
        <f t="shared" si="9"/>
        <v>233463667.981754</v>
      </c>
      <c r="W14" s="7">
        <f t="shared" si="13"/>
        <v>63035190.355073586</v>
      </c>
      <c r="X14" s="11">
        <f t="shared" si="14"/>
        <v>175592426.92553908</v>
      </c>
      <c r="Y14" s="7">
        <f t="shared" si="5"/>
        <v>125772957.34117565</v>
      </c>
    </row>
    <row r="15" spans="1:25">
      <c r="A15" t="s">
        <v>21</v>
      </c>
      <c r="B15">
        <v>0.27</v>
      </c>
      <c r="C15">
        <v>0.27</v>
      </c>
      <c r="E15">
        <v>12</v>
      </c>
      <c r="F15" s="2">
        <f t="shared" si="16"/>
        <v>385440000</v>
      </c>
      <c r="G15" s="2">
        <f t="shared" si="17"/>
        <v>19600000</v>
      </c>
      <c r="H15" s="2">
        <f t="shared" si="0"/>
        <v>365840000</v>
      </c>
      <c r="I15" s="2">
        <f t="shared" si="10"/>
        <v>22051147.837936003</v>
      </c>
      <c r="J15" s="2">
        <f t="shared" si="6"/>
        <v>6615344.3513808008</v>
      </c>
      <c r="K15" s="2">
        <f t="shared" si="7"/>
        <v>359224655.64861917</v>
      </c>
      <c r="L15" s="2">
        <f t="shared" si="11"/>
        <v>96990657.025127187</v>
      </c>
      <c r="M15" s="2">
        <f t="shared" si="12"/>
        <v>268849342.97487283</v>
      </c>
      <c r="N15" s="2">
        <f t="shared" si="2"/>
        <v>186816856.85836774</v>
      </c>
      <c r="O15" s="2"/>
      <c r="P15">
        <v>12</v>
      </c>
      <c r="Q15" s="3">
        <f t="shared" si="18"/>
        <v>385440000</v>
      </c>
      <c r="R15" s="6">
        <f>$C$13+$C$6*$A$18*$C$10+50*'Carbon Tax'!$B$6</f>
        <v>146812382.71938735</v>
      </c>
      <c r="S15" s="3">
        <f t="shared" si="3"/>
        <v>238627617.28061265</v>
      </c>
      <c r="T15" s="7">
        <f t="shared" si="15"/>
        <v>15491847.896575928</v>
      </c>
      <c r="U15" s="7">
        <f t="shared" si="8"/>
        <v>3872961.9741439819</v>
      </c>
      <c r="V15" s="7">
        <f t="shared" si="9"/>
        <v>234754655.30646867</v>
      </c>
      <c r="W15" s="7">
        <f t="shared" si="13"/>
        <v>63383756.932746544</v>
      </c>
      <c r="X15" s="11">
        <f t="shared" si="14"/>
        <v>175243860.34786612</v>
      </c>
      <c r="Y15" s="7">
        <f t="shared" si="5"/>
        <v>121772688.04772528</v>
      </c>
    </row>
    <row r="16" spans="1:25">
      <c r="A16" t="s">
        <v>22</v>
      </c>
      <c r="B16">
        <v>3.0800000000000001E-2</v>
      </c>
      <c r="E16">
        <v>13</v>
      </c>
      <c r="F16" s="2">
        <f t="shared" si="16"/>
        <v>385440000</v>
      </c>
      <c r="G16" s="2">
        <f t="shared" si="17"/>
        <v>19600000</v>
      </c>
      <c r="H16" s="2">
        <f t="shared" si="0"/>
        <v>365840000</v>
      </c>
      <c r="I16" s="2">
        <f t="shared" si="10"/>
        <v>15435803.486555202</v>
      </c>
      <c r="J16" s="2">
        <f t="shared" si="6"/>
        <v>4630741.04596656</v>
      </c>
      <c r="K16" s="2">
        <f t="shared" si="7"/>
        <v>361209258.95403343</v>
      </c>
      <c r="L16" s="2">
        <f t="shared" si="11"/>
        <v>97526499.917589039</v>
      </c>
      <c r="M16" s="2">
        <f t="shared" si="12"/>
        <v>268313500.08241096</v>
      </c>
      <c r="N16" s="2">
        <f t="shared" si="2"/>
        <v>180873605.6367113</v>
      </c>
      <c r="O16" s="2"/>
      <c r="P16">
        <v>13</v>
      </c>
      <c r="Q16" s="3">
        <f t="shared" si="18"/>
        <v>385440000</v>
      </c>
      <c r="R16" s="6">
        <f>$C$13+$C$6*$A$18*$C$10+50*'Carbon Tax'!$B$6</f>
        <v>146812382.71938735</v>
      </c>
      <c r="S16" s="3">
        <f t="shared" si="3"/>
        <v>238627617.28061265</v>
      </c>
      <c r="T16" s="7">
        <f t="shared" si="15"/>
        <v>11618885.922431946</v>
      </c>
      <c r="U16" s="7">
        <f t="shared" si="8"/>
        <v>2904721.4806079865</v>
      </c>
      <c r="V16" s="7">
        <f t="shared" si="9"/>
        <v>235722895.80000466</v>
      </c>
      <c r="W16" s="7">
        <f t="shared" si="13"/>
        <v>63645181.866001263</v>
      </c>
      <c r="X16" s="11">
        <f t="shared" si="14"/>
        <v>174982435.4146114</v>
      </c>
      <c r="Y16" s="7">
        <f t="shared" si="5"/>
        <v>117957926.10812613</v>
      </c>
    </row>
    <row r="17" spans="1:25">
      <c r="A17" t="s">
        <v>24</v>
      </c>
      <c r="B17" t="s">
        <v>25</v>
      </c>
      <c r="E17">
        <v>14</v>
      </c>
      <c r="F17" s="2">
        <f t="shared" si="16"/>
        <v>385440000</v>
      </c>
      <c r="G17" s="2">
        <f t="shared" si="17"/>
        <v>19600000</v>
      </c>
      <c r="H17" s="2">
        <f t="shared" si="0"/>
        <v>365840000</v>
      </c>
      <c r="I17" s="2">
        <f t="shared" si="10"/>
        <v>10805062.440588642</v>
      </c>
      <c r="J17" s="2">
        <f t="shared" si="6"/>
        <v>3241518.7321765926</v>
      </c>
      <c r="K17" s="2">
        <f t="shared" si="7"/>
        <v>362598481.2678234</v>
      </c>
      <c r="L17" s="2">
        <f t="shared" si="11"/>
        <v>97901589.94231233</v>
      </c>
      <c r="M17" s="2">
        <f t="shared" si="12"/>
        <v>267938410.05768767</v>
      </c>
      <c r="N17" s="2">
        <f t="shared" si="2"/>
        <v>175223857.77340978</v>
      </c>
      <c r="O17" s="2"/>
      <c r="P17">
        <v>14</v>
      </c>
      <c r="Q17" s="3">
        <f t="shared" si="18"/>
        <v>385440000</v>
      </c>
      <c r="R17" s="6">
        <f>$C$13+$C$6*$A$18*$C$10+50*'Carbon Tax'!$B$6</f>
        <v>146812382.71938735</v>
      </c>
      <c r="S17" s="3">
        <f t="shared" si="3"/>
        <v>238627617.28061265</v>
      </c>
      <c r="T17" s="7">
        <f t="shared" si="15"/>
        <v>8714164.4418239594</v>
      </c>
      <c r="U17" s="7">
        <f t="shared" si="8"/>
        <v>2178541.1104559898</v>
      </c>
      <c r="V17" s="7">
        <f t="shared" si="9"/>
        <v>236449076.17015666</v>
      </c>
      <c r="W17" s="7">
        <f t="shared" si="13"/>
        <v>63841250.565942302</v>
      </c>
      <c r="X17" s="11">
        <f t="shared" si="14"/>
        <v>174786366.71467036</v>
      </c>
      <c r="Y17" s="7">
        <f t="shared" si="5"/>
        <v>114305154.88745511</v>
      </c>
    </row>
    <row r="18" spans="1:25">
      <c r="A18">
        <f>17.7694/100</f>
        <v>0.17769400000000002</v>
      </c>
      <c r="B18" t="s">
        <v>54</v>
      </c>
      <c r="E18">
        <v>15</v>
      </c>
      <c r="F18" s="2">
        <f t="shared" si="16"/>
        <v>385440000</v>
      </c>
      <c r="G18" s="2">
        <f t="shared" si="17"/>
        <v>19600000</v>
      </c>
      <c r="H18" s="2">
        <f t="shared" si="0"/>
        <v>365840000</v>
      </c>
      <c r="I18" s="2">
        <f t="shared" si="10"/>
        <v>7563543.7084120493</v>
      </c>
      <c r="J18" s="2">
        <f t="shared" si="6"/>
        <v>2269063.1125236149</v>
      </c>
      <c r="K18" s="2">
        <f t="shared" si="7"/>
        <v>363570936.88747638</v>
      </c>
      <c r="L18" s="2">
        <f t="shared" si="11"/>
        <v>98164152.959618628</v>
      </c>
      <c r="M18" s="2">
        <f t="shared" si="12"/>
        <v>267675847.04038137</v>
      </c>
      <c r="N18" s="2">
        <f t="shared" si="2"/>
        <v>169821642.67050827</v>
      </c>
      <c r="O18" s="2"/>
      <c r="P18">
        <v>15</v>
      </c>
      <c r="Q18" s="3">
        <f t="shared" si="18"/>
        <v>385440000</v>
      </c>
      <c r="R18" s="6">
        <f>$C$13+$C$6*$A$18*$C$10+50*'Carbon Tax'!$B$6</f>
        <v>146812382.71938735</v>
      </c>
      <c r="S18" s="3">
        <f t="shared" si="3"/>
        <v>238627617.28061265</v>
      </c>
      <c r="T18" s="7">
        <f t="shared" si="15"/>
        <v>6535623.3313679695</v>
      </c>
      <c r="U18" s="7">
        <f t="shared" si="8"/>
        <v>1633905.8328419924</v>
      </c>
      <c r="V18" s="7">
        <f t="shared" si="9"/>
        <v>236993711.44777066</v>
      </c>
      <c r="W18" s="7">
        <f t="shared" si="13"/>
        <v>63988302.090898082</v>
      </c>
      <c r="X18" s="11">
        <f t="shared" si="14"/>
        <v>174639315.18971455</v>
      </c>
      <c r="Y18" s="7">
        <f t="shared" si="5"/>
        <v>110796456.64069144</v>
      </c>
    </row>
    <row r="19" spans="1:25">
      <c r="A19">
        <f>17.7694/100</f>
        <v>0.17769400000000002</v>
      </c>
      <c r="B19" t="s">
        <v>26</v>
      </c>
      <c r="C19" t="s">
        <v>28</v>
      </c>
      <c r="E19">
        <v>16</v>
      </c>
      <c r="F19" s="2">
        <f t="shared" si="16"/>
        <v>385440000</v>
      </c>
      <c r="G19" s="2">
        <f t="shared" si="17"/>
        <v>19600000</v>
      </c>
      <c r="H19" s="2">
        <f t="shared" si="0"/>
        <v>365840000</v>
      </c>
      <c r="I19" s="2">
        <f t="shared" si="10"/>
        <v>5294480.595888434</v>
      </c>
      <c r="J19" s="2">
        <f t="shared" si="6"/>
        <v>1588344.1787665302</v>
      </c>
      <c r="K19" s="2">
        <f t="shared" si="7"/>
        <v>364251655.82123345</v>
      </c>
      <c r="L19" s="2">
        <f t="shared" si="11"/>
        <v>98347947.071733043</v>
      </c>
      <c r="M19" s="2">
        <f t="shared" si="12"/>
        <v>267492052.92826694</v>
      </c>
      <c r="N19" s="2">
        <f t="shared" si="2"/>
        <v>164634301.64355102</v>
      </c>
      <c r="O19" s="2"/>
      <c r="P19">
        <v>16</v>
      </c>
      <c r="Q19" s="3">
        <f t="shared" si="18"/>
        <v>385440000</v>
      </c>
      <c r="R19" s="6">
        <f>$C$13+$C$6*$A$18*$C$10+50*'Carbon Tax'!$B$6</f>
        <v>146812382.71938735</v>
      </c>
      <c r="S19" s="3">
        <f t="shared" si="3"/>
        <v>238627617.28061265</v>
      </c>
      <c r="T19" s="7">
        <f t="shared" si="15"/>
        <v>4901717.4985259771</v>
      </c>
      <c r="U19" s="7">
        <f t="shared" si="8"/>
        <v>1225429.3746314943</v>
      </c>
      <c r="V19" s="7">
        <f t="shared" si="9"/>
        <v>237402187.90598115</v>
      </c>
      <c r="W19" s="7">
        <f t="shared" si="13"/>
        <v>64098590.734614916</v>
      </c>
      <c r="X19" s="11">
        <f t="shared" si="14"/>
        <v>174529026.54599774</v>
      </c>
      <c r="Y19" s="7">
        <f t="shared" si="5"/>
        <v>107418011.44138865</v>
      </c>
    </row>
    <row r="20" spans="1:25">
      <c r="A20">
        <f>10.558/100</f>
        <v>0.10557999999999999</v>
      </c>
      <c r="B20" t="s">
        <v>26</v>
      </c>
      <c r="C20" t="s">
        <v>27</v>
      </c>
      <c r="E20">
        <v>17</v>
      </c>
      <c r="F20" s="2">
        <f t="shared" si="16"/>
        <v>385440000</v>
      </c>
      <c r="G20" s="2">
        <f t="shared" si="17"/>
        <v>19600000</v>
      </c>
      <c r="H20" s="2">
        <f t="shared" si="0"/>
        <v>365840000</v>
      </c>
      <c r="I20" s="2">
        <f t="shared" si="10"/>
        <v>3706136.417121904</v>
      </c>
      <c r="J20" s="2">
        <f t="shared" si="6"/>
        <v>1111840.9251365711</v>
      </c>
      <c r="K20" s="2">
        <f t="shared" si="7"/>
        <v>364728159.07486343</v>
      </c>
      <c r="L20" s="2">
        <f t="shared" si="11"/>
        <v>98476602.950213134</v>
      </c>
      <c r="M20" s="2">
        <f t="shared" si="12"/>
        <v>267363397.04978687</v>
      </c>
      <c r="N20" s="2">
        <f t="shared" si="2"/>
        <v>159638258.96830225</v>
      </c>
      <c r="O20" s="2"/>
      <c r="P20">
        <v>17</v>
      </c>
      <c r="Q20" s="3">
        <f t="shared" si="18"/>
        <v>385440000</v>
      </c>
      <c r="R20" s="6">
        <f>$C$13+$C$6*$A$18*$C$10+50*'Carbon Tax'!$B$6</f>
        <v>146812382.71938735</v>
      </c>
      <c r="S20" s="3">
        <f t="shared" si="3"/>
        <v>238627617.28061265</v>
      </c>
      <c r="T20" s="7">
        <f t="shared" si="15"/>
        <v>3676288.1238944829</v>
      </c>
      <c r="U20" s="7">
        <f t="shared" si="8"/>
        <v>919072.03097362071</v>
      </c>
      <c r="V20" s="7">
        <f t="shared" si="9"/>
        <v>237708545.24963903</v>
      </c>
      <c r="W20" s="7">
        <f t="shared" si="13"/>
        <v>64181307.21740254</v>
      </c>
      <c r="X20" s="11">
        <f t="shared" si="14"/>
        <v>174446310.0632101</v>
      </c>
      <c r="Y20" s="7">
        <f t="shared" si="5"/>
        <v>104159004.29612559</v>
      </c>
    </row>
    <row r="21" spans="1:25">
      <c r="A21" t="s">
        <v>29</v>
      </c>
      <c r="B21">
        <v>33</v>
      </c>
      <c r="C21">
        <v>55</v>
      </c>
      <c r="E21">
        <v>18</v>
      </c>
      <c r="F21" s="2">
        <f t="shared" si="16"/>
        <v>385440000</v>
      </c>
      <c r="G21" s="2">
        <f t="shared" si="17"/>
        <v>19600000</v>
      </c>
      <c r="H21" s="2">
        <f t="shared" si="0"/>
        <v>365840000</v>
      </c>
      <c r="I21" s="2">
        <f t="shared" si="10"/>
        <v>2594295.4919853332</v>
      </c>
      <c r="J21" s="2">
        <f t="shared" si="6"/>
        <v>778288.64759559988</v>
      </c>
      <c r="K21" s="2">
        <f t="shared" si="7"/>
        <v>365061711.35240442</v>
      </c>
      <c r="L21" s="2">
        <f t="shared" si="11"/>
        <v>98566662.065149203</v>
      </c>
      <c r="M21" s="2">
        <f t="shared" si="12"/>
        <v>267273337.93485081</v>
      </c>
      <c r="N21" s="2">
        <f t="shared" si="2"/>
        <v>154816148.77904168</v>
      </c>
      <c r="O21" s="2"/>
      <c r="P21">
        <v>18</v>
      </c>
      <c r="Q21" s="3">
        <f t="shared" si="18"/>
        <v>385440000</v>
      </c>
      <c r="R21" s="6">
        <f>$C$13+$C$6*$A$18*$C$10+50*'Carbon Tax'!$B$6</f>
        <v>146812382.71938735</v>
      </c>
      <c r="S21" s="3">
        <f t="shared" si="3"/>
        <v>238627617.28061265</v>
      </c>
      <c r="T21" s="7">
        <f t="shared" si="15"/>
        <v>2757216.0929208621</v>
      </c>
      <c r="U21" s="7">
        <f t="shared" si="8"/>
        <v>689304.02323021553</v>
      </c>
      <c r="V21" s="7">
        <f t="shared" si="9"/>
        <v>237938313.25738242</v>
      </c>
      <c r="W21" s="7">
        <f t="shared" si="13"/>
        <v>64243344.579493262</v>
      </c>
      <c r="X21" s="11">
        <f t="shared" si="14"/>
        <v>174384272.70111939</v>
      </c>
      <c r="Y21" s="7">
        <f t="shared" si="5"/>
        <v>101010829.27247405</v>
      </c>
    </row>
    <row r="22" spans="1:25">
      <c r="A22" t="s">
        <v>30</v>
      </c>
      <c r="B22">
        <v>165</v>
      </c>
      <c r="E22">
        <v>19</v>
      </c>
      <c r="F22" s="2">
        <f t="shared" si="16"/>
        <v>385440000</v>
      </c>
      <c r="G22" s="2">
        <f t="shared" si="17"/>
        <v>19600000</v>
      </c>
      <c r="H22" s="2">
        <f t="shared" si="0"/>
        <v>365840000</v>
      </c>
      <c r="I22" s="2">
        <f t="shared" si="10"/>
        <v>1816006.8443897334</v>
      </c>
      <c r="J22" s="2">
        <f t="shared" si="6"/>
        <v>544802.05331691995</v>
      </c>
      <c r="K22" s="2">
        <f t="shared" si="7"/>
        <v>365295197.94668311</v>
      </c>
      <c r="L22" s="2">
        <f t="shared" si="11"/>
        <v>98629703.445604444</v>
      </c>
      <c r="M22" s="2">
        <f t="shared" si="12"/>
        <v>267210296.55439556</v>
      </c>
      <c r="N22" s="2">
        <f t="shared" si="2"/>
        <v>150154862.74268809</v>
      </c>
      <c r="O22" s="2"/>
      <c r="P22">
        <v>19</v>
      </c>
      <c r="Q22" s="3">
        <f t="shared" si="18"/>
        <v>385440000</v>
      </c>
      <c r="R22" s="6">
        <f>$C$13+$C$6*$A$18*$C$10+50*'Carbon Tax'!$B$6</f>
        <v>146812382.71938735</v>
      </c>
      <c r="S22" s="3">
        <f t="shared" si="3"/>
        <v>238627617.28061265</v>
      </c>
      <c r="T22" s="7">
        <f t="shared" si="15"/>
        <v>2067912.0696906466</v>
      </c>
      <c r="U22" s="7">
        <f t="shared" si="8"/>
        <v>516978.01742266165</v>
      </c>
      <c r="V22" s="7">
        <f t="shared" si="9"/>
        <v>238110639.26318997</v>
      </c>
      <c r="W22" s="7">
        <f t="shared" si="13"/>
        <v>64289872.601061299</v>
      </c>
      <c r="X22" s="11">
        <f t="shared" si="14"/>
        <v>174337744.67955136</v>
      </c>
      <c r="Y22" s="7">
        <f t="shared" si="5"/>
        <v>97966509.751988143</v>
      </c>
    </row>
    <row r="23" spans="1:25">
      <c r="A23" t="s">
        <v>31</v>
      </c>
      <c r="B23">
        <v>5</v>
      </c>
      <c r="C23">
        <v>3</v>
      </c>
      <c r="E23">
        <v>20</v>
      </c>
      <c r="F23" s="2">
        <f t="shared" si="16"/>
        <v>385440000</v>
      </c>
      <c r="G23" s="2">
        <f t="shared" si="17"/>
        <v>19600000</v>
      </c>
      <c r="H23" s="2">
        <f t="shared" si="0"/>
        <v>365840000</v>
      </c>
      <c r="I23" s="2">
        <f t="shared" si="10"/>
        <v>1271204.7910728133</v>
      </c>
      <c r="J23" s="2">
        <f t="shared" si="6"/>
        <v>381361.43732184399</v>
      </c>
      <c r="K23" s="2">
        <f t="shared" si="7"/>
        <v>365458638.56267816</v>
      </c>
      <c r="L23" s="2">
        <f t="shared" si="11"/>
        <v>98673832.41192311</v>
      </c>
      <c r="M23" s="2">
        <f t="shared" si="12"/>
        <v>267166167.58807689</v>
      </c>
      <c r="N23" s="2">
        <f t="shared" si="2"/>
        <v>145644223.0545302</v>
      </c>
      <c r="O23" s="2"/>
      <c r="P23">
        <v>20</v>
      </c>
      <c r="Q23" s="3">
        <f t="shared" si="18"/>
        <v>385440000</v>
      </c>
      <c r="R23" s="6">
        <f>$C$13+$C$6*$A$18*$C$10+50*'Carbon Tax'!$B$6</f>
        <v>146812382.71938735</v>
      </c>
      <c r="S23" s="3">
        <f t="shared" si="3"/>
        <v>238627617.28061265</v>
      </c>
      <c r="T23" s="7">
        <f t="shared" si="15"/>
        <v>1550934.052267985</v>
      </c>
      <c r="U23" s="7">
        <f t="shared" si="8"/>
        <v>387733.51306699624</v>
      </c>
      <c r="V23" s="7">
        <f t="shared" si="9"/>
        <v>238239883.76754564</v>
      </c>
      <c r="W23" s="7">
        <f t="shared" si="13"/>
        <v>64324768.617237329</v>
      </c>
      <c r="X23" s="11">
        <f t="shared" si="14"/>
        <v>174302848.66337532</v>
      </c>
      <c r="Y23" s="7">
        <f t="shared" si="5"/>
        <v>95020275.953913838</v>
      </c>
    </row>
    <row r="24" spans="1:25">
      <c r="A24" t="s">
        <v>9</v>
      </c>
      <c r="B24" s="2">
        <f>N1</f>
        <v>0</v>
      </c>
      <c r="C24" s="2">
        <f>Y59</f>
        <v>0</v>
      </c>
      <c r="E24">
        <v>21</v>
      </c>
      <c r="F24" s="2">
        <f t="shared" si="16"/>
        <v>385440000</v>
      </c>
      <c r="G24" s="2">
        <f t="shared" si="17"/>
        <v>19600000</v>
      </c>
      <c r="H24" s="2">
        <f t="shared" si="0"/>
        <v>365840000</v>
      </c>
      <c r="I24" s="2">
        <f t="shared" si="10"/>
        <v>889843.35375096928</v>
      </c>
      <c r="J24" s="2">
        <f t="shared" si="6"/>
        <v>266953.00612529076</v>
      </c>
      <c r="K24" s="2">
        <f t="shared" si="7"/>
        <v>365573046.99387473</v>
      </c>
      <c r="L24" s="2">
        <f t="shared" si="11"/>
        <v>98704722.688346177</v>
      </c>
      <c r="M24" s="2">
        <f t="shared" si="12"/>
        <v>267135277.31165382</v>
      </c>
      <c r="N24" s="2">
        <f t="shared" si="2"/>
        <v>141276080.11615819</v>
      </c>
      <c r="O24" s="2"/>
      <c r="P24">
        <v>21</v>
      </c>
      <c r="Q24" s="3">
        <f t="shared" si="18"/>
        <v>385440000</v>
      </c>
      <c r="R24" s="6">
        <f>$C$13+$C$6*$A$18*$C$10+50*'Carbon Tax'!$B$6</f>
        <v>146812382.71938735</v>
      </c>
      <c r="S24" s="3">
        <f t="shared" si="3"/>
        <v>238627617.28061265</v>
      </c>
      <c r="T24" s="7">
        <f t="shared" si="15"/>
        <v>1163200.5392009886</v>
      </c>
      <c r="U24" s="7">
        <f t="shared" si="8"/>
        <v>290800.13480024715</v>
      </c>
      <c r="V24" s="7">
        <f t="shared" si="9"/>
        <v>238336817.14581239</v>
      </c>
      <c r="W24" s="7">
        <f t="shared" si="13"/>
        <v>64350940.629369348</v>
      </c>
      <c r="X24" s="11">
        <f t="shared" si="14"/>
        <v>174276676.6512433</v>
      </c>
      <c r="Y24" s="7">
        <f t="shared" si="5"/>
        <v>92167256.907198235</v>
      </c>
    </row>
    <row r="25" spans="1:25">
      <c r="A25" t="s">
        <v>32</v>
      </c>
      <c r="B25" s="14">
        <f>N169</f>
        <v>6078867375.5461721</v>
      </c>
      <c r="C25" s="14">
        <f>Y169</f>
        <v>4293123249.055706</v>
      </c>
      <c r="E25">
        <v>22</v>
      </c>
      <c r="F25" s="2">
        <f t="shared" si="16"/>
        <v>385440000</v>
      </c>
      <c r="G25" s="2">
        <f t="shared" si="17"/>
        <v>19600000</v>
      </c>
      <c r="H25" s="2">
        <f t="shared" si="0"/>
        <v>365840000</v>
      </c>
      <c r="I25" s="2">
        <f t="shared" si="10"/>
        <v>622890.34762567852</v>
      </c>
      <c r="J25" s="2">
        <f t="shared" si="6"/>
        <v>186867.10428770355</v>
      </c>
      <c r="K25" s="2">
        <f t="shared" si="7"/>
        <v>365653132.89571232</v>
      </c>
      <c r="L25" s="2">
        <f t="shared" si="11"/>
        <v>98726345.88184233</v>
      </c>
      <c r="M25" s="2">
        <f t="shared" si="12"/>
        <v>267113654.11815768</v>
      </c>
      <c r="N25" s="2">
        <f t="shared" si="2"/>
        <v>137043698.64346144</v>
      </c>
      <c r="O25" s="2"/>
      <c r="P25">
        <v>22</v>
      </c>
      <c r="Q25" s="3">
        <f t="shared" si="18"/>
        <v>385440000</v>
      </c>
      <c r="R25" s="6">
        <f>$C$13+$C$6*$A$18*$C$10+50*'Carbon Tax'!$B$6</f>
        <v>146812382.71938735</v>
      </c>
      <c r="S25" s="3">
        <f t="shared" si="3"/>
        <v>238627617.28061265</v>
      </c>
      <c r="T25" s="7">
        <f t="shared" si="15"/>
        <v>872400.40440074145</v>
      </c>
      <c r="U25" s="7">
        <f t="shared" si="8"/>
        <v>218100.10110018536</v>
      </c>
      <c r="V25" s="7">
        <f t="shared" si="9"/>
        <v>238409517.17951247</v>
      </c>
      <c r="W25" s="7">
        <f t="shared" si="13"/>
        <v>64370569.63846837</v>
      </c>
      <c r="X25" s="11">
        <f t="shared" si="14"/>
        <v>174257047.64214426</v>
      </c>
      <c r="Y25" s="7">
        <f t="shared" si="5"/>
        <v>89403255.713036805</v>
      </c>
    </row>
    <row r="26" spans="1:25">
      <c r="A26" t="s">
        <v>33</v>
      </c>
      <c r="B26" s="9">
        <f>MIRR(M3:M168,B16,B16)</f>
        <v>4.0648568139646901E-2</v>
      </c>
      <c r="C26" s="9">
        <f>MIRR(X3:X168,B16,B16)</f>
        <v>4.6156065037307847E-2</v>
      </c>
      <c r="E26">
        <v>23</v>
      </c>
      <c r="F26" s="2">
        <f t="shared" si="16"/>
        <v>385440000</v>
      </c>
      <c r="G26" s="2">
        <f t="shared" si="17"/>
        <v>19600000</v>
      </c>
      <c r="H26" s="2">
        <f t="shared" si="0"/>
        <v>365840000</v>
      </c>
      <c r="I26" s="2">
        <f t="shared" si="10"/>
        <v>436023.243337975</v>
      </c>
      <c r="J26" s="2">
        <f t="shared" si="6"/>
        <v>130806.9730013925</v>
      </c>
      <c r="K26" s="2">
        <f t="shared" si="7"/>
        <v>365709193.02699858</v>
      </c>
      <c r="L26" s="2">
        <f t="shared" si="11"/>
        <v>98741482.117289618</v>
      </c>
      <c r="M26" s="2">
        <f t="shared" si="12"/>
        <v>267098517.8827104</v>
      </c>
      <c r="N26" s="2">
        <f t="shared" si="2"/>
        <v>132941339.6769727</v>
      </c>
      <c r="O26" s="2"/>
      <c r="P26">
        <v>23</v>
      </c>
      <c r="Q26" s="3">
        <f t="shared" si="18"/>
        <v>385440000</v>
      </c>
      <c r="R26" s="6">
        <f>$C$13+$C$6*$A$18*$C$10+50*'Carbon Tax'!$B$6</f>
        <v>146812382.71938735</v>
      </c>
      <c r="S26" s="3">
        <f t="shared" si="3"/>
        <v>238627617.28061265</v>
      </c>
      <c r="T26" s="7">
        <f t="shared" si="15"/>
        <v>654300.30330055603</v>
      </c>
      <c r="U26" s="7">
        <f t="shared" si="8"/>
        <v>163575.07582513901</v>
      </c>
      <c r="V26" s="7">
        <f t="shared" si="9"/>
        <v>238464042.20478752</v>
      </c>
      <c r="W26" s="7">
        <f t="shared" si="13"/>
        <v>64385291.395292632</v>
      </c>
      <c r="X26" s="11">
        <f t="shared" si="14"/>
        <v>174242325.88532001</v>
      </c>
      <c r="Y26" s="7">
        <f t="shared" si="5"/>
        <v>86724585.427306607</v>
      </c>
    </row>
    <row r="27" spans="1:25">
      <c r="A27" t="s">
        <v>55</v>
      </c>
      <c r="B27" s="4">
        <f>IRR(M3:M168,0)</f>
        <v>0.16883543588830752</v>
      </c>
      <c r="C27" s="4">
        <f>IRR(X3:X168,0)</f>
        <v>0.20388821835925408</v>
      </c>
      <c r="E27">
        <v>24</v>
      </c>
      <c r="F27" s="2">
        <f t="shared" si="16"/>
        <v>385440000</v>
      </c>
      <c r="G27" s="2">
        <f t="shared" si="17"/>
        <v>19600000</v>
      </c>
      <c r="H27" s="2">
        <f t="shared" si="0"/>
        <v>365840000</v>
      </c>
      <c r="I27" s="2">
        <f t="shared" si="10"/>
        <v>305216.2703365825</v>
      </c>
      <c r="J27" s="2">
        <f t="shared" si="6"/>
        <v>91564.881100974744</v>
      </c>
      <c r="K27" s="2">
        <f t="shared" si="7"/>
        <v>365748435.11889905</v>
      </c>
      <c r="L27" s="2">
        <f t="shared" si="11"/>
        <v>98752077.482102752</v>
      </c>
      <c r="M27" s="2">
        <f t="shared" si="12"/>
        <v>267087922.51789725</v>
      </c>
      <c r="N27" s="2">
        <f t="shared" si="2"/>
        <v>128963975.65942657</v>
      </c>
      <c r="O27" s="2"/>
      <c r="P27">
        <v>24</v>
      </c>
      <c r="Q27" s="3">
        <f t="shared" si="18"/>
        <v>385440000</v>
      </c>
      <c r="R27" s="6">
        <f>$C$13+$C$6*$A$18*$C$10+50*'Carbon Tax'!$B$6</f>
        <v>146812382.71938735</v>
      </c>
      <c r="S27" s="3">
        <f t="shared" si="3"/>
        <v>238627617.28061265</v>
      </c>
      <c r="T27" s="7">
        <f t="shared" si="15"/>
        <v>490725.22747541702</v>
      </c>
      <c r="U27" s="7">
        <f t="shared" si="8"/>
        <v>122681.30686885426</v>
      </c>
      <c r="V27" s="7">
        <f t="shared" si="9"/>
        <v>238504935.9737438</v>
      </c>
      <c r="W27" s="7">
        <f t="shared" si="13"/>
        <v>64396332.712910831</v>
      </c>
      <c r="X27" s="11">
        <f t="shared" si="14"/>
        <v>174231284.56770182</v>
      </c>
      <c r="Y27" s="7">
        <f t="shared" si="5"/>
        <v>84127949.067386463</v>
      </c>
    </row>
    <row r="28" spans="1:25">
      <c r="A28" t="s">
        <v>56</v>
      </c>
      <c r="B28">
        <v>0.3</v>
      </c>
      <c r="C28" t="s">
        <v>57</v>
      </c>
      <c r="E28">
        <v>25</v>
      </c>
      <c r="F28" s="2">
        <f t="shared" si="16"/>
        <v>385440000</v>
      </c>
      <c r="G28" s="2">
        <f t="shared" si="17"/>
        <v>19600000</v>
      </c>
      <c r="H28" s="2">
        <f t="shared" si="0"/>
        <v>365840000</v>
      </c>
      <c r="I28" s="2">
        <f t="shared" si="10"/>
        <v>213651.38923560776</v>
      </c>
      <c r="J28" s="2">
        <f t="shared" si="6"/>
        <v>64095.416770682321</v>
      </c>
      <c r="K28" s="2">
        <f t="shared" si="7"/>
        <v>365775904.5832293</v>
      </c>
      <c r="L28" s="2">
        <f t="shared" si="11"/>
        <v>98759494.237471923</v>
      </c>
      <c r="M28" s="2">
        <f t="shared" si="12"/>
        <v>267080505.76252806</v>
      </c>
      <c r="N28" s="2">
        <f t="shared" si="2"/>
        <v>125107095.90920177</v>
      </c>
      <c r="O28" s="2"/>
      <c r="P28">
        <v>25</v>
      </c>
      <c r="Q28" s="3">
        <f t="shared" si="18"/>
        <v>385440000</v>
      </c>
      <c r="R28" s="6">
        <f>$C$13+$C$6*$A$18*$C$10+50*'Carbon Tax'!$B$6</f>
        <v>146812382.71938735</v>
      </c>
      <c r="S28" s="3">
        <f t="shared" si="3"/>
        <v>238627617.28061265</v>
      </c>
      <c r="T28" s="7">
        <f t="shared" si="15"/>
        <v>368043.92060656275</v>
      </c>
      <c r="U28" s="7">
        <f t="shared" si="8"/>
        <v>92010.980151640688</v>
      </c>
      <c r="V28" s="7">
        <f t="shared" si="9"/>
        <v>238535606.30046099</v>
      </c>
      <c r="W28" s="7">
        <f t="shared" si="13"/>
        <v>64404613.701124474</v>
      </c>
      <c r="X28" s="11">
        <f t="shared" si="14"/>
        <v>174223003.57948816</v>
      </c>
      <c r="Y28" s="7">
        <f t="shared" si="5"/>
        <v>81610351.740865722</v>
      </c>
    </row>
    <row r="29" spans="1:25">
      <c r="A29" t="s">
        <v>58</v>
      </c>
      <c r="B29">
        <v>0.25</v>
      </c>
      <c r="C29" t="s">
        <v>59</v>
      </c>
      <c r="E29">
        <v>26</v>
      </c>
      <c r="F29" s="2">
        <f t="shared" si="16"/>
        <v>385440000</v>
      </c>
      <c r="G29" s="2">
        <f t="shared" si="17"/>
        <v>19600000</v>
      </c>
      <c r="H29" s="2">
        <f t="shared" si="0"/>
        <v>365840000</v>
      </c>
      <c r="I29" s="2">
        <f t="shared" si="10"/>
        <v>149555.97246492543</v>
      </c>
      <c r="J29" s="2">
        <f t="shared" si="6"/>
        <v>44866.79173947763</v>
      </c>
      <c r="K29" s="2">
        <f t="shared" si="7"/>
        <v>365795133.20826054</v>
      </c>
      <c r="L29" s="2">
        <f t="shared" si="11"/>
        <v>98764685.966230348</v>
      </c>
      <c r="M29" s="2">
        <f t="shared" si="12"/>
        <v>267075314.03376967</v>
      </c>
      <c r="N29" s="2">
        <f t="shared" si="2"/>
        <v>121366573.51126084</v>
      </c>
      <c r="O29" s="2"/>
      <c r="P29">
        <v>26</v>
      </c>
      <c r="Q29" s="3">
        <f t="shared" si="18"/>
        <v>385440000</v>
      </c>
      <c r="R29" s="6">
        <f>$C$13+$C$6*$A$18*$C$10+50*'Carbon Tax'!$B$6</f>
        <v>146812382.71938735</v>
      </c>
      <c r="S29" s="3">
        <f t="shared" si="3"/>
        <v>238627617.28061265</v>
      </c>
      <c r="T29" s="7">
        <f t="shared" si="15"/>
        <v>276032.94045492203</v>
      </c>
      <c r="U29" s="7">
        <f t="shared" si="8"/>
        <v>69008.235113730509</v>
      </c>
      <c r="V29" s="7">
        <f t="shared" si="9"/>
        <v>238558609.04549891</v>
      </c>
      <c r="W29" s="7">
        <f t="shared" si="13"/>
        <v>64410824.442284711</v>
      </c>
      <c r="X29" s="11">
        <f t="shared" si="14"/>
        <v>174216792.83832794</v>
      </c>
      <c r="Y29" s="7">
        <f t="shared" si="5"/>
        <v>79169036.162718937</v>
      </c>
    </row>
    <row r="30" spans="1:25">
      <c r="A30">
        <v>1</v>
      </c>
      <c r="E30">
        <v>27</v>
      </c>
      <c r="F30" s="2">
        <f t="shared" si="16"/>
        <v>385440000</v>
      </c>
      <c r="G30" s="2">
        <f t="shared" si="17"/>
        <v>19600000</v>
      </c>
      <c r="H30" s="2">
        <f t="shared" si="0"/>
        <v>365840000</v>
      </c>
      <c r="I30" s="2">
        <f t="shared" si="10"/>
        <v>104689.1807254478</v>
      </c>
      <c r="J30" s="2">
        <f t="shared" si="6"/>
        <v>31406.754217634341</v>
      </c>
      <c r="K30" s="2">
        <f t="shared" si="7"/>
        <v>365808593.24578238</v>
      </c>
      <c r="L30" s="2">
        <f t="shared" si="11"/>
        <v>98768320.176361248</v>
      </c>
      <c r="M30" s="2">
        <f t="shared" si="12"/>
        <v>267071679.82363874</v>
      </c>
      <c r="N30" s="2">
        <f t="shared" si="2"/>
        <v>117738573.94589652</v>
      </c>
      <c r="O30" s="2"/>
      <c r="P30">
        <v>27</v>
      </c>
      <c r="Q30" s="3">
        <f t="shared" si="18"/>
        <v>385440000</v>
      </c>
      <c r="R30" s="6">
        <f>$C$13+$C$6*$A$18*$C$10+50*'Carbon Tax'!$B$6</f>
        <v>146812382.71938735</v>
      </c>
      <c r="S30" s="3">
        <f t="shared" si="3"/>
        <v>238627617.28061265</v>
      </c>
      <c r="T30" s="7">
        <f t="shared" si="15"/>
        <v>207024.70534119153</v>
      </c>
      <c r="U30" s="7">
        <f t="shared" si="8"/>
        <v>51756.176335297881</v>
      </c>
      <c r="V30" s="7">
        <f t="shared" si="9"/>
        <v>238575861.10427734</v>
      </c>
      <c r="W30" s="7">
        <f t="shared" si="13"/>
        <v>64415482.498154886</v>
      </c>
      <c r="X30" s="11">
        <f t="shared" si="14"/>
        <v>174212134.78245777</v>
      </c>
      <c r="Y30" s="7">
        <f t="shared" si="5"/>
        <v>76801435.206090346</v>
      </c>
    </row>
    <row r="31" spans="1:25">
      <c r="A31" t="s">
        <v>14</v>
      </c>
      <c r="B31" t="s">
        <v>66</v>
      </c>
      <c r="C31" t="s">
        <v>69</v>
      </c>
      <c r="E31">
        <v>28</v>
      </c>
      <c r="F31" s="2">
        <f t="shared" si="16"/>
        <v>385440000</v>
      </c>
      <c r="G31" s="2">
        <f t="shared" si="17"/>
        <v>19600000</v>
      </c>
      <c r="H31" s="2">
        <f t="shared" si="0"/>
        <v>365840000</v>
      </c>
      <c r="I31" s="2">
        <f t="shared" si="10"/>
        <v>73282.426507813463</v>
      </c>
      <c r="J31" s="2">
        <f t="shared" si="6"/>
        <v>21984.727952344037</v>
      </c>
      <c r="K31" s="2">
        <f t="shared" si="7"/>
        <v>365818015.27204764</v>
      </c>
      <c r="L31" s="2">
        <f t="shared" si="11"/>
        <v>98770864.123452872</v>
      </c>
      <c r="M31" s="2">
        <f t="shared" si="12"/>
        <v>267069135.87654713</v>
      </c>
      <c r="N31" s="2">
        <f t="shared" si="2"/>
        <v>114219492.09021492</v>
      </c>
      <c r="O31" s="2"/>
      <c r="P31">
        <v>28</v>
      </c>
      <c r="Q31" s="3">
        <f t="shared" si="18"/>
        <v>385440000</v>
      </c>
      <c r="R31" s="6">
        <f>$C$13+$C$6*$A$18*$C$10+50*'Carbon Tax'!$B$6</f>
        <v>146812382.71938735</v>
      </c>
      <c r="S31" s="3">
        <f t="shared" si="3"/>
        <v>238627617.28061265</v>
      </c>
      <c r="T31" s="7">
        <f t="shared" si="15"/>
        <v>155268.52900589365</v>
      </c>
      <c r="U31" s="7">
        <f t="shared" si="8"/>
        <v>38817.132251473413</v>
      </c>
      <c r="V31" s="7">
        <f t="shared" si="9"/>
        <v>238588800.14836118</v>
      </c>
      <c r="W31" s="7">
        <f t="shared" si="13"/>
        <v>64418976.040057525</v>
      </c>
      <c r="X31" s="11">
        <f t="shared" si="14"/>
        <v>174208641.24055511</v>
      </c>
      <c r="Y31" s="7">
        <f t="shared" si="5"/>
        <v>74505136.862466007</v>
      </c>
    </row>
    <row r="32" spans="1:25">
      <c r="A32">
        <v>0.1</v>
      </c>
      <c r="B32" s="12">
        <v>-1224393279.0332029</v>
      </c>
      <c r="C32" s="12">
        <v>-601462276.50560641</v>
      </c>
      <c r="E32">
        <v>29</v>
      </c>
      <c r="F32" s="2">
        <f t="shared" si="16"/>
        <v>385440000</v>
      </c>
      <c r="G32" s="2">
        <f t="shared" si="17"/>
        <v>19600000</v>
      </c>
      <c r="H32" s="2">
        <f t="shared" si="0"/>
        <v>365840000</v>
      </c>
      <c r="I32" s="2">
        <f t="shared" si="10"/>
        <v>51297.698555469426</v>
      </c>
      <c r="J32" s="2">
        <f t="shared" si="6"/>
        <v>15389.309566640826</v>
      </c>
      <c r="K32" s="2">
        <f t="shared" si="7"/>
        <v>365824610.69043338</v>
      </c>
      <c r="L32" s="2">
        <f t="shared" si="11"/>
        <v>98772644.886417016</v>
      </c>
      <c r="M32" s="2">
        <f t="shared" si="12"/>
        <v>267067355.11358297</v>
      </c>
      <c r="N32" s="2">
        <f t="shared" si="2"/>
        <v>110805908.51547416</v>
      </c>
      <c r="O32" s="2"/>
      <c r="P32">
        <v>29</v>
      </c>
      <c r="Q32" s="3">
        <f t="shared" si="18"/>
        <v>385440000</v>
      </c>
      <c r="R32" s="6">
        <f>$C$13+$C$6*$A$18*$C$10+50*'Carbon Tax'!$B$6</f>
        <v>146812382.71938735</v>
      </c>
      <c r="S32" s="3">
        <f t="shared" si="3"/>
        <v>238627617.28061265</v>
      </c>
      <c r="T32" s="7">
        <f t="shared" si="15"/>
        <v>116451.39675442025</v>
      </c>
      <c r="U32" s="7">
        <f t="shared" si="8"/>
        <v>29112.849188605061</v>
      </c>
      <c r="V32" s="7">
        <f t="shared" si="9"/>
        <v>238598504.43142405</v>
      </c>
      <c r="W32" s="7">
        <f t="shared" si="13"/>
        <v>64421596.196484499</v>
      </c>
      <c r="X32" s="11">
        <f t="shared" si="14"/>
        <v>174206021.08412814</v>
      </c>
      <c r="Y32" s="7">
        <f t="shared" si="5"/>
        <v>72277858.246220812</v>
      </c>
    </row>
    <row r="33" spans="1:25">
      <c r="A33">
        <v>0.2</v>
      </c>
      <c r="B33" s="12">
        <v>-262669385.547903</v>
      </c>
      <c r="C33" s="12">
        <v>48035988.898065343</v>
      </c>
      <c r="E33">
        <v>30</v>
      </c>
      <c r="F33" s="2">
        <f t="shared" si="16"/>
        <v>385440000</v>
      </c>
      <c r="G33" s="2">
        <f t="shared" si="17"/>
        <v>19600000</v>
      </c>
      <c r="H33" s="2">
        <f t="shared" si="0"/>
        <v>365840000</v>
      </c>
      <c r="I33" s="2">
        <f t="shared" si="10"/>
        <v>35908.388988828599</v>
      </c>
      <c r="J33" s="2">
        <f t="shared" si="6"/>
        <v>10772.516696648579</v>
      </c>
      <c r="K33" s="2">
        <f t="shared" si="7"/>
        <v>365829227.48330337</v>
      </c>
      <c r="L33" s="2">
        <f t="shared" si="11"/>
        <v>98773891.420491919</v>
      </c>
      <c r="M33" s="2">
        <f t="shared" si="12"/>
        <v>267066108.57950807</v>
      </c>
      <c r="N33" s="2">
        <f t="shared" si="2"/>
        <v>107494558.9154637</v>
      </c>
      <c r="O33" s="2"/>
      <c r="P33">
        <v>30</v>
      </c>
      <c r="Q33" s="3">
        <f t="shared" si="18"/>
        <v>385440000</v>
      </c>
      <c r="R33" s="6">
        <f>$C$13+$C$6*$A$18*$C$10+50*'Carbon Tax'!$B$6</f>
        <v>146812382.71938735</v>
      </c>
      <c r="S33" s="3">
        <f t="shared" si="3"/>
        <v>238627617.28061265</v>
      </c>
      <c r="T33" s="7">
        <f t="shared" si="15"/>
        <v>87338.547565815184</v>
      </c>
      <c r="U33" s="7">
        <f t="shared" si="8"/>
        <v>21834.636891453796</v>
      </c>
      <c r="V33" s="7">
        <f t="shared" si="9"/>
        <v>238605782.64372119</v>
      </c>
      <c r="W33" s="7">
        <f t="shared" si="13"/>
        <v>64423561.313804723</v>
      </c>
      <c r="X33" s="11">
        <f t="shared" si="14"/>
        <v>174204055.96680793</v>
      </c>
      <c r="Y33" s="7">
        <f t="shared" si="5"/>
        <v>70117426.194727629</v>
      </c>
    </row>
    <row r="34" spans="1:25">
      <c r="A34">
        <v>0.3</v>
      </c>
      <c r="B34" s="12">
        <v>556749307.49006999</v>
      </c>
      <c r="C34" s="12">
        <v>587778822.16032553</v>
      </c>
      <c r="E34">
        <v>31</v>
      </c>
      <c r="F34" s="2">
        <f t="shared" si="16"/>
        <v>385440000</v>
      </c>
      <c r="G34" s="2">
        <f t="shared" si="17"/>
        <v>19600000</v>
      </c>
      <c r="H34" s="2">
        <f t="shared" si="0"/>
        <v>365840000</v>
      </c>
      <c r="I34" s="2">
        <f t="shared" si="10"/>
        <v>25135.872292180022</v>
      </c>
      <c r="J34" s="2">
        <f t="shared" si="6"/>
        <v>7540.761687654006</v>
      </c>
      <c r="K34" s="2">
        <f t="shared" si="7"/>
        <v>365832459.23831236</v>
      </c>
      <c r="L34" s="2">
        <f t="shared" si="11"/>
        <v>98774763.994344339</v>
      </c>
      <c r="M34" s="2">
        <f t="shared" si="12"/>
        <v>267065236.00565565</v>
      </c>
      <c r="N34" s="2">
        <f t="shared" si="2"/>
        <v>104282312.47867401</v>
      </c>
      <c r="O34" s="2"/>
      <c r="P34">
        <v>31</v>
      </c>
      <c r="Q34" s="3">
        <f t="shared" si="18"/>
        <v>385440000</v>
      </c>
      <c r="R34" s="6">
        <f>$C$13+$C$6*$A$18*$C$10+50*'Carbon Tax'!$B$6</f>
        <v>146812382.71938735</v>
      </c>
      <c r="S34" s="3">
        <f t="shared" si="3"/>
        <v>238627617.28061265</v>
      </c>
      <c r="T34" s="7">
        <f t="shared" si="15"/>
        <v>65503.910674361388</v>
      </c>
      <c r="U34" s="7">
        <f t="shared" si="8"/>
        <v>16375.977668590347</v>
      </c>
      <c r="V34" s="7">
        <f t="shared" si="9"/>
        <v>238611241.30294406</v>
      </c>
      <c r="W34" s="7">
        <f t="shared" si="13"/>
        <v>64425035.151794903</v>
      </c>
      <c r="X34" s="11">
        <f t="shared" si="14"/>
        <v>174202582.12881774</v>
      </c>
      <c r="Y34" s="7">
        <f t="shared" si="5"/>
        <v>68021762.681851014</v>
      </c>
    </row>
    <row r="35" spans="1:25">
      <c r="A35">
        <v>0.4</v>
      </c>
      <c r="B35" s="12">
        <v>1356641439.7755723</v>
      </c>
      <c r="C35" s="12">
        <v>1119480165.8855233</v>
      </c>
      <c r="E35">
        <v>32</v>
      </c>
      <c r="F35" s="2">
        <f t="shared" si="16"/>
        <v>385440000</v>
      </c>
      <c r="G35" s="2">
        <f t="shared" si="17"/>
        <v>19600000</v>
      </c>
      <c r="H35" s="2">
        <f t="shared" si="0"/>
        <v>365840000</v>
      </c>
      <c r="I35" s="2">
        <f t="shared" si="10"/>
        <v>17595.110604526017</v>
      </c>
      <c r="J35" s="2">
        <f t="shared" si="6"/>
        <v>5278.533181357805</v>
      </c>
      <c r="K35" s="2">
        <f t="shared" si="7"/>
        <v>365834721.46681863</v>
      </c>
      <c r="L35" s="2">
        <f t="shared" si="11"/>
        <v>98775374.796041042</v>
      </c>
      <c r="M35" s="2">
        <f t="shared" si="12"/>
        <v>267064625.20395896</v>
      </c>
      <c r="N35" s="2">
        <f t="shared" ref="N35:N66" si="19">M35/((1+$B$16)^E35)</f>
        <v>101166156.3599616</v>
      </c>
      <c r="O35" s="2"/>
      <c r="P35">
        <v>32</v>
      </c>
      <c r="Q35" s="3">
        <f t="shared" si="18"/>
        <v>385440000</v>
      </c>
      <c r="R35" s="6">
        <f>$C$13+$C$6*$A$18*$C$10+50*'Carbon Tax'!$B$6</f>
        <v>146812382.71938735</v>
      </c>
      <c r="S35" s="3">
        <f t="shared" si="3"/>
        <v>238627617.28061265</v>
      </c>
      <c r="T35" s="7">
        <f t="shared" si="15"/>
        <v>49127.933005771039</v>
      </c>
      <c r="U35" s="7">
        <f t="shared" si="8"/>
        <v>12281.98325144276</v>
      </c>
      <c r="V35" s="7">
        <f t="shared" si="9"/>
        <v>238615335.2973612</v>
      </c>
      <c r="W35" s="7">
        <f t="shared" si="13"/>
        <v>64426140.530287527</v>
      </c>
      <c r="X35" s="11">
        <f t="shared" si="14"/>
        <v>174201476.75032511</v>
      </c>
      <c r="Y35" s="7">
        <f t="shared" ref="Y35:Y66" si="20">X35/((1+$B$16)^P35)</f>
        <v>65988873.747695275</v>
      </c>
    </row>
    <row r="36" spans="1:25">
      <c r="A36">
        <v>0.5</v>
      </c>
      <c r="B36" s="12">
        <v>2148957376.2318201</v>
      </c>
      <c r="C36" s="12">
        <v>1649358645.7991695</v>
      </c>
      <c r="E36">
        <v>33</v>
      </c>
      <c r="F36" s="2">
        <f t="shared" si="16"/>
        <v>385440000</v>
      </c>
      <c r="G36" s="2">
        <f>$B$13+$B$12</f>
        <v>1134800000</v>
      </c>
      <c r="H36" s="2">
        <f t="shared" si="0"/>
        <v>-749360000</v>
      </c>
      <c r="I36" s="2">
        <f t="shared" si="10"/>
        <v>12316.577423168212</v>
      </c>
      <c r="J36" s="13">
        <v>0</v>
      </c>
      <c r="K36" s="13">
        <f>H36-J36+$B$12+$B$14</f>
        <v>365852316.57742316</v>
      </c>
      <c r="L36" s="2">
        <f t="shared" si="11"/>
        <v>98780125.475904256</v>
      </c>
      <c r="M36" s="13">
        <f>IF(L36&lt;0,H36,H36-L36+$B$14)</f>
        <v>-848127808.89848101</v>
      </c>
      <c r="N36" s="2">
        <f t="shared" si="19"/>
        <v>-311677733.70540243</v>
      </c>
      <c r="O36" s="2"/>
      <c r="P36">
        <v>33</v>
      </c>
      <c r="Q36" s="3">
        <f t="shared" si="18"/>
        <v>385440000</v>
      </c>
      <c r="R36" s="6">
        <f>$C$13+$C$6*$A$18*$C$10+50*'Carbon Tax'!$B$6</f>
        <v>146812382.71938735</v>
      </c>
      <c r="S36" s="3">
        <f t="shared" si="3"/>
        <v>238627617.28061265</v>
      </c>
      <c r="T36" s="7">
        <f t="shared" si="15"/>
        <v>36845.949754328278</v>
      </c>
      <c r="U36" s="7">
        <f t="shared" ref="U36:U57" si="21">T36*$B$29</f>
        <v>9211.4874385820694</v>
      </c>
      <c r="V36" s="7">
        <f t="shared" si="9"/>
        <v>238618405.79317406</v>
      </c>
      <c r="W36" s="7">
        <f t="shared" si="13"/>
        <v>64426969.564157002</v>
      </c>
      <c r="X36" s="11">
        <f t="shared" si="14"/>
        <v>174200647.71645564</v>
      </c>
      <c r="Y36" s="7">
        <f t="shared" si="20"/>
        <v>64016841.000407532</v>
      </c>
    </row>
    <row r="37" spans="1:25">
      <c r="A37">
        <v>0.6</v>
      </c>
      <c r="B37" s="12">
        <v>2937795107.865387</v>
      </c>
      <c r="C37" s="12">
        <v>2178499080.2489686</v>
      </c>
      <c r="E37">
        <v>34</v>
      </c>
      <c r="F37" s="2">
        <v>0</v>
      </c>
      <c r="G37" s="2">
        <v>0</v>
      </c>
      <c r="H37" s="2">
        <f t="shared" si="0"/>
        <v>0</v>
      </c>
      <c r="I37" s="2">
        <v>1115200000</v>
      </c>
      <c r="J37" s="2">
        <f t="shared" si="6"/>
        <v>334560000</v>
      </c>
      <c r="K37" s="2">
        <f t="shared" si="7"/>
        <v>-334560000</v>
      </c>
      <c r="L37" s="2">
        <f>K37*$B$15</f>
        <v>-90331200</v>
      </c>
      <c r="M37" s="2">
        <f t="shared" si="12"/>
        <v>0</v>
      </c>
      <c r="N37" s="2">
        <f t="shared" si="19"/>
        <v>0</v>
      </c>
      <c r="P37">
        <v>34</v>
      </c>
      <c r="Q37" s="3">
        <f t="shared" si="18"/>
        <v>385440000</v>
      </c>
      <c r="R37" s="6">
        <f>$C$13+$C$6*$A$18*$C$10+50*'Carbon Tax'!$B$6</f>
        <v>146812382.71938735</v>
      </c>
      <c r="S37" s="3">
        <f t="shared" si="3"/>
        <v>238627617.28061265</v>
      </c>
      <c r="T37" s="7">
        <f t="shared" si="15"/>
        <v>27634.462315746208</v>
      </c>
      <c r="U37" s="7">
        <f t="shared" si="21"/>
        <v>6908.6155789365521</v>
      </c>
      <c r="V37" s="7">
        <f t="shared" si="9"/>
        <v>238620708.6650337</v>
      </c>
      <c r="W37" s="7">
        <f t="shared" ref="W37:W68" si="22">IF(W36&lt;0,V37*$B$15+W36,V37*$B$15)</f>
        <v>64427591.339559101</v>
      </c>
      <c r="X37" s="11">
        <f t="shared" si="14"/>
        <v>174200025.94105354</v>
      </c>
      <c r="Y37" s="7">
        <f t="shared" si="20"/>
        <v>62103815.002637133</v>
      </c>
    </row>
    <row r="38" spans="1:25">
      <c r="A38">
        <v>0.7</v>
      </c>
      <c r="B38" s="12">
        <v>3724490795.9778004</v>
      </c>
      <c r="C38" s="12">
        <v>2707473401.0386705</v>
      </c>
      <c r="E38">
        <v>35</v>
      </c>
      <c r="F38" s="2">
        <v>0</v>
      </c>
      <c r="G38" s="2">
        <v>0</v>
      </c>
      <c r="H38" s="2">
        <f t="shared" si="0"/>
        <v>0</v>
      </c>
      <c r="I38" s="2">
        <f>I37-J37</f>
        <v>780640000</v>
      </c>
      <c r="J38" s="2">
        <f t="shared" si="6"/>
        <v>234192000</v>
      </c>
      <c r="K38" s="2">
        <f t="shared" si="7"/>
        <v>-234192000</v>
      </c>
      <c r="L38" s="2">
        <f t="shared" ref="L38:L69" si="23">IF(L37&lt;0,K38*$B$15+L37,K38*$B$15)</f>
        <v>-153563040</v>
      </c>
      <c r="M38" s="2">
        <f t="shared" si="12"/>
        <v>0</v>
      </c>
      <c r="N38" s="2">
        <f t="shared" si="19"/>
        <v>0</v>
      </c>
      <c r="P38">
        <v>35</v>
      </c>
      <c r="Q38" s="3">
        <f t="shared" si="18"/>
        <v>385440000</v>
      </c>
      <c r="R38" s="6">
        <f>$C$13+$C$6*$A$18*$C$10+50*'Carbon Tax'!$B$6</f>
        <v>146812382.71938735</v>
      </c>
      <c r="S38" s="3">
        <f t="shared" si="3"/>
        <v>238627617.28061265</v>
      </c>
      <c r="T38" s="7">
        <f t="shared" si="15"/>
        <v>20725.846736809657</v>
      </c>
      <c r="U38" s="7">
        <f t="shared" si="21"/>
        <v>5181.4616842024143</v>
      </c>
      <c r="V38" s="7">
        <f t="shared" si="9"/>
        <v>238622435.81892845</v>
      </c>
      <c r="W38" s="7">
        <f t="shared" si="22"/>
        <v>64428057.671110682</v>
      </c>
      <c r="X38" s="11">
        <f t="shared" si="14"/>
        <v>174199559.60950196</v>
      </c>
      <c r="Y38" s="7">
        <f t="shared" si="20"/>
        <v>60248010.042111091</v>
      </c>
    </row>
    <row r="39" spans="1:25">
      <c r="A39">
        <v>0.8</v>
      </c>
      <c r="B39" s="12">
        <v>4509836999.5089197</v>
      </c>
      <c r="C39" s="12">
        <v>3236041883.5067077</v>
      </c>
      <c r="E39">
        <v>36</v>
      </c>
      <c r="F39" s="2">
        <v>0</v>
      </c>
      <c r="G39" s="2">
        <v>0</v>
      </c>
      <c r="H39" s="2">
        <f t="shared" si="0"/>
        <v>0</v>
      </c>
      <c r="I39" s="2">
        <f t="shared" ref="I39:I69" si="24">I38-J38</f>
        <v>546448000</v>
      </c>
      <c r="J39" s="2">
        <f t="shared" si="6"/>
        <v>163934400</v>
      </c>
      <c r="K39" s="2">
        <f t="shared" si="7"/>
        <v>-163934400</v>
      </c>
      <c r="L39" s="2">
        <f t="shared" si="23"/>
        <v>-197825328</v>
      </c>
      <c r="M39" s="2">
        <f t="shared" si="12"/>
        <v>0</v>
      </c>
      <c r="N39" s="2">
        <f t="shared" si="19"/>
        <v>0</v>
      </c>
      <c r="P39">
        <v>36</v>
      </c>
      <c r="Q39" s="3">
        <f t="shared" si="18"/>
        <v>385440000</v>
      </c>
      <c r="R39" s="6">
        <f>$C$13+$C$6*$A$18*$C$10+50*'Carbon Tax'!$B$6</f>
        <v>146812382.71938735</v>
      </c>
      <c r="S39" s="3">
        <f t="shared" si="3"/>
        <v>238627617.28061265</v>
      </c>
      <c r="T39" s="7">
        <f t="shared" si="15"/>
        <v>15544.385052607242</v>
      </c>
      <c r="U39" s="7">
        <f t="shared" si="21"/>
        <v>3886.0962631518105</v>
      </c>
      <c r="V39" s="7">
        <f t="shared" si="9"/>
        <v>238623731.18434951</v>
      </c>
      <c r="W39" s="7">
        <f t="shared" si="22"/>
        <v>64428407.419774368</v>
      </c>
      <c r="X39" s="11">
        <f t="shared" si="14"/>
        <v>174199209.86083829</v>
      </c>
      <c r="Y39" s="7">
        <f t="shared" si="20"/>
        <v>58447699.921752609</v>
      </c>
    </row>
    <row r="40" spans="1:25">
      <c r="A40">
        <v>0.9</v>
      </c>
      <c r="B40" s="12">
        <v>5294948451.7892609</v>
      </c>
      <c r="C40" s="12">
        <v>3764582566.2812076</v>
      </c>
      <c r="E40">
        <v>37</v>
      </c>
      <c r="F40" s="2">
        <f t="shared" ref="F40:F69" si="25">$B$11</f>
        <v>385440000</v>
      </c>
      <c r="G40" s="2">
        <f t="shared" ref="G40:G68" si="26">$B$13</f>
        <v>19600000</v>
      </c>
      <c r="H40" s="2">
        <f t="shared" si="0"/>
        <v>365840000</v>
      </c>
      <c r="I40" s="2">
        <f t="shared" si="24"/>
        <v>382513600</v>
      </c>
      <c r="J40" s="2">
        <f t="shared" si="6"/>
        <v>114754080</v>
      </c>
      <c r="K40" s="2">
        <f t="shared" si="7"/>
        <v>251085920</v>
      </c>
      <c r="L40" s="2">
        <f t="shared" si="23"/>
        <v>-130032129.59999999</v>
      </c>
      <c r="M40" s="2">
        <f t="shared" si="12"/>
        <v>365840000</v>
      </c>
      <c r="N40" s="2">
        <f t="shared" si="19"/>
        <v>119079779.79121895</v>
      </c>
      <c r="P40">
        <v>37</v>
      </c>
      <c r="Q40" s="3">
        <f t="shared" si="18"/>
        <v>385440000</v>
      </c>
      <c r="R40" s="6">
        <f>$C$13+$C$6*$A$18*$C$10+50*'Carbon Tax'!$B$6</f>
        <v>146812382.71938735</v>
      </c>
      <c r="S40" s="3">
        <f t="shared" si="3"/>
        <v>238627617.28061265</v>
      </c>
      <c r="T40" s="7">
        <f t="shared" si="15"/>
        <v>11658.288789455431</v>
      </c>
      <c r="U40" s="7">
        <f t="shared" si="21"/>
        <v>2914.5721973638579</v>
      </c>
      <c r="V40" s="7">
        <f t="shared" si="9"/>
        <v>238624702.70841527</v>
      </c>
      <c r="W40" s="7">
        <f t="shared" si="22"/>
        <v>64428669.731272124</v>
      </c>
      <c r="X40" s="11">
        <f t="shared" si="14"/>
        <v>174198947.54934052</v>
      </c>
      <c r="Y40" s="7">
        <f t="shared" si="20"/>
        <v>56701214.503710821</v>
      </c>
    </row>
    <row r="41" spans="1:25">
      <c r="A41">
        <v>1</v>
      </c>
      <c r="B41" s="12">
        <v>6078867375.5461721</v>
      </c>
      <c r="C41" s="12">
        <v>4293123249.055706</v>
      </c>
      <c r="E41">
        <v>38</v>
      </c>
      <c r="F41" s="2">
        <f t="shared" si="25"/>
        <v>385440000</v>
      </c>
      <c r="G41" s="2">
        <f t="shared" si="26"/>
        <v>19600000</v>
      </c>
      <c r="H41" s="2">
        <f t="shared" si="0"/>
        <v>365840000</v>
      </c>
      <c r="I41" s="2">
        <f t="shared" si="24"/>
        <v>267759520</v>
      </c>
      <c r="J41" s="2">
        <f t="shared" si="6"/>
        <v>80327856</v>
      </c>
      <c r="K41" s="2">
        <f t="shared" si="7"/>
        <v>285512144</v>
      </c>
      <c r="L41" s="2">
        <f t="shared" si="23"/>
        <v>-52943850.719999984</v>
      </c>
      <c r="M41" s="2">
        <f t="shared" si="12"/>
        <v>365840000</v>
      </c>
      <c r="N41" s="2">
        <f t="shared" si="19"/>
        <v>115521711.08965749</v>
      </c>
      <c r="P41">
        <v>38</v>
      </c>
      <c r="Q41" s="3">
        <f t="shared" si="18"/>
        <v>385440000</v>
      </c>
      <c r="R41" s="6">
        <f>$C$13+$C$6*$A$18*$C$10+50*'Carbon Tax'!$B$6</f>
        <v>146812382.71938735</v>
      </c>
      <c r="S41" s="3">
        <f t="shared" si="3"/>
        <v>238627617.28061265</v>
      </c>
      <c r="T41" s="7">
        <f t="shared" si="15"/>
        <v>8743.7165920915741</v>
      </c>
      <c r="U41" s="7">
        <f t="shared" si="21"/>
        <v>2185.9291480228935</v>
      </c>
      <c r="V41" s="7">
        <f t="shared" si="9"/>
        <v>238625431.35146463</v>
      </c>
      <c r="W41" s="7">
        <f t="shared" si="22"/>
        <v>64428866.464895457</v>
      </c>
      <c r="X41" s="11">
        <f t="shared" si="14"/>
        <v>174198750.81571719</v>
      </c>
      <c r="Y41" s="7">
        <f t="shared" si="20"/>
        <v>55006936.813668594</v>
      </c>
    </row>
    <row r="42" spans="1:25">
      <c r="E42">
        <v>39</v>
      </c>
      <c r="F42" s="2">
        <f t="shared" si="25"/>
        <v>385440000</v>
      </c>
      <c r="G42" s="2">
        <f t="shared" si="26"/>
        <v>19600000</v>
      </c>
      <c r="H42" s="2">
        <f t="shared" si="0"/>
        <v>365840000</v>
      </c>
      <c r="I42" s="2">
        <f t="shared" si="24"/>
        <v>187431664</v>
      </c>
      <c r="J42" s="2">
        <f t="shared" si="6"/>
        <v>56229499.199999996</v>
      </c>
      <c r="K42" s="2">
        <f t="shared" si="7"/>
        <v>309610500.80000001</v>
      </c>
      <c r="L42" s="2">
        <f t="shared" si="23"/>
        <v>30650984.496000022</v>
      </c>
      <c r="M42" s="2">
        <f t="shared" si="12"/>
        <v>335189015.50399995</v>
      </c>
      <c r="N42" s="2">
        <f t="shared" si="19"/>
        <v>102680456.93164372</v>
      </c>
      <c r="P42">
        <v>39</v>
      </c>
      <c r="Q42" s="3">
        <f t="shared" si="18"/>
        <v>385440000</v>
      </c>
      <c r="R42" s="6">
        <f>$C$13+$C$6*$A$18*$C$10+50*'Carbon Tax'!$B$6</f>
        <v>146812382.71938735</v>
      </c>
      <c r="S42" s="3">
        <f t="shared" si="3"/>
        <v>238627617.28061265</v>
      </c>
      <c r="T42" s="7">
        <f t="shared" si="15"/>
        <v>6557.787444068681</v>
      </c>
      <c r="U42" s="7">
        <f t="shared" si="21"/>
        <v>1639.4468610171702</v>
      </c>
      <c r="V42" s="7">
        <f t="shared" si="9"/>
        <v>238625977.83375162</v>
      </c>
      <c r="W42" s="7">
        <f t="shared" si="22"/>
        <v>64429014.015112944</v>
      </c>
      <c r="X42" s="11">
        <f t="shared" si="14"/>
        <v>174198603.26549971</v>
      </c>
      <c r="Y42" s="7">
        <f t="shared" si="20"/>
        <v>53363300.564192221</v>
      </c>
    </row>
    <row r="43" spans="1:25">
      <c r="E43">
        <v>40</v>
      </c>
      <c r="F43" s="2">
        <f t="shared" si="25"/>
        <v>385440000</v>
      </c>
      <c r="G43" s="2">
        <f t="shared" si="26"/>
        <v>19600000</v>
      </c>
      <c r="H43" s="2">
        <f t="shared" si="0"/>
        <v>365840000</v>
      </c>
      <c r="I43" s="2">
        <f t="shared" si="24"/>
        <v>131202164.80000001</v>
      </c>
      <c r="J43" s="2">
        <f t="shared" si="6"/>
        <v>39360649.440000005</v>
      </c>
      <c r="K43" s="2">
        <f t="shared" si="7"/>
        <v>326479350.56</v>
      </c>
      <c r="L43" s="2">
        <f t="shared" si="23"/>
        <v>88149424.651200011</v>
      </c>
      <c r="M43" s="2">
        <f t="shared" si="12"/>
        <v>277690575.3488</v>
      </c>
      <c r="N43" s="2">
        <f t="shared" si="19"/>
        <v>82524850.292163387</v>
      </c>
      <c r="P43">
        <v>40</v>
      </c>
      <c r="Q43" s="3">
        <f t="shared" si="18"/>
        <v>385440000</v>
      </c>
      <c r="R43" s="6">
        <f>$C$13+$C$6*$A$18*$C$10+50*'Carbon Tax'!$B$6</f>
        <v>146812382.71938735</v>
      </c>
      <c r="S43" s="3">
        <f t="shared" si="3"/>
        <v>238627617.28061265</v>
      </c>
      <c r="T43" s="7">
        <f t="shared" si="15"/>
        <v>4918.3405830515112</v>
      </c>
      <c r="U43" s="7">
        <f t="shared" si="21"/>
        <v>1229.5851457628778</v>
      </c>
      <c r="V43" s="7">
        <f t="shared" si="9"/>
        <v>238626387.69546688</v>
      </c>
      <c r="W43" s="7">
        <f t="shared" si="22"/>
        <v>64429124.677776061</v>
      </c>
      <c r="X43" s="11">
        <f t="shared" si="14"/>
        <v>174198492.60283658</v>
      </c>
      <c r="Y43" s="7">
        <f t="shared" si="20"/>
        <v>51768787.994020559</v>
      </c>
    </row>
    <row r="44" spans="1:25">
      <c r="E44">
        <v>41</v>
      </c>
      <c r="F44" s="2">
        <f t="shared" si="25"/>
        <v>385440000</v>
      </c>
      <c r="G44" s="2">
        <f t="shared" si="26"/>
        <v>19600000</v>
      </c>
      <c r="H44" s="2">
        <f t="shared" si="0"/>
        <v>365840000</v>
      </c>
      <c r="I44" s="2">
        <f t="shared" si="24"/>
        <v>91841515.360000014</v>
      </c>
      <c r="J44" s="2">
        <f t="shared" si="6"/>
        <v>27552454.608000003</v>
      </c>
      <c r="K44" s="2">
        <f t="shared" si="7"/>
        <v>338287545.39200002</v>
      </c>
      <c r="L44" s="2">
        <f t="shared" si="23"/>
        <v>91337637.255840018</v>
      </c>
      <c r="M44" s="2">
        <f t="shared" si="12"/>
        <v>274502362.74416</v>
      </c>
      <c r="N44" s="2">
        <f t="shared" si="19"/>
        <v>79139860.774115905</v>
      </c>
      <c r="P44">
        <v>41</v>
      </c>
      <c r="Q44" s="3">
        <f t="shared" si="18"/>
        <v>385440000</v>
      </c>
      <c r="R44" s="6">
        <f>$C$13+$C$6*$A$18*$C$10+50*'Carbon Tax'!$B$6</f>
        <v>146812382.71938735</v>
      </c>
      <c r="S44" s="3">
        <f t="shared" si="3"/>
        <v>238627617.28061265</v>
      </c>
      <c r="T44" s="7">
        <f t="shared" si="15"/>
        <v>3688.7554372886334</v>
      </c>
      <c r="U44" s="7">
        <f t="shared" si="21"/>
        <v>922.18885932215835</v>
      </c>
      <c r="V44" s="7">
        <f t="shared" si="9"/>
        <v>238626695.09175333</v>
      </c>
      <c r="W44" s="7">
        <f t="shared" si="22"/>
        <v>64429207.674773403</v>
      </c>
      <c r="X44" s="11">
        <f t="shared" si="14"/>
        <v>174198409.60583925</v>
      </c>
      <c r="Y44" s="7">
        <f t="shared" si="20"/>
        <v>50221927.947947435</v>
      </c>
    </row>
    <row r="45" spans="1:25">
      <c r="E45">
        <v>42</v>
      </c>
      <c r="F45" s="2">
        <f t="shared" si="25"/>
        <v>385440000</v>
      </c>
      <c r="G45" s="2">
        <f t="shared" si="26"/>
        <v>19600000</v>
      </c>
      <c r="H45" s="2">
        <f t="shared" si="0"/>
        <v>365840000</v>
      </c>
      <c r="I45" s="2">
        <f t="shared" si="24"/>
        <v>64289060.752000012</v>
      </c>
      <c r="J45" s="2">
        <f t="shared" si="6"/>
        <v>19286718.225600004</v>
      </c>
      <c r="K45" s="2">
        <f t="shared" si="7"/>
        <v>346553281.7744</v>
      </c>
      <c r="L45" s="2">
        <f t="shared" si="23"/>
        <v>93569386.079088002</v>
      </c>
      <c r="M45" s="2">
        <f t="shared" si="12"/>
        <v>272270613.92091203</v>
      </c>
      <c r="N45" s="2">
        <f t="shared" si="19"/>
        <v>76150990.341124907</v>
      </c>
      <c r="P45">
        <v>42</v>
      </c>
      <c r="Q45" s="3">
        <f t="shared" si="18"/>
        <v>385440000</v>
      </c>
      <c r="R45" s="6">
        <f>$C$13+$C$6*$A$18*$C$10+50*'Carbon Tax'!$B$6</f>
        <v>146812382.71938735</v>
      </c>
      <c r="S45" s="3">
        <f t="shared" si="3"/>
        <v>238627617.28061265</v>
      </c>
      <c r="T45" s="7">
        <f t="shared" si="15"/>
        <v>2766.5665779664751</v>
      </c>
      <c r="U45" s="7">
        <f t="shared" si="21"/>
        <v>691.64164449161876</v>
      </c>
      <c r="V45" s="7">
        <f t="shared" si="9"/>
        <v>238626925.63896817</v>
      </c>
      <c r="W45" s="7">
        <f t="shared" si="22"/>
        <v>64429269.922521412</v>
      </c>
      <c r="X45" s="11">
        <f t="shared" si="14"/>
        <v>174198347.35809124</v>
      </c>
      <c r="Y45" s="7">
        <f t="shared" si="20"/>
        <v>48721294.142155185</v>
      </c>
    </row>
    <row r="46" spans="1:25">
      <c r="E46">
        <v>43</v>
      </c>
      <c r="F46" s="2">
        <f t="shared" si="25"/>
        <v>385440000</v>
      </c>
      <c r="G46" s="2">
        <f t="shared" si="26"/>
        <v>19600000</v>
      </c>
      <c r="H46" s="2">
        <f t="shared" si="0"/>
        <v>365840000</v>
      </c>
      <c r="I46" s="2">
        <f t="shared" si="24"/>
        <v>45002342.526400007</v>
      </c>
      <c r="J46" s="2">
        <f t="shared" si="6"/>
        <v>13500702.757920003</v>
      </c>
      <c r="K46" s="2">
        <f t="shared" si="7"/>
        <v>352339297.24207997</v>
      </c>
      <c r="L46" s="2">
        <f t="shared" si="23"/>
        <v>95131610.255361602</v>
      </c>
      <c r="M46" s="2">
        <f t="shared" si="12"/>
        <v>270708389.74463838</v>
      </c>
      <c r="N46" s="2">
        <f t="shared" si="19"/>
        <v>73451740.423188999</v>
      </c>
      <c r="P46">
        <v>43</v>
      </c>
      <c r="Q46" s="3">
        <f t="shared" si="18"/>
        <v>385440000</v>
      </c>
      <c r="R46" s="6">
        <f>$C$13+$C$6*$A$18*$C$10+50*'Carbon Tax'!$B$6</f>
        <v>146812382.71938735</v>
      </c>
      <c r="S46" s="3">
        <f t="shared" si="3"/>
        <v>238627617.28061265</v>
      </c>
      <c r="T46" s="7">
        <f t="shared" si="15"/>
        <v>2074.9249334748565</v>
      </c>
      <c r="U46" s="7">
        <f t="shared" si="21"/>
        <v>518.73123336871413</v>
      </c>
      <c r="V46" s="7">
        <f t="shared" si="9"/>
        <v>238627098.54937929</v>
      </c>
      <c r="W46" s="7">
        <f t="shared" si="22"/>
        <v>64429316.60833241</v>
      </c>
      <c r="X46" s="11">
        <f t="shared" si="14"/>
        <v>174198300.67228025</v>
      </c>
      <c r="Y46" s="7">
        <f t="shared" si="20"/>
        <v>47265503.574568756</v>
      </c>
    </row>
    <row r="47" spans="1:25">
      <c r="E47">
        <v>44</v>
      </c>
      <c r="F47" s="2">
        <f t="shared" si="25"/>
        <v>385440000</v>
      </c>
      <c r="G47" s="2">
        <f t="shared" si="26"/>
        <v>19600000</v>
      </c>
      <c r="H47" s="2">
        <f t="shared" si="0"/>
        <v>365840000</v>
      </c>
      <c r="I47" s="2">
        <f t="shared" si="24"/>
        <v>31501639.768480003</v>
      </c>
      <c r="J47" s="2">
        <f t="shared" si="6"/>
        <v>9450491.9305440001</v>
      </c>
      <c r="K47" s="2">
        <f t="shared" si="7"/>
        <v>356389508.06945598</v>
      </c>
      <c r="L47" s="2">
        <f t="shared" si="23"/>
        <v>96225167.178753123</v>
      </c>
      <c r="M47" s="2">
        <f t="shared" si="12"/>
        <v>269614832.82124686</v>
      </c>
      <c r="N47" s="2">
        <f t="shared" si="19"/>
        <v>70969173.335153878</v>
      </c>
      <c r="P47">
        <v>44</v>
      </c>
      <c r="Q47" s="3">
        <f t="shared" si="18"/>
        <v>385440000</v>
      </c>
      <c r="R47" s="6">
        <f>$C$13+$C$6*$A$18*$C$10+50*'Carbon Tax'!$B$6</f>
        <v>146812382.71938735</v>
      </c>
      <c r="S47" s="3">
        <f t="shared" si="3"/>
        <v>238627617.28061265</v>
      </c>
      <c r="T47" s="7">
        <f t="shared" si="15"/>
        <v>1556.1937001061424</v>
      </c>
      <c r="U47" s="7">
        <f t="shared" si="21"/>
        <v>389.0484250265356</v>
      </c>
      <c r="V47" s="7">
        <f t="shared" si="9"/>
        <v>238627228.23218763</v>
      </c>
      <c r="W47" s="7">
        <f t="shared" si="22"/>
        <v>64429351.622690663</v>
      </c>
      <c r="X47" s="11">
        <f t="shared" si="14"/>
        <v>174198265.65792197</v>
      </c>
      <c r="Y47" s="7">
        <f t="shared" si="20"/>
        <v>45853215.050511166</v>
      </c>
    </row>
    <row r="48" spans="1:25">
      <c r="E48">
        <v>45</v>
      </c>
      <c r="F48" s="2">
        <f t="shared" si="25"/>
        <v>385440000</v>
      </c>
      <c r="G48" s="2">
        <f t="shared" si="26"/>
        <v>19600000</v>
      </c>
      <c r="H48" s="2">
        <f t="shared" si="0"/>
        <v>365840000</v>
      </c>
      <c r="I48" s="2">
        <f t="shared" si="24"/>
        <v>22051147.837936003</v>
      </c>
      <c r="J48" s="2">
        <f t="shared" si="6"/>
        <v>6615344.3513808008</v>
      </c>
      <c r="K48" s="2">
        <f t="shared" si="7"/>
        <v>359224655.64861917</v>
      </c>
      <c r="L48" s="2">
        <f t="shared" si="23"/>
        <v>96990657.025127187</v>
      </c>
      <c r="M48" s="2">
        <f t="shared" si="12"/>
        <v>268849342.97487283</v>
      </c>
      <c r="N48" s="2">
        <f t="shared" si="19"/>
        <v>68653160.470242545</v>
      </c>
      <c r="P48">
        <v>45</v>
      </c>
      <c r="Q48" s="3">
        <f t="shared" si="18"/>
        <v>385440000</v>
      </c>
      <c r="R48" s="6">
        <f>$C$13+$C$6*$A$18*$C$10+50*'Carbon Tax'!$B$6</f>
        <v>146812382.71938735</v>
      </c>
      <c r="S48" s="3">
        <f t="shared" si="3"/>
        <v>238627617.28061265</v>
      </c>
      <c r="T48" s="7">
        <f t="shared" si="15"/>
        <v>1167.1452750796068</v>
      </c>
      <c r="U48" s="7">
        <f t="shared" si="21"/>
        <v>291.7863187699017</v>
      </c>
      <c r="V48" s="7">
        <f t="shared" si="9"/>
        <v>238627325.49429387</v>
      </c>
      <c r="W48" s="7">
        <f t="shared" si="22"/>
        <v>64429377.883459352</v>
      </c>
      <c r="X48" s="11">
        <f t="shared" si="14"/>
        <v>174198239.39715329</v>
      </c>
      <c r="Y48" s="7">
        <f t="shared" si="20"/>
        <v>44483127.801745184</v>
      </c>
    </row>
    <row r="49" spans="5:25">
      <c r="E49">
        <v>46</v>
      </c>
      <c r="F49" s="2">
        <f t="shared" si="25"/>
        <v>385440000</v>
      </c>
      <c r="G49" s="2">
        <f t="shared" si="26"/>
        <v>19600000</v>
      </c>
      <c r="H49" s="2">
        <f t="shared" si="0"/>
        <v>365840000</v>
      </c>
      <c r="I49" s="2">
        <f t="shared" si="24"/>
        <v>15435803.486555202</v>
      </c>
      <c r="J49" s="2">
        <f t="shared" si="6"/>
        <v>4630741.04596656</v>
      </c>
      <c r="K49" s="2">
        <f t="shared" si="7"/>
        <v>361209258.95403343</v>
      </c>
      <c r="L49" s="2">
        <f t="shared" si="23"/>
        <v>97526499.917589039</v>
      </c>
      <c r="M49" s="2">
        <f t="shared" si="12"/>
        <v>268313500.08241096</v>
      </c>
      <c r="N49" s="2">
        <f t="shared" si="19"/>
        <v>66469080.367959902</v>
      </c>
      <c r="P49">
        <v>46</v>
      </c>
      <c r="Q49" s="3">
        <f t="shared" si="18"/>
        <v>385440000</v>
      </c>
      <c r="R49" s="6">
        <f>$C$13+$C$6*$A$18*$C$10+50*'Carbon Tax'!$B$6</f>
        <v>146812382.71938735</v>
      </c>
      <c r="S49" s="3">
        <f t="shared" si="3"/>
        <v>238627617.28061265</v>
      </c>
      <c r="T49" s="7">
        <f t="shared" si="15"/>
        <v>875.35895630970504</v>
      </c>
      <c r="U49" s="7">
        <f t="shared" si="21"/>
        <v>218.83973907742626</v>
      </c>
      <c r="V49" s="7">
        <f t="shared" si="9"/>
        <v>238627398.44087356</v>
      </c>
      <c r="W49" s="7">
        <f t="shared" si="22"/>
        <v>64429397.579035863</v>
      </c>
      <c r="X49" s="11">
        <f t="shared" si="14"/>
        <v>174198219.70157677</v>
      </c>
      <c r="Y49" s="7">
        <f t="shared" si="20"/>
        <v>43153980.182671688</v>
      </c>
    </row>
    <row r="50" spans="5:25">
      <c r="E50">
        <v>47</v>
      </c>
      <c r="F50" s="2">
        <f t="shared" si="25"/>
        <v>385440000</v>
      </c>
      <c r="G50" s="2">
        <f t="shared" si="26"/>
        <v>19600000</v>
      </c>
      <c r="H50" s="2">
        <f t="shared" si="0"/>
        <v>365840000</v>
      </c>
      <c r="I50" s="2">
        <f t="shared" si="24"/>
        <v>10805062.440588642</v>
      </c>
      <c r="J50" s="2">
        <f t="shared" si="6"/>
        <v>3241518.7321765926</v>
      </c>
      <c r="K50" s="2">
        <f t="shared" si="7"/>
        <v>362598481.2678234</v>
      </c>
      <c r="L50" s="2">
        <f t="shared" si="23"/>
        <v>97901589.94231233</v>
      </c>
      <c r="M50" s="2">
        <f t="shared" si="12"/>
        <v>267938410.05768767</v>
      </c>
      <c r="N50" s="2">
        <f t="shared" si="19"/>
        <v>64392859.553637438</v>
      </c>
      <c r="P50">
        <v>47</v>
      </c>
      <c r="Q50" s="3">
        <f t="shared" si="18"/>
        <v>385440000</v>
      </c>
      <c r="R50" s="6">
        <f>$C$13+$C$6*$A$18*$C$10+50*'Carbon Tax'!$B$6</f>
        <v>146812382.71938735</v>
      </c>
      <c r="S50" s="3">
        <f t="shared" si="3"/>
        <v>238627617.28061265</v>
      </c>
      <c r="T50" s="7">
        <f t="shared" si="15"/>
        <v>656.51921723227883</v>
      </c>
      <c r="U50" s="7">
        <f t="shared" si="21"/>
        <v>164.12980430806971</v>
      </c>
      <c r="V50" s="7">
        <f t="shared" si="9"/>
        <v>238627453.15080833</v>
      </c>
      <c r="W50" s="7">
        <f t="shared" si="22"/>
        <v>64429412.350718252</v>
      </c>
      <c r="X50" s="11">
        <f t="shared" si="14"/>
        <v>174198204.92989439</v>
      </c>
      <c r="Y50" s="7">
        <f t="shared" si="20"/>
        <v>41864548.431601778</v>
      </c>
    </row>
    <row r="51" spans="5:25">
      <c r="E51">
        <v>48</v>
      </c>
      <c r="F51" s="2">
        <f t="shared" si="25"/>
        <v>385440000</v>
      </c>
      <c r="G51" s="2">
        <f t="shared" si="26"/>
        <v>19600000</v>
      </c>
      <c r="H51" s="2">
        <f t="shared" si="0"/>
        <v>365840000</v>
      </c>
      <c r="I51" s="2">
        <f t="shared" si="24"/>
        <v>7563543.7084120493</v>
      </c>
      <c r="J51" s="2">
        <f t="shared" si="6"/>
        <v>2269063.1125236149</v>
      </c>
      <c r="K51" s="2">
        <f t="shared" si="7"/>
        <v>363570936.88747638</v>
      </c>
      <c r="L51" s="2">
        <f t="shared" si="23"/>
        <v>98164152.959618628</v>
      </c>
      <c r="M51" s="2">
        <f t="shared" si="12"/>
        <v>267675847.04038137</v>
      </c>
      <c r="N51" s="2">
        <f t="shared" si="19"/>
        <v>62407604.33314386</v>
      </c>
      <c r="P51">
        <v>48</v>
      </c>
      <c r="Q51" s="3">
        <f t="shared" si="18"/>
        <v>385440000</v>
      </c>
      <c r="R51" s="6">
        <f>$C$13+$C$6*$A$18*$C$10+50*'Carbon Tax'!$B$6</f>
        <v>146812382.71938735</v>
      </c>
      <c r="S51" s="3">
        <f t="shared" si="3"/>
        <v>238627617.28061265</v>
      </c>
      <c r="T51" s="7">
        <f t="shared" si="15"/>
        <v>492.38941292420913</v>
      </c>
      <c r="U51" s="7">
        <f t="shared" si="21"/>
        <v>123.09735323105228</v>
      </c>
      <c r="V51" s="7">
        <f t="shared" si="9"/>
        <v>238627494.18325943</v>
      </c>
      <c r="W51" s="7">
        <f t="shared" si="22"/>
        <v>64429423.429480046</v>
      </c>
      <c r="X51" s="11">
        <f t="shared" si="14"/>
        <v>174198193.8511326</v>
      </c>
      <c r="Y51" s="7">
        <f t="shared" si="20"/>
        <v>40613645.48804339</v>
      </c>
    </row>
    <row r="52" spans="5:25">
      <c r="E52">
        <v>49</v>
      </c>
      <c r="F52" s="2">
        <f t="shared" si="25"/>
        <v>385440000</v>
      </c>
      <c r="G52" s="2">
        <f t="shared" si="26"/>
        <v>19600000</v>
      </c>
      <c r="H52" s="2">
        <f t="shared" si="0"/>
        <v>365840000</v>
      </c>
      <c r="I52" s="2">
        <f t="shared" si="24"/>
        <v>5294480.595888434</v>
      </c>
      <c r="J52" s="2">
        <f t="shared" si="6"/>
        <v>1588344.1787665302</v>
      </c>
      <c r="K52" s="2">
        <f t="shared" si="7"/>
        <v>364251655.82123345</v>
      </c>
      <c r="L52" s="2">
        <f t="shared" si="23"/>
        <v>98347947.071733043</v>
      </c>
      <c r="M52" s="2">
        <f t="shared" si="12"/>
        <v>267492052.92826694</v>
      </c>
      <c r="N52" s="2">
        <f t="shared" si="19"/>
        <v>60501312.995593131</v>
      </c>
      <c r="P52">
        <v>49</v>
      </c>
      <c r="Q52" s="3">
        <f t="shared" si="18"/>
        <v>385440000</v>
      </c>
      <c r="R52" s="6">
        <f>$C$13+$C$6*$A$18*$C$10+50*'Carbon Tax'!$B$6</f>
        <v>146812382.71938735</v>
      </c>
      <c r="S52" s="3">
        <f t="shared" si="3"/>
        <v>238627617.28061265</v>
      </c>
      <c r="T52" s="7">
        <f t="shared" si="15"/>
        <v>369.29205969315683</v>
      </c>
      <c r="U52" s="7">
        <f t="shared" si="21"/>
        <v>92.323014923289207</v>
      </c>
      <c r="V52" s="7">
        <f t="shared" si="9"/>
        <v>238627524.95759773</v>
      </c>
      <c r="W52" s="7">
        <f t="shared" si="22"/>
        <v>64429431.738551393</v>
      </c>
      <c r="X52" s="11">
        <f t="shared" si="14"/>
        <v>174198185.54206127</v>
      </c>
      <c r="Y52" s="7">
        <f t="shared" si="20"/>
        <v>39400119.859153144</v>
      </c>
    </row>
    <row r="53" spans="5:25">
      <c r="E53">
        <v>50</v>
      </c>
      <c r="F53" s="2">
        <f t="shared" si="25"/>
        <v>385440000</v>
      </c>
      <c r="G53" s="2">
        <f t="shared" si="26"/>
        <v>19600000</v>
      </c>
      <c r="H53" s="2">
        <f t="shared" si="0"/>
        <v>365840000</v>
      </c>
      <c r="I53" s="2">
        <f t="shared" si="24"/>
        <v>3706136.417121904</v>
      </c>
      <c r="J53" s="2">
        <f t="shared" si="6"/>
        <v>1111840.9251365711</v>
      </c>
      <c r="K53" s="2">
        <f t="shared" si="7"/>
        <v>364728159.07486343</v>
      </c>
      <c r="L53" s="2">
        <f t="shared" si="23"/>
        <v>98476602.950213134</v>
      </c>
      <c r="M53" s="2">
        <f t="shared" si="12"/>
        <v>267363397.04978687</v>
      </c>
      <c r="N53" s="2">
        <f t="shared" si="19"/>
        <v>58665321.719066769</v>
      </c>
      <c r="P53">
        <v>50</v>
      </c>
      <c r="Q53" s="3">
        <f t="shared" si="18"/>
        <v>385440000</v>
      </c>
      <c r="R53" s="6">
        <f>$C$13+$C$6*$A$18*$C$10+50*'Carbon Tax'!$B$6</f>
        <v>146812382.71938735</v>
      </c>
      <c r="S53" s="3">
        <f t="shared" si="3"/>
        <v>238627617.28061265</v>
      </c>
      <c r="T53" s="7">
        <f t="shared" si="15"/>
        <v>276.96904476986765</v>
      </c>
      <c r="U53" s="7">
        <f t="shared" si="21"/>
        <v>69.242261192466913</v>
      </c>
      <c r="V53" s="7">
        <f t="shared" si="9"/>
        <v>238627548.03835145</v>
      </c>
      <c r="W53" s="7">
        <f t="shared" si="22"/>
        <v>64429437.970354892</v>
      </c>
      <c r="X53" s="11">
        <f t="shared" si="14"/>
        <v>174198179.31025776</v>
      </c>
      <c r="Y53" s="7">
        <f t="shared" si="20"/>
        <v>38222854.530117132</v>
      </c>
    </row>
    <row r="54" spans="5:25">
      <c r="E54">
        <v>51</v>
      </c>
      <c r="F54" s="2">
        <f t="shared" si="25"/>
        <v>385440000</v>
      </c>
      <c r="G54" s="2">
        <f t="shared" si="26"/>
        <v>19600000</v>
      </c>
      <c r="H54" s="2">
        <f t="shared" si="0"/>
        <v>365840000</v>
      </c>
      <c r="I54" s="2">
        <f t="shared" si="24"/>
        <v>2594295.4919853332</v>
      </c>
      <c r="J54" s="2">
        <f t="shared" si="6"/>
        <v>778288.64759559988</v>
      </c>
      <c r="K54" s="2">
        <f t="shared" si="7"/>
        <v>365061711.35240442</v>
      </c>
      <c r="L54" s="2">
        <f t="shared" si="23"/>
        <v>98566662.065149203</v>
      </c>
      <c r="M54" s="2">
        <f t="shared" si="12"/>
        <v>267273337.93485081</v>
      </c>
      <c r="N54" s="2">
        <f t="shared" si="19"/>
        <v>56893248.737025984</v>
      </c>
      <c r="P54">
        <v>51</v>
      </c>
      <c r="Q54" s="3">
        <f t="shared" si="18"/>
        <v>385440000</v>
      </c>
      <c r="R54" s="6">
        <f>$C$13+$C$6*$A$18*$C$10+50*'Carbon Tax'!$B$6</f>
        <v>146812382.71938735</v>
      </c>
      <c r="S54" s="3">
        <f t="shared" si="3"/>
        <v>238627617.28061265</v>
      </c>
      <c r="T54" s="7">
        <f t="shared" si="15"/>
        <v>207.72678357740074</v>
      </c>
      <c r="U54" s="7">
        <f t="shared" si="21"/>
        <v>51.931695894350185</v>
      </c>
      <c r="V54" s="7">
        <f t="shared" si="9"/>
        <v>238627565.34891674</v>
      </c>
      <c r="W54" s="7">
        <f t="shared" si="22"/>
        <v>64429442.644207522</v>
      </c>
      <c r="X54" s="11">
        <f t="shared" si="14"/>
        <v>174198174.63640511</v>
      </c>
      <c r="Y54" s="7">
        <f t="shared" si="20"/>
        <v>37080765.914408825</v>
      </c>
    </row>
    <row r="55" spans="5:25">
      <c r="E55">
        <v>52</v>
      </c>
      <c r="F55" s="2">
        <f t="shared" si="25"/>
        <v>385440000</v>
      </c>
      <c r="G55" s="2">
        <f t="shared" si="26"/>
        <v>19600000</v>
      </c>
      <c r="H55" s="2">
        <f t="shared" si="0"/>
        <v>365840000</v>
      </c>
      <c r="I55" s="2">
        <f t="shared" si="24"/>
        <v>1816006.8443897334</v>
      </c>
      <c r="J55" s="2">
        <f t="shared" si="6"/>
        <v>544802.05331691995</v>
      </c>
      <c r="K55" s="2">
        <f t="shared" si="7"/>
        <v>365295197.94668311</v>
      </c>
      <c r="L55" s="2">
        <f t="shared" si="23"/>
        <v>98629703.445604444</v>
      </c>
      <c r="M55" s="2">
        <f t="shared" si="12"/>
        <v>267210296.55439556</v>
      </c>
      <c r="N55" s="2">
        <f t="shared" si="19"/>
        <v>55180276.879812382</v>
      </c>
      <c r="P55">
        <v>52</v>
      </c>
      <c r="Q55" s="3">
        <f t="shared" si="18"/>
        <v>385440000</v>
      </c>
      <c r="R55" s="6">
        <f>$C$13+$C$6*$A$18*$C$10+50*'Carbon Tax'!$B$6</f>
        <v>146812382.71938735</v>
      </c>
      <c r="S55" s="3">
        <f t="shared" si="3"/>
        <v>238627617.28061265</v>
      </c>
      <c r="T55" s="7">
        <f t="shared" si="15"/>
        <v>155.79508768305055</v>
      </c>
      <c r="U55" s="7">
        <f t="shared" si="21"/>
        <v>38.948771920762638</v>
      </c>
      <c r="V55" s="7">
        <f t="shared" si="9"/>
        <v>238627578.33184072</v>
      </c>
      <c r="W55" s="7">
        <f t="shared" si="22"/>
        <v>64429446.149596997</v>
      </c>
      <c r="X55" s="11">
        <f t="shared" si="14"/>
        <v>174198171.13101566</v>
      </c>
      <c r="Y55" s="7">
        <f t="shared" si="20"/>
        <v>35972802.840737924</v>
      </c>
    </row>
    <row r="56" spans="5:25">
      <c r="E56">
        <v>53</v>
      </c>
      <c r="F56" s="2">
        <f t="shared" si="25"/>
        <v>385440000</v>
      </c>
      <c r="G56" s="2">
        <f t="shared" si="26"/>
        <v>19600000</v>
      </c>
      <c r="H56" s="2">
        <f t="shared" si="0"/>
        <v>365840000</v>
      </c>
      <c r="I56" s="2">
        <f t="shared" si="24"/>
        <v>1271204.7910728133</v>
      </c>
      <c r="J56" s="2">
        <f t="shared" si="6"/>
        <v>381361.43732184399</v>
      </c>
      <c r="K56" s="2">
        <f t="shared" si="7"/>
        <v>365458638.56267816</v>
      </c>
      <c r="L56" s="2">
        <f t="shared" si="23"/>
        <v>98673832.41192311</v>
      </c>
      <c r="M56" s="2">
        <f t="shared" si="12"/>
        <v>267166167.58807689</v>
      </c>
      <c r="N56" s="2">
        <f t="shared" si="19"/>
        <v>53522665.915030345</v>
      </c>
      <c r="P56">
        <v>53</v>
      </c>
      <c r="Q56" s="3">
        <f t="shared" si="18"/>
        <v>385440000</v>
      </c>
      <c r="R56" s="6">
        <f>$C$13+$C$6*$A$18*$C$10+50*'Carbon Tax'!$B$6</f>
        <v>146812382.71938735</v>
      </c>
      <c r="S56" s="3">
        <f t="shared" si="3"/>
        <v>238627617.28061265</v>
      </c>
      <c r="T56" s="7">
        <f t="shared" si="15"/>
        <v>116.84631576228792</v>
      </c>
      <c r="U56" s="7">
        <f t="shared" si="21"/>
        <v>29.211578940571979</v>
      </c>
      <c r="V56" s="7">
        <f t="shared" si="9"/>
        <v>238627588.06903371</v>
      </c>
      <c r="W56" s="7">
        <f t="shared" si="22"/>
        <v>64429448.778639108</v>
      </c>
      <c r="X56" s="11">
        <f t="shared" si="14"/>
        <v>174198168.50197354</v>
      </c>
      <c r="Y56" s="7">
        <f t="shared" si="20"/>
        <v>34897945.574143812</v>
      </c>
    </row>
    <row r="57" spans="5:25">
      <c r="E57">
        <v>54</v>
      </c>
      <c r="F57" s="2">
        <f t="shared" si="25"/>
        <v>385440000</v>
      </c>
      <c r="G57" s="2">
        <f t="shared" si="26"/>
        <v>19600000</v>
      </c>
      <c r="H57" s="2">
        <f t="shared" si="0"/>
        <v>365840000</v>
      </c>
      <c r="I57" s="2">
        <f t="shared" si="24"/>
        <v>889843.35375096928</v>
      </c>
      <c r="J57" s="2">
        <f t="shared" si="6"/>
        <v>266953.00612529076</v>
      </c>
      <c r="K57" s="2">
        <f t="shared" si="7"/>
        <v>365573046.99387473</v>
      </c>
      <c r="L57" s="2">
        <f t="shared" si="23"/>
        <v>98704722.688346177</v>
      </c>
      <c r="M57" s="2">
        <f t="shared" si="12"/>
        <v>267135277.31165382</v>
      </c>
      <c r="N57" s="2">
        <f t="shared" si="19"/>
        <v>51917420.954012886</v>
      </c>
      <c r="P57">
        <v>54</v>
      </c>
      <c r="Q57" s="3">
        <f t="shared" si="18"/>
        <v>385440000</v>
      </c>
      <c r="R57" s="6">
        <f>$C$13+$C$6*$A$18*$C$10+50*'Carbon Tax'!$B$6</f>
        <v>146812382.71938735</v>
      </c>
      <c r="S57" s="3">
        <f t="shared" si="3"/>
        <v>238627617.28061265</v>
      </c>
      <c r="T57" s="7">
        <f t="shared" si="15"/>
        <v>87.634736821715933</v>
      </c>
      <c r="U57" s="7">
        <f t="shared" si="21"/>
        <v>21.908684205428983</v>
      </c>
      <c r="V57" s="7">
        <f t="shared" si="9"/>
        <v>238627595.37192845</v>
      </c>
      <c r="W57" s="7">
        <f t="shared" si="22"/>
        <v>64429450.75042069</v>
      </c>
      <c r="X57" s="11">
        <f t="shared" si="14"/>
        <v>174198166.53019196</v>
      </c>
      <c r="Y57" s="7">
        <f t="shared" si="20"/>
        <v>33855204.869157396</v>
      </c>
    </row>
    <row r="58" spans="5:25">
      <c r="E58">
        <v>55</v>
      </c>
      <c r="F58" s="2">
        <f t="shared" si="25"/>
        <v>385440000</v>
      </c>
      <c r="G58" s="2">
        <f t="shared" si="26"/>
        <v>19600000</v>
      </c>
      <c r="H58" s="2">
        <f t="shared" si="0"/>
        <v>365840000</v>
      </c>
      <c r="I58" s="2">
        <f t="shared" si="24"/>
        <v>622890.34762567852</v>
      </c>
      <c r="J58" s="2">
        <f t="shared" si="6"/>
        <v>186867.10428770355</v>
      </c>
      <c r="K58" s="2">
        <f t="shared" si="7"/>
        <v>365653132.89571232</v>
      </c>
      <c r="L58" s="2">
        <f t="shared" si="23"/>
        <v>98726345.88184233</v>
      </c>
      <c r="M58" s="2">
        <f t="shared" si="12"/>
        <v>267113654.11815768</v>
      </c>
      <c r="N58" s="2">
        <f t="shared" si="19"/>
        <v>50362066.853196301</v>
      </c>
      <c r="P58">
        <v>55</v>
      </c>
      <c r="Q58" s="3">
        <f t="shared" si="18"/>
        <v>385440000</v>
      </c>
      <c r="R58" s="6">
        <f>$C$13+$C$6*$A$18*$C$10+50*'Carbon Tax'!$B$6+$C$12</f>
        <v>513612382.71938735</v>
      </c>
      <c r="S58" s="3">
        <f t="shared" si="3"/>
        <v>-128172382.71938735</v>
      </c>
      <c r="T58" s="7">
        <f t="shared" si="15"/>
        <v>65.72605261628695</v>
      </c>
      <c r="U58" s="15">
        <v>0</v>
      </c>
      <c r="V58" s="15">
        <f>S58-U58+$C$12+$C$14</f>
        <v>238627683.00666526</v>
      </c>
      <c r="W58" s="7">
        <f t="shared" si="22"/>
        <v>64429474.411799625</v>
      </c>
      <c r="X58" s="16">
        <f>IF(W58&lt;0,S58,S58-W58+$C$14)</f>
        <v>-192601791.40513435</v>
      </c>
      <c r="Y58" s="7">
        <f t="shared" si="20"/>
        <v>-36313472.356227919</v>
      </c>
    </row>
    <row r="59" spans="5:25">
      <c r="E59">
        <v>56</v>
      </c>
      <c r="F59" s="2">
        <f t="shared" si="25"/>
        <v>385440000</v>
      </c>
      <c r="G59" s="2">
        <f t="shared" si="26"/>
        <v>19600000</v>
      </c>
      <c r="H59" s="2">
        <f t="shared" si="0"/>
        <v>365840000</v>
      </c>
      <c r="I59" s="2">
        <f t="shared" si="24"/>
        <v>436023.243337975</v>
      </c>
      <c r="J59" s="2">
        <f t="shared" si="6"/>
        <v>130806.9730013925</v>
      </c>
      <c r="K59" s="2">
        <f t="shared" si="7"/>
        <v>365709193.02699858</v>
      </c>
      <c r="L59" s="2">
        <f t="shared" si="23"/>
        <v>98741482.117289618</v>
      </c>
      <c r="M59" s="2">
        <f t="shared" si="12"/>
        <v>267098517.8827104</v>
      </c>
      <c r="N59" s="2">
        <f t="shared" si="19"/>
        <v>48854494.607473239</v>
      </c>
      <c r="P59">
        <v>56</v>
      </c>
      <c r="Q59" s="7">
        <v>0</v>
      </c>
      <c r="R59" s="7">
        <v>0</v>
      </c>
      <c r="S59" s="3">
        <f t="shared" si="3"/>
        <v>0</v>
      </c>
      <c r="T59" s="3">
        <f>$C$12</f>
        <v>366800000</v>
      </c>
      <c r="U59" s="7">
        <f t="shared" ref="U59:U90" si="27">T59*$B$29</f>
        <v>91700000</v>
      </c>
      <c r="V59" s="7">
        <f t="shared" si="9"/>
        <v>-91700000</v>
      </c>
      <c r="W59" s="7">
        <f t="shared" si="22"/>
        <v>-24759000</v>
      </c>
      <c r="X59" s="11">
        <f t="shared" si="14"/>
        <v>0</v>
      </c>
      <c r="Y59" s="7">
        <f t="shared" si="20"/>
        <v>0</v>
      </c>
    </row>
    <row r="60" spans="5:25">
      <c r="E60">
        <v>57</v>
      </c>
      <c r="F60" s="2">
        <f t="shared" si="25"/>
        <v>385440000</v>
      </c>
      <c r="G60" s="2">
        <f t="shared" si="26"/>
        <v>19600000</v>
      </c>
      <c r="H60" s="2">
        <f t="shared" si="0"/>
        <v>365840000</v>
      </c>
      <c r="I60" s="2">
        <f t="shared" si="24"/>
        <v>305216.2703365825</v>
      </c>
      <c r="J60" s="2">
        <f t="shared" si="6"/>
        <v>91564.881100974744</v>
      </c>
      <c r="K60" s="2">
        <f t="shared" si="7"/>
        <v>365748435.11889905</v>
      </c>
      <c r="L60" s="2">
        <f t="shared" si="23"/>
        <v>98752077.482102752</v>
      </c>
      <c r="M60" s="2">
        <f t="shared" si="12"/>
        <v>267087922.51789725</v>
      </c>
      <c r="N60" s="2">
        <f t="shared" si="19"/>
        <v>47392856.644298561</v>
      </c>
      <c r="P60">
        <v>57</v>
      </c>
      <c r="Q60" s="7">
        <v>0</v>
      </c>
      <c r="R60" s="7">
        <v>0</v>
      </c>
      <c r="S60" s="3">
        <f t="shared" si="3"/>
        <v>0</v>
      </c>
      <c r="T60" s="7">
        <f>T59-U59</f>
        <v>275100000</v>
      </c>
      <c r="U60" s="7">
        <f t="shared" si="27"/>
        <v>68775000</v>
      </c>
      <c r="V60" s="7">
        <f t="shared" si="9"/>
        <v>-68775000</v>
      </c>
      <c r="W60" s="7">
        <f t="shared" si="22"/>
        <v>-43328250</v>
      </c>
      <c r="X60" s="11">
        <f t="shared" si="14"/>
        <v>0</v>
      </c>
      <c r="Y60" s="7">
        <f t="shared" si="20"/>
        <v>0</v>
      </c>
    </row>
    <row r="61" spans="5:25">
      <c r="E61">
        <v>58</v>
      </c>
      <c r="F61" s="2">
        <f t="shared" si="25"/>
        <v>385440000</v>
      </c>
      <c r="G61" s="2">
        <f t="shared" si="26"/>
        <v>19600000</v>
      </c>
      <c r="H61" s="2">
        <f t="shared" si="0"/>
        <v>365840000</v>
      </c>
      <c r="I61" s="2">
        <f t="shared" si="24"/>
        <v>213651.38923560776</v>
      </c>
      <c r="J61" s="2">
        <f t="shared" si="6"/>
        <v>64095.416770682321</v>
      </c>
      <c r="K61" s="2">
        <f t="shared" si="7"/>
        <v>365775904.5832293</v>
      </c>
      <c r="L61" s="2">
        <f t="shared" si="23"/>
        <v>98759494.237471923</v>
      </c>
      <c r="M61" s="2">
        <f t="shared" si="12"/>
        <v>267080505.76252806</v>
      </c>
      <c r="N61" s="2">
        <f t="shared" si="19"/>
        <v>45975495.337297462</v>
      </c>
      <c r="P61">
        <v>58</v>
      </c>
      <c r="Q61" s="7">
        <v>0</v>
      </c>
      <c r="R61" s="7">
        <v>0</v>
      </c>
      <c r="S61" s="3">
        <f t="shared" si="3"/>
        <v>0</v>
      </c>
      <c r="T61" s="7">
        <f t="shared" ref="T61:T113" si="28">T60-U60</f>
        <v>206325000</v>
      </c>
      <c r="U61" s="7">
        <f t="shared" si="27"/>
        <v>51581250</v>
      </c>
      <c r="V61" s="7">
        <f t="shared" si="9"/>
        <v>-51581250</v>
      </c>
      <c r="W61" s="7">
        <f t="shared" si="22"/>
        <v>-57255187.5</v>
      </c>
      <c r="X61" s="11">
        <f t="shared" si="14"/>
        <v>0</v>
      </c>
      <c r="Y61" s="7">
        <f t="shared" si="20"/>
        <v>0</v>
      </c>
    </row>
    <row r="62" spans="5:25">
      <c r="E62">
        <v>59</v>
      </c>
      <c r="F62" s="2">
        <f t="shared" si="25"/>
        <v>385440000</v>
      </c>
      <c r="G62" s="2">
        <f t="shared" si="26"/>
        <v>19600000</v>
      </c>
      <c r="H62" s="2">
        <f t="shared" si="0"/>
        <v>365840000</v>
      </c>
      <c r="I62" s="2">
        <f t="shared" si="24"/>
        <v>149555.97246492543</v>
      </c>
      <c r="J62" s="2">
        <f t="shared" si="6"/>
        <v>44866.79173947763</v>
      </c>
      <c r="K62" s="2">
        <f t="shared" si="7"/>
        <v>365795133.20826054</v>
      </c>
      <c r="L62" s="2">
        <f t="shared" si="23"/>
        <v>98764685.966230348</v>
      </c>
      <c r="M62" s="2">
        <f t="shared" si="12"/>
        <v>267075314.03376967</v>
      </c>
      <c r="N62" s="2">
        <f t="shared" si="19"/>
        <v>44600894.090135582</v>
      </c>
      <c r="P62">
        <v>59</v>
      </c>
      <c r="Q62" s="7">
        <v>0</v>
      </c>
      <c r="R62" s="7">
        <v>0</v>
      </c>
      <c r="S62" s="3">
        <f t="shared" si="3"/>
        <v>0</v>
      </c>
      <c r="T62" s="7">
        <f t="shared" si="28"/>
        <v>154743750</v>
      </c>
      <c r="U62" s="7">
        <f t="shared" si="27"/>
        <v>38685937.5</v>
      </c>
      <c r="V62" s="7">
        <f t="shared" si="9"/>
        <v>-38685937.5</v>
      </c>
      <c r="W62" s="7">
        <f t="shared" si="22"/>
        <v>-67700390.625</v>
      </c>
      <c r="X62" s="11">
        <f t="shared" si="14"/>
        <v>0</v>
      </c>
      <c r="Y62" s="7">
        <f t="shared" si="20"/>
        <v>0</v>
      </c>
    </row>
    <row r="63" spans="5:25">
      <c r="E63">
        <v>60</v>
      </c>
      <c r="F63" s="2">
        <f t="shared" si="25"/>
        <v>385440000</v>
      </c>
      <c r="G63" s="2">
        <f t="shared" si="26"/>
        <v>19600000</v>
      </c>
      <c r="H63" s="2">
        <f t="shared" si="0"/>
        <v>365840000</v>
      </c>
      <c r="I63" s="2">
        <f t="shared" si="24"/>
        <v>104689.1807254478</v>
      </c>
      <c r="J63" s="2">
        <f t="shared" si="6"/>
        <v>31406.754217634341</v>
      </c>
      <c r="K63" s="2">
        <f t="shared" si="7"/>
        <v>365808593.24578238</v>
      </c>
      <c r="L63" s="2">
        <f t="shared" si="23"/>
        <v>98768320.176361248</v>
      </c>
      <c r="M63" s="2">
        <f t="shared" si="12"/>
        <v>267071679.82363874</v>
      </c>
      <c r="N63" s="2">
        <f t="shared" si="19"/>
        <v>43267643.758578189</v>
      </c>
      <c r="P63">
        <v>60</v>
      </c>
      <c r="Q63" s="7">
        <v>0</v>
      </c>
      <c r="R63" s="7">
        <v>0</v>
      </c>
      <c r="S63" s="3">
        <f t="shared" si="3"/>
        <v>0</v>
      </c>
      <c r="T63" s="7">
        <f t="shared" si="28"/>
        <v>116057812.5</v>
      </c>
      <c r="U63" s="7">
        <f t="shared" si="27"/>
        <v>29014453.125</v>
      </c>
      <c r="V63" s="7">
        <f t="shared" si="9"/>
        <v>-29014453.125</v>
      </c>
      <c r="W63" s="7">
        <f t="shared" si="22"/>
        <v>-75534292.96875</v>
      </c>
      <c r="X63" s="11">
        <f t="shared" si="14"/>
        <v>0</v>
      </c>
      <c r="Y63" s="7">
        <f t="shared" si="20"/>
        <v>0</v>
      </c>
    </row>
    <row r="64" spans="5:25">
      <c r="E64">
        <v>61</v>
      </c>
      <c r="F64" s="2">
        <f t="shared" si="25"/>
        <v>385440000</v>
      </c>
      <c r="G64" s="2">
        <f t="shared" si="26"/>
        <v>19600000</v>
      </c>
      <c r="H64" s="2">
        <f t="shared" si="0"/>
        <v>365840000</v>
      </c>
      <c r="I64" s="2">
        <f t="shared" si="24"/>
        <v>73282.426507813463</v>
      </c>
      <c r="J64" s="2">
        <f t="shared" si="6"/>
        <v>21984.727952344037</v>
      </c>
      <c r="K64" s="2">
        <f t="shared" si="7"/>
        <v>365818015.27204764</v>
      </c>
      <c r="L64" s="2">
        <f t="shared" si="23"/>
        <v>98770864.123452872</v>
      </c>
      <c r="M64" s="2">
        <f t="shared" si="12"/>
        <v>267069135.87654713</v>
      </c>
      <c r="N64" s="2">
        <f t="shared" si="19"/>
        <v>41974419.499221407</v>
      </c>
      <c r="P64">
        <v>61</v>
      </c>
      <c r="Q64" s="3">
        <f t="shared" ref="Q64:Q113" si="29">$C$11</f>
        <v>385440000</v>
      </c>
      <c r="R64" s="6">
        <f>$C$13+$C$6*$A$18*$C$10+50*'Carbon Tax'!$B$6</f>
        <v>146812382.71938735</v>
      </c>
      <c r="S64" s="3">
        <f t="shared" si="3"/>
        <v>238627617.28061265</v>
      </c>
      <c r="T64" s="7">
        <f t="shared" si="28"/>
        <v>87043359.375</v>
      </c>
      <c r="U64" s="7">
        <f t="shared" si="27"/>
        <v>21760839.84375</v>
      </c>
      <c r="V64" s="7">
        <f t="shared" si="9"/>
        <v>216866777.43686265</v>
      </c>
      <c r="W64" s="7">
        <f t="shared" si="22"/>
        <v>-16980263.06079708</v>
      </c>
      <c r="X64" s="11">
        <f t="shared" si="14"/>
        <v>238627617.28061265</v>
      </c>
      <c r="Y64" s="7">
        <f t="shared" si="20"/>
        <v>37504355.113748938</v>
      </c>
    </row>
    <row r="65" spans="5:25">
      <c r="E65">
        <v>62</v>
      </c>
      <c r="F65" s="2">
        <f t="shared" si="25"/>
        <v>385440000</v>
      </c>
      <c r="G65" s="2">
        <f t="shared" si="26"/>
        <v>19600000</v>
      </c>
      <c r="H65" s="2">
        <f t="shared" si="0"/>
        <v>365840000</v>
      </c>
      <c r="I65" s="2">
        <f t="shared" si="24"/>
        <v>51297.698555469426</v>
      </c>
      <c r="J65" s="2">
        <f t="shared" si="6"/>
        <v>15389.309566640826</v>
      </c>
      <c r="K65" s="2">
        <f t="shared" si="7"/>
        <v>365824610.69043338</v>
      </c>
      <c r="L65" s="2">
        <f t="shared" si="23"/>
        <v>98772644.886417016</v>
      </c>
      <c r="M65" s="2">
        <f t="shared" si="12"/>
        <v>267067355.11358297</v>
      </c>
      <c r="N65" s="2">
        <f t="shared" si="19"/>
        <v>40719964.70923993</v>
      </c>
      <c r="P65">
        <v>62</v>
      </c>
      <c r="Q65" s="3">
        <f t="shared" si="29"/>
        <v>385440000</v>
      </c>
      <c r="R65" s="6">
        <f>$C$13+$C$6*$A$18*$C$10+50*'Carbon Tax'!$B$6</f>
        <v>146812382.71938735</v>
      </c>
      <c r="S65" s="3">
        <f t="shared" si="3"/>
        <v>238627617.28061265</v>
      </c>
      <c r="T65" s="7">
        <f t="shared" si="28"/>
        <v>65282519.53125</v>
      </c>
      <c r="U65" s="7">
        <f t="shared" si="27"/>
        <v>16320629.8828125</v>
      </c>
      <c r="V65" s="7">
        <f t="shared" si="9"/>
        <v>222306987.39780015</v>
      </c>
      <c r="W65" s="7">
        <f t="shared" si="22"/>
        <v>43042623.536608964</v>
      </c>
      <c r="X65" s="11">
        <f t="shared" si="14"/>
        <v>195584993.74400368</v>
      </c>
      <c r="Y65" s="7">
        <f t="shared" si="20"/>
        <v>29820994.18150745</v>
      </c>
    </row>
    <row r="66" spans="5:25">
      <c r="E66">
        <v>63</v>
      </c>
      <c r="F66" s="2">
        <f t="shared" si="25"/>
        <v>385440000</v>
      </c>
      <c r="G66" s="2">
        <f t="shared" si="26"/>
        <v>19600000</v>
      </c>
      <c r="H66" s="2">
        <f t="shared" si="0"/>
        <v>365840000</v>
      </c>
      <c r="I66" s="2">
        <f t="shared" si="24"/>
        <v>35908.388988828599</v>
      </c>
      <c r="J66" s="2">
        <f t="shared" si="6"/>
        <v>10772.516696648579</v>
      </c>
      <c r="K66" s="2">
        <f t="shared" si="7"/>
        <v>365829227.48330337</v>
      </c>
      <c r="L66" s="2">
        <f t="shared" si="23"/>
        <v>98773891.420491919</v>
      </c>
      <c r="M66" s="2">
        <f t="shared" si="12"/>
        <v>267066108.57950807</v>
      </c>
      <c r="N66" s="2">
        <f t="shared" si="19"/>
        <v>39503079.791649543</v>
      </c>
      <c r="P66">
        <v>63</v>
      </c>
      <c r="Q66" s="3">
        <f t="shared" si="29"/>
        <v>385440000</v>
      </c>
      <c r="R66" s="6">
        <f>$C$13+$C$6*$A$18*$C$10+50*'Carbon Tax'!$B$6</f>
        <v>146812382.71938735</v>
      </c>
      <c r="S66" s="3">
        <f t="shared" si="3"/>
        <v>238627617.28061265</v>
      </c>
      <c r="T66" s="7">
        <f t="shared" si="28"/>
        <v>48961889.6484375</v>
      </c>
      <c r="U66" s="7">
        <f t="shared" si="27"/>
        <v>12240472.412109375</v>
      </c>
      <c r="V66" s="7">
        <f t="shared" si="9"/>
        <v>226387144.86850327</v>
      </c>
      <c r="W66" s="7">
        <f t="shared" si="22"/>
        <v>61124529.114495888</v>
      </c>
      <c r="X66" s="11">
        <f t="shared" si="14"/>
        <v>177503088.16611677</v>
      </c>
      <c r="Y66" s="7">
        <f t="shared" si="20"/>
        <v>26255366.854243886</v>
      </c>
    </row>
    <row r="67" spans="5:25">
      <c r="E67">
        <v>64</v>
      </c>
      <c r="F67" s="2">
        <f t="shared" si="25"/>
        <v>385440000</v>
      </c>
      <c r="G67" s="2">
        <f t="shared" si="26"/>
        <v>19600000</v>
      </c>
      <c r="H67" s="2">
        <f t="shared" ref="H67:H130" si="30">$F67-$G67</f>
        <v>365840000</v>
      </c>
      <c r="I67" s="2">
        <f t="shared" si="24"/>
        <v>25135.872292180022</v>
      </c>
      <c r="J67" s="2">
        <f t="shared" si="6"/>
        <v>7540.761687654006</v>
      </c>
      <c r="K67" s="2">
        <f t="shared" si="7"/>
        <v>365832459.23831236</v>
      </c>
      <c r="L67" s="2">
        <f t="shared" si="23"/>
        <v>98774763.994344339</v>
      </c>
      <c r="M67" s="2">
        <f t="shared" si="12"/>
        <v>267065236.00565565</v>
      </c>
      <c r="N67" s="2">
        <f t="shared" ref="N67:N98" si="31">M67/((1+$B$16)^E67)</f>
        <v>38322614.207314812</v>
      </c>
      <c r="P67">
        <v>64</v>
      </c>
      <c r="Q67" s="3">
        <f t="shared" si="29"/>
        <v>385440000</v>
      </c>
      <c r="R67" s="6">
        <f>$C$13+$C$6*$A$18*$C$10+50*'Carbon Tax'!$B$6</f>
        <v>146812382.71938735</v>
      </c>
      <c r="S67" s="3">
        <f t="shared" ref="S67:S130" si="32">Q67-R67</f>
        <v>238627617.28061265</v>
      </c>
      <c r="T67" s="7">
        <f t="shared" si="28"/>
        <v>36721417.236328125</v>
      </c>
      <c r="U67" s="7">
        <f t="shared" si="27"/>
        <v>9180354.3090820313</v>
      </c>
      <c r="V67" s="7">
        <f t="shared" si="9"/>
        <v>229447262.97153062</v>
      </c>
      <c r="W67" s="7">
        <f t="shared" si="22"/>
        <v>61950761.002313271</v>
      </c>
      <c r="X67" s="11">
        <f t="shared" si="14"/>
        <v>176676856.27829939</v>
      </c>
      <c r="Y67" s="7">
        <f t="shared" ref="Y67:Y98" si="33">X67/((1+$B$16)^P67)</f>
        <v>25352303.818274159</v>
      </c>
    </row>
    <row r="68" spans="5:25">
      <c r="E68">
        <v>65</v>
      </c>
      <c r="F68" s="2">
        <f t="shared" si="25"/>
        <v>385440000</v>
      </c>
      <c r="G68" s="2">
        <f t="shared" si="26"/>
        <v>19600000</v>
      </c>
      <c r="H68" s="2">
        <f t="shared" si="30"/>
        <v>365840000</v>
      </c>
      <c r="I68" s="2">
        <f t="shared" si="24"/>
        <v>17595.110604526017</v>
      </c>
      <c r="J68" s="2">
        <f t="shared" ref="J68" si="34">I68*0.3</f>
        <v>5278.533181357805</v>
      </c>
      <c r="K68" s="2">
        <f t="shared" ref="K68:K131" si="35">H68-J68</f>
        <v>365834721.46681863</v>
      </c>
      <c r="L68" s="2">
        <f t="shared" si="23"/>
        <v>98775374.796041042</v>
      </c>
      <c r="M68" s="2">
        <f t="shared" si="12"/>
        <v>267064625.20395896</v>
      </c>
      <c r="N68" s="2">
        <f t="shared" si="31"/>
        <v>37177460.768455274</v>
      </c>
      <c r="P68">
        <v>65</v>
      </c>
      <c r="Q68" s="3">
        <f t="shared" si="29"/>
        <v>385440000</v>
      </c>
      <c r="R68" s="6">
        <f>$C$13+$C$6*$A$18*$C$10+50*'Carbon Tax'!$B$6</f>
        <v>146812382.71938735</v>
      </c>
      <c r="S68" s="3">
        <f t="shared" si="32"/>
        <v>238627617.28061265</v>
      </c>
      <c r="T68" s="7">
        <f t="shared" si="28"/>
        <v>27541062.927246094</v>
      </c>
      <c r="U68" s="7">
        <f t="shared" si="27"/>
        <v>6885265.7318115234</v>
      </c>
      <c r="V68" s="7">
        <f t="shared" ref="V68:V131" si="36">S68-U68</f>
        <v>231742351.54880112</v>
      </c>
      <c r="W68" s="7">
        <f t="shared" si="22"/>
        <v>62570434.918176308</v>
      </c>
      <c r="X68" s="11">
        <f t="shared" si="14"/>
        <v>176057182.36243635</v>
      </c>
      <c r="Y68" s="7">
        <f t="shared" si="33"/>
        <v>24508521.056600146</v>
      </c>
    </row>
    <row r="69" spans="5:25">
      <c r="E69">
        <v>66</v>
      </c>
      <c r="F69" s="2">
        <f t="shared" si="25"/>
        <v>385440000</v>
      </c>
      <c r="G69" s="2">
        <f>$B$13+$B$12</f>
        <v>1134800000</v>
      </c>
      <c r="H69" s="2">
        <f t="shared" si="30"/>
        <v>-749360000</v>
      </c>
      <c r="I69" s="2">
        <f t="shared" si="24"/>
        <v>12316.577423168212</v>
      </c>
      <c r="J69" s="13">
        <v>0</v>
      </c>
      <c r="K69" s="13">
        <f>H69-J69+$B$12+$B$14</f>
        <v>365852316.57742316</v>
      </c>
      <c r="L69" s="2">
        <f t="shared" si="23"/>
        <v>98780125.475904256</v>
      </c>
      <c r="M69" s="13">
        <f>IF(L69&lt;0,H69,H69-L69+$B$14)</f>
        <v>-848127808.89848101</v>
      </c>
      <c r="N69" s="2">
        <f t="shared" si="31"/>
        <v>-114538172.98350552</v>
      </c>
      <c r="P69">
        <v>66</v>
      </c>
      <c r="Q69" s="3">
        <f t="shared" si="29"/>
        <v>385440000</v>
      </c>
      <c r="R69" s="6">
        <f>$C$13+$C$6*$A$18*$C$10+50*'Carbon Tax'!$B$6</f>
        <v>146812382.71938735</v>
      </c>
      <c r="S69" s="3">
        <f t="shared" si="32"/>
        <v>238627617.28061265</v>
      </c>
      <c r="T69" s="7">
        <f t="shared" si="28"/>
        <v>20655797.19543457</v>
      </c>
      <c r="U69" s="7">
        <f t="shared" si="27"/>
        <v>5163949.2988586426</v>
      </c>
      <c r="V69" s="7">
        <f t="shared" si="36"/>
        <v>233463667.981754</v>
      </c>
      <c r="W69" s="7">
        <f t="shared" ref="W69:W100" si="37">IF(W68&lt;0,V69*$B$15+W68,V69*$B$15)</f>
        <v>63035190.355073586</v>
      </c>
      <c r="X69" s="11">
        <f t="shared" ref="X69:X132" si="38">IF(W69&lt;0,S69,S69-W69)</f>
        <v>175592426.92553908</v>
      </c>
      <c r="Y69" s="7">
        <f t="shared" si="33"/>
        <v>23713449.268821597</v>
      </c>
    </row>
    <row r="70" spans="5:25">
      <c r="E70">
        <v>67</v>
      </c>
      <c r="F70" s="2">
        <v>0</v>
      </c>
      <c r="G70" s="2">
        <v>0</v>
      </c>
      <c r="H70" s="2">
        <f t="shared" si="30"/>
        <v>0</v>
      </c>
      <c r="I70" s="2">
        <v>1115200000</v>
      </c>
      <c r="J70" s="2">
        <f>I70*0.3</f>
        <v>334560000</v>
      </c>
      <c r="K70" s="2">
        <f t="shared" si="35"/>
        <v>-334560000</v>
      </c>
      <c r="L70" s="2">
        <f>K70*$B$15</f>
        <v>-90331200</v>
      </c>
      <c r="M70" s="2">
        <f t="shared" ref="M70:M133" si="39">IF(L70&lt;0,H70,H70-L70)</f>
        <v>0</v>
      </c>
      <c r="N70" s="2">
        <f t="shared" si="31"/>
        <v>0</v>
      </c>
      <c r="P70">
        <v>67</v>
      </c>
      <c r="Q70" s="3">
        <f t="shared" si="29"/>
        <v>385440000</v>
      </c>
      <c r="R70" s="6">
        <f>$C$13+$C$6*$A$18*$C$10+50*'Carbon Tax'!$B$6</f>
        <v>146812382.71938735</v>
      </c>
      <c r="S70" s="3">
        <f t="shared" si="32"/>
        <v>238627617.28061265</v>
      </c>
      <c r="T70" s="7">
        <f t="shared" si="28"/>
        <v>15491847.896575928</v>
      </c>
      <c r="U70" s="7">
        <f t="shared" si="27"/>
        <v>3872961.9741439819</v>
      </c>
      <c r="V70" s="7">
        <f t="shared" si="36"/>
        <v>234754655.30646867</v>
      </c>
      <c r="W70" s="7">
        <f t="shared" si="37"/>
        <v>63383756.932746544</v>
      </c>
      <c r="X70" s="11">
        <f t="shared" si="38"/>
        <v>175243860.34786612</v>
      </c>
      <c r="Y70" s="7">
        <f t="shared" si="33"/>
        <v>22959231.629694778</v>
      </c>
    </row>
    <row r="71" spans="5:25">
      <c r="E71">
        <v>68</v>
      </c>
      <c r="F71" s="2">
        <v>0</v>
      </c>
      <c r="G71" s="2">
        <v>0</v>
      </c>
      <c r="H71" s="2">
        <f t="shared" si="30"/>
        <v>0</v>
      </c>
      <c r="I71" s="2">
        <f>I70-J70</f>
        <v>780640000</v>
      </c>
      <c r="J71" s="2">
        <f>I71*0.3</f>
        <v>234192000</v>
      </c>
      <c r="K71" s="2">
        <f t="shared" si="35"/>
        <v>-234192000</v>
      </c>
      <c r="L71" s="2">
        <f t="shared" ref="L71:L102" si="40">IF(L70&lt;0,K71*$B$15+L70,K71*$B$15)</f>
        <v>-153563040</v>
      </c>
      <c r="M71" s="2">
        <f t="shared" si="39"/>
        <v>0</v>
      </c>
      <c r="N71" s="2">
        <f t="shared" si="31"/>
        <v>0</v>
      </c>
      <c r="P71">
        <v>68</v>
      </c>
      <c r="Q71" s="3">
        <f t="shared" si="29"/>
        <v>385440000</v>
      </c>
      <c r="R71" s="6">
        <f>$C$13+$C$6*$A$18*$C$10+50*'Carbon Tax'!$B$6</f>
        <v>146812382.71938735</v>
      </c>
      <c r="S71" s="3">
        <f t="shared" si="32"/>
        <v>238627617.28061265</v>
      </c>
      <c r="T71" s="7">
        <f t="shared" si="28"/>
        <v>11618885.922431946</v>
      </c>
      <c r="U71" s="7">
        <f t="shared" si="27"/>
        <v>2904721.4806079865</v>
      </c>
      <c r="V71" s="7">
        <f t="shared" si="36"/>
        <v>235722895.80000466</v>
      </c>
      <c r="W71" s="7">
        <f t="shared" si="37"/>
        <v>63645181.866001263</v>
      </c>
      <c r="X71" s="11">
        <f t="shared" si="38"/>
        <v>174982435.4146114</v>
      </c>
      <c r="Y71" s="7">
        <f t="shared" si="33"/>
        <v>22239989.865490027</v>
      </c>
    </row>
    <row r="72" spans="5:25">
      <c r="E72">
        <v>69</v>
      </c>
      <c r="F72" s="2">
        <v>0</v>
      </c>
      <c r="G72" s="2">
        <v>0</v>
      </c>
      <c r="H72" s="2">
        <f t="shared" si="30"/>
        <v>0</v>
      </c>
      <c r="I72" s="2">
        <f t="shared" ref="I72:I102" si="41">I71-J71</f>
        <v>546448000</v>
      </c>
      <c r="J72" s="2">
        <f t="shared" ref="J72:J101" si="42">I72*0.3</f>
        <v>163934400</v>
      </c>
      <c r="K72" s="2">
        <f t="shared" si="35"/>
        <v>-163934400</v>
      </c>
      <c r="L72" s="2">
        <f t="shared" si="40"/>
        <v>-197825328</v>
      </c>
      <c r="M72" s="2">
        <f t="shared" si="39"/>
        <v>0</v>
      </c>
      <c r="N72" s="2">
        <f t="shared" si="31"/>
        <v>0</v>
      </c>
      <c r="P72">
        <v>69</v>
      </c>
      <c r="Q72" s="3">
        <f t="shared" si="29"/>
        <v>385440000</v>
      </c>
      <c r="R72" s="6">
        <f>$C$13+$C$6*$A$18*$C$10+50*'Carbon Tax'!$B$6</f>
        <v>146812382.71938735</v>
      </c>
      <c r="S72" s="3">
        <f t="shared" si="32"/>
        <v>238627617.28061265</v>
      </c>
      <c r="T72" s="7">
        <f t="shared" si="28"/>
        <v>8714164.4418239594</v>
      </c>
      <c r="U72" s="7">
        <f t="shared" si="27"/>
        <v>2178541.1104559898</v>
      </c>
      <c r="V72" s="7">
        <f t="shared" si="36"/>
        <v>236449076.17015666</v>
      </c>
      <c r="W72" s="7">
        <f t="shared" si="37"/>
        <v>63841250.565942302</v>
      </c>
      <c r="X72" s="11">
        <f t="shared" si="38"/>
        <v>174786366.71467036</v>
      </c>
      <c r="Y72" s="7">
        <f t="shared" si="33"/>
        <v>21551290.10949219</v>
      </c>
    </row>
    <row r="73" spans="5:25">
      <c r="E73">
        <v>70</v>
      </c>
      <c r="F73" s="2">
        <f t="shared" ref="F73:F102" si="43">$B$11</f>
        <v>385440000</v>
      </c>
      <c r="G73" s="2">
        <f t="shared" ref="G73:G101" si="44">$B$13</f>
        <v>19600000</v>
      </c>
      <c r="H73" s="2">
        <f t="shared" si="30"/>
        <v>365840000</v>
      </c>
      <c r="I73" s="2">
        <f t="shared" si="41"/>
        <v>382513600</v>
      </c>
      <c r="J73" s="2">
        <f t="shared" si="42"/>
        <v>114754080</v>
      </c>
      <c r="K73" s="2">
        <f t="shared" si="35"/>
        <v>251085920</v>
      </c>
      <c r="L73" s="2">
        <f t="shared" si="40"/>
        <v>-130032129.59999999</v>
      </c>
      <c r="M73" s="2">
        <f t="shared" si="39"/>
        <v>365840000</v>
      </c>
      <c r="N73" s="2">
        <f t="shared" si="31"/>
        <v>43760522.301076934</v>
      </c>
      <c r="P73">
        <v>70</v>
      </c>
      <c r="Q73" s="3">
        <f t="shared" si="29"/>
        <v>385440000</v>
      </c>
      <c r="R73" s="6">
        <f>$C$13+$C$6*$A$18*$C$10+50*'Carbon Tax'!$B$6</f>
        <v>146812382.71938735</v>
      </c>
      <c r="S73" s="3">
        <f t="shared" si="32"/>
        <v>238627617.28061265</v>
      </c>
      <c r="T73" s="7">
        <f t="shared" si="28"/>
        <v>6535623.3313679695</v>
      </c>
      <c r="U73" s="7">
        <f t="shared" si="27"/>
        <v>1633905.8328419924</v>
      </c>
      <c r="V73" s="7">
        <f t="shared" si="36"/>
        <v>236993711.44777066</v>
      </c>
      <c r="W73" s="7">
        <f t="shared" si="37"/>
        <v>63988302.090898082</v>
      </c>
      <c r="X73" s="11">
        <f t="shared" si="38"/>
        <v>174639315.18971455</v>
      </c>
      <c r="Y73" s="7">
        <f t="shared" si="33"/>
        <v>20889754.119298894</v>
      </c>
    </row>
    <row r="74" spans="5:25">
      <c r="E74">
        <v>71</v>
      </c>
      <c r="F74" s="2">
        <f t="shared" si="43"/>
        <v>385440000</v>
      </c>
      <c r="G74" s="2">
        <f t="shared" si="44"/>
        <v>19600000</v>
      </c>
      <c r="H74" s="2">
        <f t="shared" si="30"/>
        <v>365840000</v>
      </c>
      <c r="I74" s="2">
        <f t="shared" si="41"/>
        <v>267759520</v>
      </c>
      <c r="J74" s="2">
        <f t="shared" si="42"/>
        <v>80327856</v>
      </c>
      <c r="K74" s="2">
        <f t="shared" si="35"/>
        <v>285512144</v>
      </c>
      <c r="L74" s="2">
        <f t="shared" si="40"/>
        <v>-52943850.719999984</v>
      </c>
      <c r="M74" s="2">
        <f t="shared" si="39"/>
        <v>365840000</v>
      </c>
      <c r="N74" s="2">
        <f t="shared" si="31"/>
        <v>42452970.800423883</v>
      </c>
      <c r="P74">
        <v>71</v>
      </c>
      <c r="Q74" s="3">
        <f t="shared" si="29"/>
        <v>385440000</v>
      </c>
      <c r="R74" s="6">
        <f>$C$13+$C$6*$A$18*$C$10+50*'Carbon Tax'!$B$6</f>
        <v>146812382.71938735</v>
      </c>
      <c r="S74" s="3">
        <f t="shared" si="32"/>
        <v>238627617.28061265</v>
      </c>
      <c r="T74" s="7">
        <f t="shared" si="28"/>
        <v>4901717.4985259771</v>
      </c>
      <c r="U74" s="7">
        <f t="shared" si="27"/>
        <v>1225429.3746314943</v>
      </c>
      <c r="V74" s="7">
        <f t="shared" si="36"/>
        <v>237402187.90598115</v>
      </c>
      <c r="W74" s="7">
        <f t="shared" si="37"/>
        <v>64098590.734614916</v>
      </c>
      <c r="X74" s="11">
        <f t="shared" si="38"/>
        <v>174529026.54599774</v>
      </c>
      <c r="Y74" s="7">
        <f t="shared" si="33"/>
        <v>20252776.262255758</v>
      </c>
    </row>
    <row r="75" spans="5:25">
      <c r="E75">
        <v>72</v>
      </c>
      <c r="F75" s="2">
        <f t="shared" si="43"/>
        <v>385440000</v>
      </c>
      <c r="G75" s="2">
        <f t="shared" si="44"/>
        <v>19600000</v>
      </c>
      <c r="H75" s="2">
        <f t="shared" si="30"/>
        <v>365840000</v>
      </c>
      <c r="I75" s="2">
        <f t="shared" si="41"/>
        <v>187431664</v>
      </c>
      <c r="J75" s="2">
        <f t="shared" si="42"/>
        <v>56229499.199999996</v>
      </c>
      <c r="K75" s="2">
        <f t="shared" si="35"/>
        <v>309610500.80000001</v>
      </c>
      <c r="L75" s="2">
        <f t="shared" si="40"/>
        <v>30650984.496000022</v>
      </c>
      <c r="M75" s="2">
        <f t="shared" si="39"/>
        <v>335189015.50399995</v>
      </c>
      <c r="N75" s="2">
        <f t="shared" si="31"/>
        <v>37733949.737899229</v>
      </c>
      <c r="P75">
        <v>72</v>
      </c>
      <c r="Q75" s="3">
        <f t="shared" si="29"/>
        <v>385440000</v>
      </c>
      <c r="R75" s="6">
        <f>$C$13+$C$6*$A$18*$C$10+50*'Carbon Tax'!$B$6</f>
        <v>146812382.71938735</v>
      </c>
      <c r="S75" s="3">
        <f t="shared" si="32"/>
        <v>238627617.28061265</v>
      </c>
      <c r="T75" s="7">
        <f t="shared" si="28"/>
        <v>3676288.1238944829</v>
      </c>
      <c r="U75" s="7">
        <f t="shared" si="27"/>
        <v>919072.03097362071</v>
      </c>
      <c r="V75" s="7">
        <f t="shared" si="36"/>
        <v>237708545.24963903</v>
      </c>
      <c r="W75" s="7">
        <f t="shared" si="37"/>
        <v>64181307.21740254</v>
      </c>
      <c r="X75" s="11">
        <f t="shared" si="38"/>
        <v>174446310.0632101</v>
      </c>
      <c r="Y75" s="7">
        <f t="shared" si="33"/>
        <v>19638317.460938998</v>
      </c>
    </row>
    <row r="76" spans="5:25">
      <c r="E76">
        <v>73</v>
      </c>
      <c r="F76" s="2">
        <f t="shared" si="43"/>
        <v>385440000</v>
      </c>
      <c r="G76" s="2">
        <f t="shared" si="44"/>
        <v>19600000</v>
      </c>
      <c r="H76" s="2">
        <f t="shared" si="30"/>
        <v>365840000</v>
      </c>
      <c r="I76" s="2">
        <f t="shared" si="41"/>
        <v>131202164.80000001</v>
      </c>
      <c r="J76" s="2">
        <f t="shared" si="42"/>
        <v>39360649.440000005</v>
      </c>
      <c r="K76" s="2">
        <f t="shared" si="35"/>
        <v>326479350.56</v>
      </c>
      <c r="L76" s="2">
        <f t="shared" si="40"/>
        <v>88149424.651200011</v>
      </c>
      <c r="M76" s="2">
        <f t="shared" si="39"/>
        <v>277690575.3488</v>
      </c>
      <c r="N76" s="2">
        <f t="shared" si="31"/>
        <v>30326983.791328393</v>
      </c>
      <c r="P76">
        <v>73</v>
      </c>
      <c r="Q76" s="3">
        <f t="shared" si="29"/>
        <v>385440000</v>
      </c>
      <c r="R76" s="6">
        <f>$C$13+$C$6*$A$18*$C$10+50*'Carbon Tax'!$B$6</f>
        <v>146812382.71938735</v>
      </c>
      <c r="S76" s="3">
        <f t="shared" si="32"/>
        <v>238627617.28061265</v>
      </c>
      <c r="T76" s="7">
        <f t="shared" si="28"/>
        <v>2757216.0929208621</v>
      </c>
      <c r="U76" s="7">
        <f t="shared" si="27"/>
        <v>689304.02323021553</v>
      </c>
      <c r="V76" s="7">
        <f t="shared" si="36"/>
        <v>237938313.25738242</v>
      </c>
      <c r="W76" s="7">
        <f t="shared" si="37"/>
        <v>64243344.579493262</v>
      </c>
      <c r="X76" s="11">
        <f t="shared" si="38"/>
        <v>174384272.70111939</v>
      </c>
      <c r="Y76" s="7">
        <f t="shared" si="33"/>
        <v>19044755.138076358</v>
      </c>
    </row>
    <row r="77" spans="5:25">
      <c r="E77">
        <v>74</v>
      </c>
      <c r="F77" s="2">
        <f t="shared" si="43"/>
        <v>385440000</v>
      </c>
      <c r="G77" s="2">
        <f t="shared" si="44"/>
        <v>19600000</v>
      </c>
      <c r="H77" s="2">
        <f t="shared" si="30"/>
        <v>365840000</v>
      </c>
      <c r="I77" s="2">
        <f t="shared" si="41"/>
        <v>91841515.360000014</v>
      </c>
      <c r="J77" s="2">
        <f t="shared" si="42"/>
        <v>27552454.608000003</v>
      </c>
      <c r="K77" s="2">
        <f t="shared" si="35"/>
        <v>338287545.39200002</v>
      </c>
      <c r="L77" s="2">
        <f t="shared" si="40"/>
        <v>91337637.255840018</v>
      </c>
      <c r="M77" s="2">
        <f t="shared" si="39"/>
        <v>274502362.74416</v>
      </c>
      <c r="N77" s="2">
        <f t="shared" si="31"/>
        <v>29083037.005794022</v>
      </c>
      <c r="P77">
        <v>74</v>
      </c>
      <c r="Q77" s="3">
        <f t="shared" si="29"/>
        <v>385440000</v>
      </c>
      <c r="R77" s="6">
        <f>$C$13+$C$6*$A$18*$C$10+50*'Carbon Tax'!$B$6</f>
        <v>146812382.71938735</v>
      </c>
      <c r="S77" s="3">
        <f t="shared" si="32"/>
        <v>238627617.28061265</v>
      </c>
      <c r="T77" s="7">
        <f t="shared" si="28"/>
        <v>2067912.0696906466</v>
      </c>
      <c r="U77" s="7">
        <f t="shared" si="27"/>
        <v>516978.01742266165</v>
      </c>
      <c r="V77" s="7">
        <f t="shared" si="36"/>
        <v>238110639.26318997</v>
      </c>
      <c r="W77" s="7">
        <f t="shared" si="37"/>
        <v>64289872.601061299</v>
      </c>
      <c r="X77" s="11">
        <f t="shared" si="38"/>
        <v>174337744.67955136</v>
      </c>
      <c r="Y77" s="7">
        <f t="shared" si="33"/>
        <v>18470773.910050549</v>
      </c>
    </row>
    <row r="78" spans="5:25">
      <c r="E78">
        <v>75</v>
      </c>
      <c r="F78" s="2">
        <f t="shared" si="43"/>
        <v>385440000</v>
      </c>
      <c r="G78" s="2">
        <f t="shared" si="44"/>
        <v>19600000</v>
      </c>
      <c r="H78" s="2">
        <f t="shared" si="30"/>
        <v>365840000</v>
      </c>
      <c r="I78" s="2">
        <f t="shared" si="41"/>
        <v>64289060.752000012</v>
      </c>
      <c r="J78" s="2">
        <f t="shared" si="42"/>
        <v>19286718.225600004</v>
      </c>
      <c r="K78" s="2">
        <f t="shared" si="35"/>
        <v>346553281.7744</v>
      </c>
      <c r="L78" s="2">
        <f t="shared" si="40"/>
        <v>93569386.079088002</v>
      </c>
      <c r="M78" s="2">
        <f t="shared" si="39"/>
        <v>272270613.92091203</v>
      </c>
      <c r="N78" s="2">
        <f t="shared" si="31"/>
        <v>27984659.670303036</v>
      </c>
      <c r="P78">
        <v>75</v>
      </c>
      <c r="Q78" s="3">
        <f t="shared" si="29"/>
        <v>385440000</v>
      </c>
      <c r="R78" s="6">
        <f>$C$13+$C$6*$A$18*$C$10+50*'Carbon Tax'!$B$6</f>
        <v>146812382.71938735</v>
      </c>
      <c r="S78" s="3">
        <f t="shared" si="32"/>
        <v>238627617.28061265</v>
      </c>
      <c r="T78" s="7">
        <f t="shared" si="28"/>
        <v>1550934.052267985</v>
      </c>
      <c r="U78" s="7">
        <f t="shared" si="27"/>
        <v>387733.51306699624</v>
      </c>
      <c r="V78" s="7">
        <f t="shared" si="36"/>
        <v>238239883.76754564</v>
      </c>
      <c r="W78" s="7">
        <f t="shared" si="37"/>
        <v>64324768.617237329</v>
      </c>
      <c r="X78" s="11">
        <f t="shared" si="38"/>
        <v>174302848.66337532</v>
      </c>
      <c r="Y78" s="7">
        <f t="shared" si="33"/>
        <v>17915285.932494268</v>
      </c>
    </row>
    <row r="79" spans="5:25">
      <c r="E79">
        <v>76</v>
      </c>
      <c r="F79" s="2">
        <f t="shared" si="43"/>
        <v>385440000</v>
      </c>
      <c r="G79" s="2">
        <f t="shared" si="44"/>
        <v>19600000</v>
      </c>
      <c r="H79" s="2">
        <f t="shared" si="30"/>
        <v>365840000</v>
      </c>
      <c r="I79" s="2">
        <f t="shared" si="41"/>
        <v>45002342.526400007</v>
      </c>
      <c r="J79" s="2">
        <f t="shared" si="42"/>
        <v>13500702.757920003</v>
      </c>
      <c r="K79" s="2">
        <f t="shared" si="35"/>
        <v>352339297.24207997</v>
      </c>
      <c r="L79" s="2">
        <f t="shared" si="40"/>
        <v>95131610.255361602</v>
      </c>
      <c r="M79" s="2">
        <f t="shared" si="39"/>
        <v>270708389.74463838</v>
      </c>
      <c r="N79" s="2">
        <f t="shared" si="31"/>
        <v>26992714.720143449</v>
      </c>
      <c r="P79">
        <v>76</v>
      </c>
      <c r="Q79" s="3">
        <f t="shared" si="29"/>
        <v>385440000</v>
      </c>
      <c r="R79" s="6">
        <f>$C$13+$C$6*$A$18*$C$10+50*'Carbon Tax'!$B$6</f>
        <v>146812382.71938735</v>
      </c>
      <c r="S79" s="3">
        <f t="shared" si="32"/>
        <v>238627617.28061265</v>
      </c>
      <c r="T79" s="7">
        <f t="shared" si="28"/>
        <v>1163200.5392009886</v>
      </c>
      <c r="U79" s="7">
        <f t="shared" si="27"/>
        <v>290800.13480024715</v>
      </c>
      <c r="V79" s="7">
        <f t="shared" si="36"/>
        <v>238336817.14581239</v>
      </c>
      <c r="W79" s="7">
        <f t="shared" si="37"/>
        <v>64350940.629369348</v>
      </c>
      <c r="X79" s="11">
        <f t="shared" si="38"/>
        <v>174276676.6512433</v>
      </c>
      <c r="Y79" s="7">
        <f t="shared" si="33"/>
        <v>17377372.82416407</v>
      </c>
    </row>
    <row r="80" spans="5:25">
      <c r="E80">
        <v>77</v>
      </c>
      <c r="F80" s="2">
        <f t="shared" si="43"/>
        <v>385440000</v>
      </c>
      <c r="G80" s="2">
        <f t="shared" si="44"/>
        <v>19600000</v>
      </c>
      <c r="H80" s="2">
        <f t="shared" si="30"/>
        <v>365840000</v>
      </c>
      <c r="I80" s="2">
        <f t="shared" si="41"/>
        <v>31501639.768480003</v>
      </c>
      <c r="J80" s="2">
        <f t="shared" si="42"/>
        <v>9450491.9305440001</v>
      </c>
      <c r="K80" s="2">
        <f t="shared" si="35"/>
        <v>356389508.06945598</v>
      </c>
      <c r="L80" s="2">
        <f t="shared" si="40"/>
        <v>96225167.178753123</v>
      </c>
      <c r="M80" s="2">
        <f t="shared" si="39"/>
        <v>269614832.82124686</v>
      </c>
      <c r="N80" s="2">
        <f t="shared" si="31"/>
        <v>26080398.350308418</v>
      </c>
      <c r="P80">
        <v>77</v>
      </c>
      <c r="Q80" s="3">
        <f t="shared" si="29"/>
        <v>385440000</v>
      </c>
      <c r="R80" s="6">
        <f>$C$13+$C$6*$A$18*$C$10+50*'Carbon Tax'!$B$6</f>
        <v>146812382.71938735</v>
      </c>
      <c r="S80" s="3">
        <f t="shared" si="32"/>
        <v>238627617.28061265</v>
      </c>
      <c r="T80" s="7">
        <f t="shared" si="28"/>
        <v>872400.40440074145</v>
      </c>
      <c r="U80" s="7">
        <f t="shared" si="27"/>
        <v>218100.10110018536</v>
      </c>
      <c r="V80" s="7">
        <f t="shared" si="36"/>
        <v>238409517.17951247</v>
      </c>
      <c r="W80" s="7">
        <f t="shared" si="37"/>
        <v>64370569.63846837</v>
      </c>
      <c r="X80" s="11">
        <f t="shared" si="38"/>
        <v>174257047.64214426</v>
      </c>
      <c r="Y80" s="7">
        <f t="shared" si="33"/>
        <v>16856243.294555314</v>
      </c>
    </row>
    <row r="81" spans="5:25">
      <c r="E81">
        <v>78</v>
      </c>
      <c r="F81" s="2">
        <f t="shared" si="43"/>
        <v>385440000</v>
      </c>
      <c r="G81" s="2">
        <f t="shared" si="44"/>
        <v>19600000</v>
      </c>
      <c r="H81" s="2">
        <f t="shared" si="30"/>
        <v>365840000</v>
      </c>
      <c r="I81" s="2">
        <f t="shared" si="41"/>
        <v>22051147.837936003</v>
      </c>
      <c r="J81" s="2">
        <f t="shared" si="42"/>
        <v>6615344.3513808008</v>
      </c>
      <c r="K81" s="2">
        <f t="shared" si="35"/>
        <v>359224655.64861917</v>
      </c>
      <c r="L81" s="2">
        <f t="shared" si="40"/>
        <v>96990657.025127187</v>
      </c>
      <c r="M81" s="2">
        <f t="shared" si="39"/>
        <v>268849342.97487283</v>
      </c>
      <c r="N81" s="2">
        <f t="shared" si="31"/>
        <v>25229288.843705121</v>
      </c>
      <c r="P81">
        <v>78</v>
      </c>
      <c r="Q81" s="3">
        <f t="shared" si="29"/>
        <v>385440000</v>
      </c>
      <c r="R81" s="6">
        <f>$C$13+$C$6*$A$18*$C$10+50*'Carbon Tax'!$B$6</f>
        <v>146812382.71938735</v>
      </c>
      <c r="S81" s="3">
        <f t="shared" si="32"/>
        <v>238627617.28061265</v>
      </c>
      <c r="T81" s="7">
        <f t="shared" si="28"/>
        <v>654300.30330055603</v>
      </c>
      <c r="U81" s="7">
        <f t="shared" si="27"/>
        <v>163575.07582513901</v>
      </c>
      <c r="V81" s="7">
        <f t="shared" si="36"/>
        <v>238464042.20478752</v>
      </c>
      <c r="W81" s="7">
        <f t="shared" si="37"/>
        <v>64385291.395292632</v>
      </c>
      <c r="X81" s="11">
        <f t="shared" si="38"/>
        <v>174242325.88532001</v>
      </c>
      <c r="Y81" s="7">
        <f t="shared" si="33"/>
        <v>16351202.200894333</v>
      </c>
    </row>
    <row r="82" spans="5:25">
      <c r="E82">
        <v>79</v>
      </c>
      <c r="F82" s="2">
        <f t="shared" si="43"/>
        <v>385440000</v>
      </c>
      <c r="G82" s="2">
        <f t="shared" si="44"/>
        <v>19600000</v>
      </c>
      <c r="H82" s="2">
        <f t="shared" si="30"/>
        <v>365840000</v>
      </c>
      <c r="I82" s="2">
        <f t="shared" si="41"/>
        <v>15435803.486555202</v>
      </c>
      <c r="J82" s="2">
        <f t="shared" si="42"/>
        <v>4630741.04596656</v>
      </c>
      <c r="K82" s="2">
        <f t="shared" si="35"/>
        <v>361209258.95403343</v>
      </c>
      <c r="L82" s="2">
        <f t="shared" si="40"/>
        <v>97526499.917589039</v>
      </c>
      <c r="M82" s="2">
        <f t="shared" si="39"/>
        <v>268313500.08241096</v>
      </c>
      <c r="N82" s="2">
        <f t="shared" si="31"/>
        <v>24426663.190627407</v>
      </c>
      <c r="P82">
        <v>79</v>
      </c>
      <c r="Q82" s="3">
        <f t="shared" si="29"/>
        <v>385440000</v>
      </c>
      <c r="R82" s="6">
        <f>$C$13+$C$6*$A$18*$C$10+50*'Carbon Tax'!$B$6</f>
        <v>146812382.71938735</v>
      </c>
      <c r="S82" s="3">
        <f t="shared" si="32"/>
        <v>238627617.28061265</v>
      </c>
      <c r="T82" s="7">
        <f t="shared" si="28"/>
        <v>490725.22747541702</v>
      </c>
      <c r="U82" s="7">
        <f t="shared" si="27"/>
        <v>122681.30686885426</v>
      </c>
      <c r="V82" s="7">
        <f t="shared" si="36"/>
        <v>238504935.9737438</v>
      </c>
      <c r="W82" s="7">
        <f t="shared" si="37"/>
        <v>64396332.712910831</v>
      </c>
      <c r="X82" s="11">
        <f t="shared" si="38"/>
        <v>174231284.56770182</v>
      </c>
      <c r="Y82" s="7">
        <f t="shared" si="33"/>
        <v>15861627.924418408</v>
      </c>
    </row>
    <row r="83" spans="5:25">
      <c r="E83">
        <v>80</v>
      </c>
      <c r="F83" s="2">
        <f t="shared" si="43"/>
        <v>385440000</v>
      </c>
      <c r="G83" s="2">
        <f t="shared" si="44"/>
        <v>19600000</v>
      </c>
      <c r="H83" s="2">
        <f t="shared" si="30"/>
        <v>365840000</v>
      </c>
      <c r="I83" s="2">
        <f t="shared" si="41"/>
        <v>10805062.440588642</v>
      </c>
      <c r="J83" s="2">
        <f t="shared" si="42"/>
        <v>3241518.7321765926</v>
      </c>
      <c r="K83" s="2">
        <f t="shared" si="35"/>
        <v>362598481.2678234</v>
      </c>
      <c r="L83" s="2">
        <f t="shared" si="40"/>
        <v>97901589.94231233</v>
      </c>
      <c r="M83" s="2">
        <f t="shared" si="39"/>
        <v>267938410.05768767</v>
      </c>
      <c r="N83" s="2">
        <f t="shared" si="31"/>
        <v>23663674.651293375</v>
      </c>
      <c r="P83">
        <v>80</v>
      </c>
      <c r="Q83" s="3">
        <f t="shared" si="29"/>
        <v>385440000</v>
      </c>
      <c r="R83" s="6">
        <f>$C$13+$C$6*$A$18*$C$10+50*'Carbon Tax'!$B$6</f>
        <v>146812382.71938735</v>
      </c>
      <c r="S83" s="3">
        <f t="shared" si="32"/>
        <v>238627617.28061265</v>
      </c>
      <c r="T83" s="7">
        <f t="shared" si="28"/>
        <v>368043.92060656275</v>
      </c>
      <c r="U83" s="7">
        <f t="shared" si="27"/>
        <v>92010.980151640688</v>
      </c>
      <c r="V83" s="7">
        <f t="shared" si="36"/>
        <v>238535606.30046099</v>
      </c>
      <c r="W83" s="7">
        <f t="shared" si="37"/>
        <v>64404613.701124474</v>
      </c>
      <c r="X83" s="11">
        <f t="shared" si="38"/>
        <v>174223003.57948816</v>
      </c>
      <c r="Y83" s="7">
        <f t="shared" si="33"/>
        <v>15386955.802971628</v>
      </c>
    </row>
    <row r="84" spans="5:25">
      <c r="E84">
        <v>81</v>
      </c>
      <c r="F84" s="2">
        <f t="shared" si="43"/>
        <v>385440000</v>
      </c>
      <c r="G84" s="2">
        <f t="shared" si="44"/>
        <v>19600000</v>
      </c>
      <c r="H84" s="2">
        <f t="shared" si="30"/>
        <v>365840000</v>
      </c>
      <c r="I84" s="2">
        <f t="shared" si="41"/>
        <v>7563543.7084120493</v>
      </c>
      <c r="J84" s="2">
        <f t="shared" si="42"/>
        <v>2269063.1125236149</v>
      </c>
      <c r="K84" s="2">
        <f t="shared" si="35"/>
        <v>363570936.88747638</v>
      </c>
      <c r="L84" s="2">
        <f t="shared" si="40"/>
        <v>98164152.959618628</v>
      </c>
      <c r="M84" s="2">
        <f t="shared" si="39"/>
        <v>267675847.04038137</v>
      </c>
      <c r="N84" s="2">
        <f t="shared" si="31"/>
        <v>22934114.977081221</v>
      </c>
      <c r="P84">
        <v>81</v>
      </c>
      <c r="Q84" s="3">
        <f t="shared" si="29"/>
        <v>385440000</v>
      </c>
      <c r="R84" s="6">
        <f>$C$13+$C$6*$A$18*$C$10+50*'Carbon Tax'!$B$6</f>
        <v>146812382.71938735</v>
      </c>
      <c r="S84" s="3">
        <f t="shared" si="32"/>
        <v>238627617.28061265</v>
      </c>
      <c r="T84" s="7">
        <f t="shared" si="28"/>
        <v>276032.94045492203</v>
      </c>
      <c r="U84" s="7">
        <f t="shared" si="27"/>
        <v>69008.235113730509</v>
      </c>
      <c r="V84" s="7">
        <f t="shared" si="36"/>
        <v>238558609.04549891</v>
      </c>
      <c r="W84" s="7">
        <f t="shared" si="37"/>
        <v>64410824.442284711</v>
      </c>
      <c r="X84" s="11">
        <f t="shared" si="38"/>
        <v>174216792.83832794</v>
      </c>
      <c r="Y84" s="7">
        <f t="shared" si="33"/>
        <v>14926665.973302381</v>
      </c>
    </row>
    <row r="85" spans="5:25">
      <c r="E85">
        <v>82</v>
      </c>
      <c r="F85" s="2">
        <f t="shared" si="43"/>
        <v>385440000</v>
      </c>
      <c r="G85" s="2">
        <f t="shared" si="44"/>
        <v>19600000</v>
      </c>
      <c r="H85" s="2">
        <f t="shared" si="30"/>
        <v>365840000</v>
      </c>
      <c r="I85" s="2">
        <f t="shared" si="41"/>
        <v>5294480.595888434</v>
      </c>
      <c r="J85" s="2">
        <f t="shared" si="42"/>
        <v>1588344.1787665302</v>
      </c>
      <c r="K85" s="2">
        <f t="shared" si="35"/>
        <v>364251655.82123345</v>
      </c>
      <c r="L85" s="2">
        <f t="shared" si="40"/>
        <v>98347947.071733043</v>
      </c>
      <c r="M85" s="2">
        <f t="shared" si="39"/>
        <v>267492052.92826694</v>
      </c>
      <c r="N85" s="2">
        <f t="shared" si="31"/>
        <v>22233573.669938236</v>
      </c>
      <c r="P85">
        <v>82</v>
      </c>
      <c r="Q85" s="3">
        <f t="shared" si="29"/>
        <v>385440000</v>
      </c>
      <c r="R85" s="6">
        <f>$C$13+$C$6*$A$18*$C$10+50*'Carbon Tax'!$B$6</f>
        <v>146812382.71938735</v>
      </c>
      <c r="S85" s="3">
        <f t="shared" si="32"/>
        <v>238627617.28061265</v>
      </c>
      <c r="T85" s="7">
        <f t="shared" si="28"/>
        <v>207024.70534119153</v>
      </c>
      <c r="U85" s="7">
        <f t="shared" si="27"/>
        <v>51756.176335297881</v>
      </c>
      <c r="V85" s="7">
        <f t="shared" si="36"/>
        <v>238575861.10427734</v>
      </c>
      <c r="W85" s="7">
        <f t="shared" si="37"/>
        <v>64415482.498154886</v>
      </c>
      <c r="X85" s="11">
        <f t="shared" si="38"/>
        <v>174212134.78245777</v>
      </c>
      <c r="Y85" s="7">
        <f t="shared" si="33"/>
        <v>14480274.424906742</v>
      </c>
    </row>
    <row r="86" spans="5:25">
      <c r="E86">
        <v>83</v>
      </c>
      <c r="F86" s="2">
        <f t="shared" si="43"/>
        <v>385440000</v>
      </c>
      <c r="G86" s="2">
        <f t="shared" si="44"/>
        <v>19600000</v>
      </c>
      <c r="H86" s="2">
        <f t="shared" si="30"/>
        <v>365840000</v>
      </c>
      <c r="I86" s="2">
        <f t="shared" si="41"/>
        <v>3706136.417121904</v>
      </c>
      <c r="J86" s="2">
        <f t="shared" si="42"/>
        <v>1111840.9251365711</v>
      </c>
      <c r="K86" s="2">
        <f t="shared" si="35"/>
        <v>364728159.07486343</v>
      </c>
      <c r="L86" s="2">
        <f t="shared" si="40"/>
        <v>98476602.950213134</v>
      </c>
      <c r="M86" s="2">
        <f t="shared" si="39"/>
        <v>267363397.04978687</v>
      </c>
      <c r="N86" s="2">
        <f t="shared" si="31"/>
        <v>21558866.869657952</v>
      </c>
      <c r="P86">
        <v>83</v>
      </c>
      <c r="Q86" s="3">
        <f t="shared" si="29"/>
        <v>385440000</v>
      </c>
      <c r="R86" s="6">
        <f>$C$13+$C$6*$A$18*$C$10+50*'Carbon Tax'!$B$6</f>
        <v>146812382.71938735</v>
      </c>
      <c r="S86" s="3">
        <f t="shared" si="32"/>
        <v>238627617.28061265</v>
      </c>
      <c r="T86" s="7">
        <f t="shared" si="28"/>
        <v>155268.52900589365</v>
      </c>
      <c r="U86" s="7">
        <f t="shared" si="27"/>
        <v>38817.132251473413</v>
      </c>
      <c r="V86" s="7">
        <f t="shared" si="36"/>
        <v>238588800.14836118</v>
      </c>
      <c r="W86" s="7">
        <f t="shared" si="37"/>
        <v>64418976.040057525</v>
      </c>
      <c r="X86" s="11">
        <f t="shared" si="38"/>
        <v>174208641.24055511</v>
      </c>
      <c r="Y86" s="7">
        <f t="shared" si="33"/>
        <v>14047326.393559247</v>
      </c>
    </row>
    <row r="87" spans="5:25">
      <c r="E87">
        <v>84</v>
      </c>
      <c r="F87" s="2">
        <f t="shared" si="43"/>
        <v>385440000</v>
      </c>
      <c r="G87" s="2">
        <f t="shared" si="44"/>
        <v>19600000</v>
      </c>
      <c r="H87" s="2">
        <f t="shared" si="30"/>
        <v>365840000</v>
      </c>
      <c r="I87" s="2">
        <f t="shared" si="41"/>
        <v>2594295.4919853332</v>
      </c>
      <c r="J87" s="2">
        <f t="shared" si="42"/>
        <v>778288.64759559988</v>
      </c>
      <c r="K87" s="2">
        <f t="shared" si="35"/>
        <v>365061711.35240442</v>
      </c>
      <c r="L87" s="2">
        <f t="shared" si="40"/>
        <v>98566662.065149203</v>
      </c>
      <c r="M87" s="2">
        <f t="shared" si="39"/>
        <v>267273337.93485081</v>
      </c>
      <c r="N87" s="2">
        <f t="shared" si="31"/>
        <v>20907649.346534431</v>
      </c>
      <c r="P87">
        <v>84</v>
      </c>
      <c r="Q87" s="3">
        <f t="shared" si="29"/>
        <v>385440000</v>
      </c>
      <c r="R87" s="6">
        <f>$C$13+$C$6*$A$18*$C$10+50*'Carbon Tax'!$B$6</f>
        <v>146812382.71938735</v>
      </c>
      <c r="S87" s="3">
        <f t="shared" si="32"/>
        <v>238627617.28061265</v>
      </c>
      <c r="T87" s="7">
        <f t="shared" si="28"/>
        <v>116451.39675442025</v>
      </c>
      <c r="U87" s="7">
        <f t="shared" si="27"/>
        <v>29112.849188605061</v>
      </c>
      <c r="V87" s="7">
        <f t="shared" si="36"/>
        <v>238598504.43142405</v>
      </c>
      <c r="W87" s="7">
        <f t="shared" si="37"/>
        <v>64421596.196484499</v>
      </c>
      <c r="X87" s="11">
        <f t="shared" si="38"/>
        <v>174206021.08412814</v>
      </c>
      <c r="Y87" s="7">
        <f t="shared" si="33"/>
        <v>13627391.460085511</v>
      </c>
    </row>
    <row r="88" spans="5:25">
      <c r="E88">
        <v>85</v>
      </c>
      <c r="F88" s="2">
        <f t="shared" si="43"/>
        <v>385440000</v>
      </c>
      <c r="G88" s="2">
        <f t="shared" si="44"/>
        <v>19600000</v>
      </c>
      <c r="H88" s="2">
        <f t="shared" si="30"/>
        <v>365840000</v>
      </c>
      <c r="I88" s="2">
        <f t="shared" si="41"/>
        <v>1816006.8443897334</v>
      </c>
      <c r="J88" s="2">
        <f t="shared" si="42"/>
        <v>544802.05331691995</v>
      </c>
      <c r="K88" s="2">
        <f t="shared" si="35"/>
        <v>365295197.94668311</v>
      </c>
      <c r="L88" s="2">
        <f t="shared" si="40"/>
        <v>98629703.445604444</v>
      </c>
      <c r="M88" s="2">
        <f t="shared" si="39"/>
        <v>267210296.55439556</v>
      </c>
      <c r="N88" s="2">
        <f t="shared" si="31"/>
        <v>20278150.843176931</v>
      </c>
      <c r="P88">
        <v>85</v>
      </c>
      <c r="Q88" s="3">
        <f t="shared" si="29"/>
        <v>385440000</v>
      </c>
      <c r="R88" s="6">
        <f>$C$13+$C$6*$A$18*$C$10+50*'Carbon Tax'!$B$6</f>
        <v>146812382.71938735</v>
      </c>
      <c r="S88" s="3">
        <f t="shared" si="32"/>
        <v>238627617.28061265</v>
      </c>
      <c r="T88" s="7">
        <f t="shared" si="28"/>
        <v>87338.547565815184</v>
      </c>
      <c r="U88" s="7">
        <f t="shared" si="27"/>
        <v>21834.636891453796</v>
      </c>
      <c r="V88" s="7">
        <f t="shared" si="36"/>
        <v>238605782.64372119</v>
      </c>
      <c r="W88" s="7">
        <f t="shared" si="37"/>
        <v>64423561.313804723</v>
      </c>
      <c r="X88" s="11">
        <f t="shared" si="38"/>
        <v>174204055.96680793</v>
      </c>
      <c r="Y88" s="7">
        <f t="shared" si="33"/>
        <v>13220059.892673541</v>
      </c>
    </row>
    <row r="89" spans="5:25">
      <c r="E89">
        <v>86</v>
      </c>
      <c r="F89" s="2">
        <f t="shared" si="43"/>
        <v>385440000</v>
      </c>
      <c r="G89" s="2">
        <f t="shared" si="44"/>
        <v>19600000</v>
      </c>
      <c r="H89" s="2">
        <f t="shared" si="30"/>
        <v>365840000</v>
      </c>
      <c r="I89" s="2">
        <f t="shared" si="41"/>
        <v>1271204.7910728133</v>
      </c>
      <c r="J89" s="2">
        <f t="shared" si="42"/>
        <v>381361.43732184399</v>
      </c>
      <c r="K89" s="2">
        <f t="shared" si="35"/>
        <v>365458638.56267816</v>
      </c>
      <c r="L89" s="2">
        <f t="shared" si="40"/>
        <v>98673832.41192311</v>
      </c>
      <c r="M89" s="2">
        <f t="shared" si="39"/>
        <v>267166167.58807689</v>
      </c>
      <c r="N89" s="2">
        <f t="shared" si="31"/>
        <v>19668996.864910983</v>
      </c>
      <c r="P89">
        <v>86</v>
      </c>
      <c r="Q89" s="3">
        <f t="shared" si="29"/>
        <v>385440000</v>
      </c>
      <c r="R89" s="6">
        <f>$C$13+$C$6*$A$18*$C$10+50*'Carbon Tax'!$B$6</f>
        <v>146812382.71938735</v>
      </c>
      <c r="S89" s="3">
        <f t="shared" si="32"/>
        <v>238627617.28061265</v>
      </c>
      <c r="T89" s="7">
        <f t="shared" si="28"/>
        <v>65503.910674361388</v>
      </c>
      <c r="U89" s="7">
        <f t="shared" si="27"/>
        <v>16375.977668590347</v>
      </c>
      <c r="V89" s="7">
        <f t="shared" si="36"/>
        <v>238611241.30294406</v>
      </c>
      <c r="W89" s="7">
        <f t="shared" si="37"/>
        <v>64425035.151794903</v>
      </c>
      <c r="X89" s="11">
        <f t="shared" si="38"/>
        <v>174202582.12881774</v>
      </c>
      <c r="Y89" s="7">
        <f t="shared" si="33"/>
        <v>12824939.896708788</v>
      </c>
    </row>
    <row r="90" spans="5:25">
      <c r="E90">
        <v>87</v>
      </c>
      <c r="F90" s="2">
        <f t="shared" si="43"/>
        <v>385440000</v>
      </c>
      <c r="G90" s="2">
        <f t="shared" si="44"/>
        <v>19600000</v>
      </c>
      <c r="H90" s="2">
        <f t="shared" si="30"/>
        <v>365840000</v>
      </c>
      <c r="I90" s="2">
        <f t="shared" si="41"/>
        <v>889843.35375096928</v>
      </c>
      <c r="J90" s="2">
        <f t="shared" si="42"/>
        <v>266953.00612529076</v>
      </c>
      <c r="K90" s="2">
        <f t="shared" si="35"/>
        <v>365573046.99387473</v>
      </c>
      <c r="L90" s="2">
        <f t="shared" si="40"/>
        <v>98704722.688346177</v>
      </c>
      <c r="M90" s="2">
        <f t="shared" si="39"/>
        <v>267135277.31165382</v>
      </c>
      <c r="N90" s="2">
        <f t="shared" si="31"/>
        <v>19079086.822765648</v>
      </c>
      <c r="P90">
        <v>87</v>
      </c>
      <c r="Q90" s="3">
        <f t="shared" si="29"/>
        <v>385440000</v>
      </c>
      <c r="R90" s="6">
        <f>$C$13+$C$6*$A$18*$C$10+50*'Carbon Tax'!$B$6</f>
        <v>146812382.71938735</v>
      </c>
      <c r="S90" s="3">
        <f t="shared" si="32"/>
        <v>238627617.28061265</v>
      </c>
      <c r="T90" s="7">
        <f t="shared" si="28"/>
        <v>49127.933005771039</v>
      </c>
      <c r="U90" s="7">
        <f t="shared" si="27"/>
        <v>12281.98325144276</v>
      </c>
      <c r="V90" s="7">
        <f t="shared" si="36"/>
        <v>238615335.2973612</v>
      </c>
      <c r="W90" s="7">
        <f t="shared" si="37"/>
        <v>64426140.530287527</v>
      </c>
      <c r="X90" s="11">
        <f t="shared" si="38"/>
        <v>174201476.75032511</v>
      </c>
      <c r="Y90" s="7">
        <f t="shared" si="33"/>
        <v>12441655.527569858</v>
      </c>
    </row>
    <row r="91" spans="5:25">
      <c r="E91">
        <v>88</v>
      </c>
      <c r="F91" s="2">
        <f t="shared" si="43"/>
        <v>385440000</v>
      </c>
      <c r="G91" s="2">
        <f t="shared" si="44"/>
        <v>19600000</v>
      </c>
      <c r="H91" s="2">
        <f t="shared" si="30"/>
        <v>365840000</v>
      </c>
      <c r="I91" s="2">
        <f t="shared" si="41"/>
        <v>622890.34762567852</v>
      </c>
      <c r="J91" s="2">
        <f t="shared" si="42"/>
        <v>186867.10428770355</v>
      </c>
      <c r="K91" s="2">
        <f t="shared" si="35"/>
        <v>365653132.89571232</v>
      </c>
      <c r="L91" s="2">
        <f t="shared" si="40"/>
        <v>98726345.88184233</v>
      </c>
      <c r="M91" s="2">
        <f t="shared" si="39"/>
        <v>267113654.11815768</v>
      </c>
      <c r="N91" s="2">
        <f t="shared" si="31"/>
        <v>18507511.128435418</v>
      </c>
      <c r="P91">
        <v>88</v>
      </c>
      <c r="Q91" s="3">
        <f t="shared" si="29"/>
        <v>385440000</v>
      </c>
      <c r="R91" s="6">
        <f>$C$13+$C$6*$A$18*$C$10+50*'Carbon Tax'!$B$6</f>
        <v>146812382.71938735</v>
      </c>
      <c r="S91" s="3">
        <f t="shared" si="32"/>
        <v>238627617.28061265</v>
      </c>
      <c r="T91" s="7">
        <f t="shared" si="28"/>
        <v>36845.949754328278</v>
      </c>
      <c r="U91" s="7">
        <f t="shared" ref="U91:U112" si="45">T91*$B$29</f>
        <v>9211.4874385820694</v>
      </c>
      <c r="V91" s="7">
        <f t="shared" si="36"/>
        <v>238618405.79317406</v>
      </c>
      <c r="W91" s="7">
        <f t="shared" si="37"/>
        <v>64426969.564157002</v>
      </c>
      <c r="X91" s="11">
        <f t="shared" si="38"/>
        <v>174200647.71645564</v>
      </c>
      <c r="Y91" s="7">
        <f t="shared" si="33"/>
        <v>12069845.088363832</v>
      </c>
    </row>
    <row r="92" spans="5:25">
      <c r="E92">
        <v>89</v>
      </c>
      <c r="F92" s="2">
        <f t="shared" si="43"/>
        <v>385440000</v>
      </c>
      <c r="G92" s="2">
        <f t="shared" si="44"/>
        <v>19600000</v>
      </c>
      <c r="H92" s="2">
        <f t="shared" si="30"/>
        <v>365840000</v>
      </c>
      <c r="I92" s="2">
        <f t="shared" si="41"/>
        <v>436023.243337975</v>
      </c>
      <c r="J92" s="2">
        <f t="shared" si="42"/>
        <v>130806.9730013925</v>
      </c>
      <c r="K92" s="2">
        <f t="shared" si="35"/>
        <v>365709193.02699858</v>
      </c>
      <c r="L92" s="2">
        <f t="shared" si="40"/>
        <v>98741482.117289618</v>
      </c>
      <c r="M92" s="2">
        <f t="shared" si="39"/>
        <v>267098517.8827104</v>
      </c>
      <c r="N92" s="2">
        <f t="shared" si="31"/>
        <v>17953494.745510325</v>
      </c>
      <c r="P92">
        <v>89</v>
      </c>
      <c r="Q92" s="3">
        <f t="shared" si="29"/>
        <v>385440000</v>
      </c>
      <c r="R92" s="6">
        <f>$C$13+$C$6*$A$18*$C$10+50*'Carbon Tax'!$B$6</f>
        <v>146812382.71938735</v>
      </c>
      <c r="S92" s="3">
        <f t="shared" si="32"/>
        <v>238627617.28061265</v>
      </c>
      <c r="T92" s="7">
        <f t="shared" si="28"/>
        <v>27634.462315746208</v>
      </c>
      <c r="U92" s="7">
        <f t="shared" si="45"/>
        <v>6908.6155789365521</v>
      </c>
      <c r="V92" s="7">
        <f t="shared" si="36"/>
        <v>238620708.6650337</v>
      </c>
      <c r="W92" s="7">
        <f t="shared" si="37"/>
        <v>64427591.339559101</v>
      </c>
      <c r="X92" s="11">
        <f t="shared" si="38"/>
        <v>174200025.94105354</v>
      </c>
      <c r="Y92" s="7">
        <f t="shared" si="33"/>
        <v>11709159.88299804</v>
      </c>
    </row>
    <row r="93" spans="5:25">
      <c r="E93">
        <v>90</v>
      </c>
      <c r="F93" s="2">
        <f t="shared" si="43"/>
        <v>385440000</v>
      </c>
      <c r="G93" s="2">
        <f t="shared" si="44"/>
        <v>19600000</v>
      </c>
      <c r="H93" s="2">
        <f t="shared" si="30"/>
        <v>365840000</v>
      </c>
      <c r="I93" s="2">
        <f t="shared" si="41"/>
        <v>305216.2703365825</v>
      </c>
      <c r="J93" s="2">
        <f t="shared" si="42"/>
        <v>91564.881100974744</v>
      </c>
      <c r="K93" s="2">
        <f t="shared" si="35"/>
        <v>365748435.11889905</v>
      </c>
      <c r="L93" s="2">
        <f t="shared" si="40"/>
        <v>98752077.482102752</v>
      </c>
      <c r="M93" s="2">
        <f t="shared" si="39"/>
        <v>267087922.51789725</v>
      </c>
      <c r="N93" s="2">
        <f t="shared" si="31"/>
        <v>17416358.711199962</v>
      </c>
      <c r="P93">
        <v>90</v>
      </c>
      <c r="Q93" s="3">
        <f t="shared" si="29"/>
        <v>385440000</v>
      </c>
      <c r="R93" s="6">
        <f>$C$13+$C$6*$A$18*$C$10+50*'Carbon Tax'!$B$6</f>
        <v>146812382.71938735</v>
      </c>
      <c r="S93" s="3">
        <f t="shared" si="32"/>
        <v>238627617.28061265</v>
      </c>
      <c r="T93" s="7">
        <f t="shared" si="28"/>
        <v>20725.846736809657</v>
      </c>
      <c r="U93" s="7">
        <f t="shared" si="45"/>
        <v>5181.4616842024143</v>
      </c>
      <c r="V93" s="7">
        <f t="shared" si="36"/>
        <v>238622435.81892845</v>
      </c>
      <c r="W93" s="7">
        <f t="shared" si="37"/>
        <v>64428057.671110682</v>
      </c>
      <c r="X93" s="11">
        <f t="shared" si="38"/>
        <v>174199559.60950196</v>
      </c>
      <c r="Y93" s="7">
        <f t="shared" si="33"/>
        <v>11359263.230215313</v>
      </c>
    </row>
    <row r="94" spans="5:25">
      <c r="E94">
        <v>91</v>
      </c>
      <c r="F94" s="2">
        <f t="shared" si="43"/>
        <v>385440000</v>
      </c>
      <c r="G94" s="2">
        <f t="shared" si="44"/>
        <v>19600000</v>
      </c>
      <c r="H94" s="2">
        <f t="shared" si="30"/>
        <v>365840000</v>
      </c>
      <c r="I94" s="2">
        <f t="shared" si="41"/>
        <v>213651.38923560776</v>
      </c>
      <c r="J94" s="2">
        <f t="shared" si="42"/>
        <v>64095.416770682321</v>
      </c>
      <c r="K94" s="2">
        <f t="shared" si="35"/>
        <v>365775904.5832293</v>
      </c>
      <c r="L94" s="2">
        <f t="shared" si="40"/>
        <v>98759494.237471923</v>
      </c>
      <c r="M94" s="2">
        <f t="shared" si="39"/>
        <v>267080505.76252806</v>
      </c>
      <c r="N94" s="2">
        <f t="shared" si="31"/>
        <v>16895493.86586307</v>
      </c>
      <c r="P94">
        <v>91</v>
      </c>
      <c r="Q94" s="3">
        <f t="shared" si="29"/>
        <v>385440000</v>
      </c>
      <c r="R94" s="6">
        <f>$C$13+$C$6*$A$18*$C$10+50*'Carbon Tax'!$B$6</f>
        <v>146812382.71938735</v>
      </c>
      <c r="S94" s="3">
        <f t="shared" si="32"/>
        <v>238627617.28061265</v>
      </c>
      <c r="T94" s="7">
        <f t="shared" si="28"/>
        <v>15544.385052607242</v>
      </c>
      <c r="U94" s="7">
        <f t="shared" si="45"/>
        <v>3886.0962631518105</v>
      </c>
      <c r="V94" s="7">
        <f t="shared" si="36"/>
        <v>238623731.18434951</v>
      </c>
      <c r="W94" s="7">
        <f t="shared" si="37"/>
        <v>64428407.419774368</v>
      </c>
      <c r="X94" s="11">
        <f t="shared" si="38"/>
        <v>174199209.86083829</v>
      </c>
      <c r="Y94" s="7">
        <f t="shared" si="33"/>
        <v>11019829.669855751</v>
      </c>
    </row>
    <row r="95" spans="5:25">
      <c r="E95">
        <v>92</v>
      </c>
      <c r="F95" s="2">
        <f t="shared" si="43"/>
        <v>385440000</v>
      </c>
      <c r="G95" s="2">
        <f t="shared" si="44"/>
        <v>19600000</v>
      </c>
      <c r="H95" s="2">
        <f t="shared" si="30"/>
        <v>365840000</v>
      </c>
      <c r="I95" s="2">
        <f t="shared" si="41"/>
        <v>149555.97246492543</v>
      </c>
      <c r="J95" s="2">
        <f t="shared" si="42"/>
        <v>44866.79173947763</v>
      </c>
      <c r="K95" s="2">
        <f t="shared" si="35"/>
        <v>365795133.20826054</v>
      </c>
      <c r="L95" s="2">
        <f t="shared" si="40"/>
        <v>98764685.966230348</v>
      </c>
      <c r="M95" s="2">
        <f t="shared" si="39"/>
        <v>267075314.03376967</v>
      </c>
      <c r="N95" s="2">
        <f t="shared" si="31"/>
        <v>16390342.876862396</v>
      </c>
      <c r="P95">
        <v>92</v>
      </c>
      <c r="Q95" s="3">
        <f t="shared" si="29"/>
        <v>385440000</v>
      </c>
      <c r="R95" s="6">
        <f>$C$13+$C$6*$A$18*$C$10+50*'Carbon Tax'!$B$6</f>
        <v>146812382.71938735</v>
      </c>
      <c r="S95" s="3">
        <f t="shared" si="32"/>
        <v>238627617.28061265</v>
      </c>
      <c r="T95" s="7">
        <f t="shared" si="28"/>
        <v>11658.288789455431</v>
      </c>
      <c r="U95" s="7">
        <f t="shared" si="45"/>
        <v>2914.5721973638579</v>
      </c>
      <c r="V95" s="7">
        <f t="shared" si="36"/>
        <v>238624702.70841527</v>
      </c>
      <c r="W95" s="7">
        <f t="shared" si="37"/>
        <v>64428669.731272124</v>
      </c>
      <c r="X95" s="11">
        <f t="shared" si="38"/>
        <v>174198947.54934052</v>
      </c>
      <c r="Y95" s="7">
        <f t="shared" si="33"/>
        <v>10690544.311262116</v>
      </c>
    </row>
    <row r="96" spans="5:25">
      <c r="E96">
        <v>93</v>
      </c>
      <c r="F96" s="2">
        <f t="shared" si="43"/>
        <v>385440000</v>
      </c>
      <c r="G96" s="2">
        <f t="shared" si="44"/>
        <v>19600000</v>
      </c>
      <c r="H96" s="2">
        <f t="shared" si="30"/>
        <v>365840000</v>
      </c>
      <c r="I96" s="2">
        <f t="shared" si="41"/>
        <v>104689.1807254478</v>
      </c>
      <c r="J96" s="2">
        <f t="shared" si="42"/>
        <v>31406.754217634341</v>
      </c>
      <c r="K96" s="2">
        <f t="shared" si="35"/>
        <v>365808593.24578238</v>
      </c>
      <c r="L96" s="2">
        <f t="shared" si="40"/>
        <v>98768320.176361248</v>
      </c>
      <c r="M96" s="2">
        <f t="shared" si="39"/>
        <v>267071679.82363874</v>
      </c>
      <c r="N96" s="2">
        <f t="shared" si="31"/>
        <v>15900387.899037208</v>
      </c>
      <c r="P96">
        <v>93</v>
      </c>
      <c r="Q96" s="3">
        <f t="shared" si="29"/>
        <v>385440000</v>
      </c>
      <c r="R96" s="6">
        <f>$C$13+$C$6*$A$18*$C$10+50*'Carbon Tax'!$B$6</f>
        <v>146812382.71938735</v>
      </c>
      <c r="S96" s="3">
        <f t="shared" si="32"/>
        <v>238627617.28061265</v>
      </c>
      <c r="T96" s="7">
        <f t="shared" si="28"/>
        <v>8743.7165920915741</v>
      </c>
      <c r="U96" s="7">
        <f t="shared" si="45"/>
        <v>2185.9291480228935</v>
      </c>
      <c r="V96" s="7">
        <f t="shared" si="36"/>
        <v>238625431.35146463</v>
      </c>
      <c r="W96" s="7">
        <f t="shared" si="37"/>
        <v>64428866.464895457</v>
      </c>
      <c r="X96" s="11">
        <f t="shared" si="38"/>
        <v>174198750.81571719</v>
      </c>
      <c r="Y96" s="7">
        <f t="shared" si="33"/>
        <v>10371102.287321098</v>
      </c>
    </row>
    <row r="97" spans="5:25">
      <c r="E97">
        <v>94</v>
      </c>
      <c r="F97" s="2">
        <f t="shared" si="43"/>
        <v>385440000</v>
      </c>
      <c r="G97" s="2">
        <f t="shared" si="44"/>
        <v>19600000</v>
      </c>
      <c r="H97" s="2">
        <f t="shared" si="30"/>
        <v>365840000</v>
      </c>
      <c r="I97" s="2">
        <f t="shared" si="41"/>
        <v>73282.426507813463</v>
      </c>
      <c r="J97" s="2">
        <f t="shared" si="42"/>
        <v>21984.727952344037</v>
      </c>
      <c r="K97" s="2">
        <f t="shared" si="35"/>
        <v>365818015.27204764</v>
      </c>
      <c r="L97" s="2">
        <f t="shared" si="40"/>
        <v>98770864.123452872</v>
      </c>
      <c r="M97" s="2">
        <f t="shared" si="39"/>
        <v>267069135.87654713</v>
      </c>
      <c r="N97" s="2">
        <f t="shared" si="31"/>
        <v>15425142.066864032</v>
      </c>
      <c r="P97">
        <v>94</v>
      </c>
      <c r="Q97" s="3">
        <f t="shared" si="29"/>
        <v>385440000</v>
      </c>
      <c r="R97" s="6">
        <f>$C$13+$C$6*$A$18*$C$10+50*'Carbon Tax'!$B$6</f>
        <v>146812382.71938735</v>
      </c>
      <c r="S97" s="3">
        <f t="shared" si="32"/>
        <v>238627617.28061265</v>
      </c>
      <c r="T97" s="7">
        <f t="shared" si="28"/>
        <v>6557.787444068681</v>
      </c>
      <c r="U97" s="7">
        <f t="shared" si="45"/>
        <v>1639.4468610171702</v>
      </c>
      <c r="V97" s="7">
        <f t="shared" si="36"/>
        <v>238625977.83375162</v>
      </c>
      <c r="W97" s="7">
        <f t="shared" si="37"/>
        <v>64429014.015112944</v>
      </c>
      <c r="X97" s="11">
        <f t="shared" si="38"/>
        <v>174198603.26549971</v>
      </c>
      <c r="Y97" s="7">
        <f t="shared" si="33"/>
        <v>10061208.287511377</v>
      </c>
    </row>
    <row r="98" spans="5:25">
      <c r="E98">
        <v>95</v>
      </c>
      <c r="F98" s="2">
        <f t="shared" si="43"/>
        <v>385440000</v>
      </c>
      <c r="G98" s="2">
        <f t="shared" si="44"/>
        <v>19600000</v>
      </c>
      <c r="H98" s="2">
        <f t="shared" si="30"/>
        <v>365840000</v>
      </c>
      <c r="I98" s="2">
        <f t="shared" si="41"/>
        <v>51297.698555469426</v>
      </c>
      <c r="J98" s="2">
        <f t="shared" si="42"/>
        <v>15389.309566640826</v>
      </c>
      <c r="K98" s="2">
        <f t="shared" si="35"/>
        <v>365824610.69043338</v>
      </c>
      <c r="L98" s="2">
        <f t="shared" si="40"/>
        <v>98772644.886417016</v>
      </c>
      <c r="M98" s="2">
        <f t="shared" si="39"/>
        <v>267067355.11358297</v>
      </c>
      <c r="N98" s="2">
        <f t="shared" si="31"/>
        <v>14964143.592488915</v>
      </c>
      <c r="P98">
        <v>95</v>
      </c>
      <c r="Q98" s="3">
        <f t="shared" si="29"/>
        <v>385440000</v>
      </c>
      <c r="R98" s="6">
        <f>$C$13+$C$6*$A$18*$C$10+50*'Carbon Tax'!$B$6</f>
        <v>146812382.71938735</v>
      </c>
      <c r="S98" s="3">
        <f t="shared" si="32"/>
        <v>238627617.28061265</v>
      </c>
      <c r="T98" s="7">
        <f t="shared" si="28"/>
        <v>4918.3405830515112</v>
      </c>
      <c r="U98" s="7">
        <f t="shared" si="45"/>
        <v>1229.5851457628778</v>
      </c>
      <c r="V98" s="7">
        <f t="shared" si="36"/>
        <v>238626387.69546688</v>
      </c>
      <c r="W98" s="7">
        <f t="shared" si="37"/>
        <v>64429124.677776061</v>
      </c>
      <c r="X98" s="11">
        <f t="shared" si="38"/>
        <v>174198492.60283658</v>
      </c>
      <c r="Y98" s="7">
        <f t="shared" si="33"/>
        <v>9760576.1505195163</v>
      </c>
    </row>
    <row r="99" spans="5:25">
      <c r="E99">
        <v>96</v>
      </c>
      <c r="F99" s="2">
        <f t="shared" si="43"/>
        <v>385440000</v>
      </c>
      <c r="G99" s="2">
        <f t="shared" si="44"/>
        <v>19600000</v>
      </c>
      <c r="H99" s="2">
        <f t="shared" si="30"/>
        <v>365840000</v>
      </c>
      <c r="I99" s="2">
        <f t="shared" si="41"/>
        <v>35908.388988828599</v>
      </c>
      <c r="J99" s="2">
        <f t="shared" si="42"/>
        <v>10772.516696648579</v>
      </c>
      <c r="K99" s="2">
        <f t="shared" si="35"/>
        <v>365829227.48330337</v>
      </c>
      <c r="L99" s="2">
        <f t="shared" si="40"/>
        <v>98773891.420491919</v>
      </c>
      <c r="M99" s="2">
        <f t="shared" si="39"/>
        <v>267066108.57950807</v>
      </c>
      <c r="N99" s="2">
        <f t="shared" ref="N99:N130" si="46">M99/((1+$B$16)^E99)</f>
        <v>14516951.637083689</v>
      </c>
      <c r="P99">
        <v>96</v>
      </c>
      <c r="Q99" s="3">
        <f t="shared" si="29"/>
        <v>385440000</v>
      </c>
      <c r="R99" s="6">
        <f>$C$13+$C$6*$A$18*$C$10+50*'Carbon Tax'!$B$6</f>
        <v>146812382.71938735</v>
      </c>
      <c r="S99" s="3">
        <f t="shared" si="32"/>
        <v>238627617.28061265</v>
      </c>
      <c r="T99" s="7">
        <f t="shared" si="28"/>
        <v>3688.7554372886334</v>
      </c>
      <c r="U99" s="7">
        <f t="shared" si="45"/>
        <v>922.18885932215835</v>
      </c>
      <c r="V99" s="7">
        <f t="shared" si="36"/>
        <v>238626695.09175333</v>
      </c>
      <c r="W99" s="7">
        <f t="shared" si="37"/>
        <v>64429207.674773403</v>
      </c>
      <c r="X99" s="11">
        <f t="shared" si="38"/>
        <v>174198409.60583925</v>
      </c>
      <c r="Y99" s="7">
        <f t="shared" ref="Y99:Y130" si="47">X99/((1+$B$16)^P99)</f>
        <v>9468928.5022176709</v>
      </c>
    </row>
    <row r="100" spans="5:25">
      <c r="E100">
        <v>97</v>
      </c>
      <c r="F100" s="2">
        <f t="shared" si="43"/>
        <v>385440000</v>
      </c>
      <c r="G100" s="2">
        <f t="shared" si="44"/>
        <v>19600000</v>
      </c>
      <c r="H100" s="2">
        <f t="shared" si="30"/>
        <v>365840000</v>
      </c>
      <c r="I100" s="2">
        <f t="shared" si="41"/>
        <v>25135.872292180022</v>
      </c>
      <c r="J100" s="2">
        <f t="shared" si="42"/>
        <v>7540.761687654006</v>
      </c>
      <c r="K100" s="2">
        <f t="shared" si="35"/>
        <v>365832459.23831236</v>
      </c>
      <c r="L100" s="2">
        <f t="shared" si="40"/>
        <v>98774763.994344339</v>
      </c>
      <c r="M100" s="2">
        <f t="shared" si="39"/>
        <v>267065236.00565565</v>
      </c>
      <c r="N100" s="2">
        <f t="shared" si="46"/>
        <v>14083143.390045408</v>
      </c>
      <c r="P100">
        <v>97</v>
      </c>
      <c r="Q100" s="3">
        <f t="shared" si="29"/>
        <v>385440000</v>
      </c>
      <c r="R100" s="6">
        <f>$C$13+$C$6*$A$18*$C$10+50*'Carbon Tax'!$B$6</f>
        <v>146812382.71938735</v>
      </c>
      <c r="S100" s="3">
        <f t="shared" si="32"/>
        <v>238627617.28061265</v>
      </c>
      <c r="T100" s="7">
        <f t="shared" si="28"/>
        <v>2766.5665779664751</v>
      </c>
      <c r="U100" s="7">
        <f t="shared" si="45"/>
        <v>691.64164449161876</v>
      </c>
      <c r="V100" s="7">
        <f t="shared" si="36"/>
        <v>238626925.63896817</v>
      </c>
      <c r="W100" s="7">
        <f t="shared" si="37"/>
        <v>64429269.922521412</v>
      </c>
      <c r="X100" s="11">
        <f t="shared" si="38"/>
        <v>174198347.35809124</v>
      </c>
      <c r="Y100" s="7">
        <f t="shared" si="47"/>
        <v>9185996.4286066182</v>
      </c>
    </row>
    <row r="101" spans="5:25">
      <c r="E101">
        <v>98</v>
      </c>
      <c r="F101" s="2">
        <f t="shared" si="43"/>
        <v>385440000</v>
      </c>
      <c r="G101" s="2">
        <f t="shared" si="44"/>
        <v>19600000</v>
      </c>
      <c r="H101" s="2">
        <f t="shared" si="30"/>
        <v>365840000</v>
      </c>
      <c r="I101" s="2">
        <f t="shared" si="41"/>
        <v>17595.110604526017</v>
      </c>
      <c r="J101" s="2">
        <f t="shared" si="42"/>
        <v>5278.533181357805</v>
      </c>
      <c r="K101" s="2">
        <f t="shared" si="35"/>
        <v>365834721.46681863</v>
      </c>
      <c r="L101" s="2">
        <f t="shared" si="40"/>
        <v>98775374.796041042</v>
      </c>
      <c r="M101" s="2">
        <f t="shared" si="39"/>
        <v>267064625.20395896</v>
      </c>
      <c r="N101" s="2">
        <f t="shared" si="46"/>
        <v>13662311.971921951</v>
      </c>
      <c r="P101">
        <v>98</v>
      </c>
      <c r="Q101" s="3">
        <f t="shared" si="29"/>
        <v>385440000</v>
      </c>
      <c r="R101" s="6">
        <f>$C$13+$C$6*$A$18*$C$10+50*'Carbon Tax'!$B$6</f>
        <v>146812382.71938735</v>
      </c>
      <c r="S101" s="3">
        <f t="shared" si="32"/>
        <v>238627617.28061265</v>
      </c>
      <c r="T101" s="7">
        <f t="shared" si="28"/>
        <v>2074.9249334748565</v>
      </c>
      <c r="U101" s="7">
        <f t="shared" si="45"/>
        <v>518.73123336871413</v>
      </c>
      <c r="V101" s="7">
        <f t="shared" si="36"/>
        <v>238627098.54937929</v>
      </c>
      <c r="W101" s="7">
        <f t="shared" ref="W101:W132" si="48">IF(W100&lt;0,V101*$B$15+W100,V101*$B$15)</f>
        <v>64429316.60833241</v>
      </c>
      <c r="X101" s="11">
        <f t="shared" si="38"/>
        <v>174198300.67228025</v>
      </c>
      <c r="Y101" s="7">
        <f t="shared" si="47"/>
        <v>8911519.1761011779</v>
      </c>
    </row>
    <row r="102" spans="5:25">
      <c r="E102">
        <v>99</v>
      </c>
      <c r="F102" s="2">
        <f t="shared" si="43"/>
        <v>385440000</v>
      </c>
      <c r="G102" s="2">
        <f>$B$13+$B$12</f>
        <v>1134800000</v>
      </c>
      <c r="H102" s="2">
        <f t="shared" si="30"/>
        <v>-749360000</v>
      </c>
      <c r="I102" s="2">
        <f t="shared" si="41"/>
        <v>12316.577423168212</v>
      </c>
      <c r="J102" s="13">
        <v>0</v>
      </c>
      <c r="K102" s="13">
        <f>H102-J102+$B$12+$B$14</f>
        <v>365852316.57742316</v>
      </c>
      <c r="L102" s="2">
        <f t="shared" si="40"/>
        <v>98780125.475904256</v>
      </c>
      <c r="M102" s="13">
        <f>IF(L102&lt;0,H102,H102-L102+$B$14)</f>
        <v>-848127808.89848101</v>
      </c>
      <c r="N102" s="2">
        <f t="shared" si="46"/>
        <v>-42091531.257088445</v>
      </c>
      <c r="P102">
        <v>99</v>
      </c>
      <c r="Q102" s="3">
        <f t="shared" si="29"/>
        <v>385440000</v>
      </c>
      <c r="R102" s="6">
        <f>$C$13+$C$6*$A$18*$C$10+50*'Carbon Tax'!$B$6</f>
        <v>146812382.71938735</v>
      </c>
      <c r="S102" s="3">
        <f t="shared" si="32"/>
        <v>238627617.28061265</v>
      </c>
      <c r="T102" s="7">
        <f t="shared" si="28"/>
        <v>1556.1937001061424</v>
      </c>
      <c r="U102" s="7">
        <f t="shared" si="45"/>
        <v>389.0484250265356</v>
      </c>
      <c r="V102" s="7">
        <f t="shared" si="36"/>
        <v>238627228.23218763</v>
      </c>
      <c r="W102" s="7">
        <f t="shared" si="48"/>
        <v>64429351.622690663</v>
      </c>
      <c r="X102" s="11">
        <f t="shared" si="38"/>
        <v>174198265.65792197</v>
      </c>
      <c r="Y102" s="7">
        <f t="shared" si="47"/>
        <v>8645243.8735547643</v>
      </c>
    </row>
    <row r="103" spans="5:25">
      <c r="E103">
        <v>100</v>
      </c>
      <c r="F103" s="2">
        <v>0</v>
      </c>
      <c r="G103" s="2">
        <v>0</v>
      </c>
      <c r="H103" s="2">
        <f t="shared" si="30"/>
        <v>0</v>
      </c>
      <c r="I103" s="2">
        <v>1115200000</v>
      </c>
      <c r="J103" s="2">
        <f>I103*0.3</f>
        <v>334560000</v>
      </c>
      <c r="K103" s="2">
        <f t="shared" si="35"/>
        <v>-334560000</v>
      </c>
      <c r="L103" s="2">
        <f>K103*$B$15</f>
        <v>-90331200</v>
      </c>
      <c r="M103" s="2">
        <f t="shared" si="39"/>
        <v>0</v>
      </c>
      <c r="N103" s="2">
        <f t="shared" si="46"/>
        <v>0</v>
      </c>
      <c r="P103">
        <v>100</v>
      </c>
      <c r="Q103" s="3">
        <f t="shared" si="29"/>
        <v>385440000</v>
      </c>
      <c r="R103" s="6">
        <f>$C$13+$C$6*$A$18*$C$10+50*'Carbon Tax'!$B$6</f>
        <v>146812382.71938735</v>
      </c>
      <c r="S103" s="3">
        <f t="shared" si="32"/>
        <v>238627617.28061265</v>
      </c>
      <c r="T103" s="7">
        <f t="shared" si="28"/>
        <v>1167.1452750796068</v>
      </c>
      <c r="U103" s="7">
        <f t="shared" si="45"/>
        <v>291.7863187699017</v>
      </c>
      <c r="V103" s="7">
        <f t="shared" si="36"/>
        <v>238627325.49429387</v>
      </c>
      <c r="W103" s="7">
        <f t="shared" si="48"/>
        <v>64429377.883459352</v>
      </c>
      <c r="X103" s="11">
        <f t="shared" si="38"/>
        <v>174198239.39715329</v>
      </c>
      <c r="Y103" s="7">
        <f t="shared" si="47"/>
        <v>8386925.2718911376</v>
      </c>
    </row>
    <row r="104" spans="5:25">
      <c r="E104">
        <v>101</v>
      </c>
      <c r="F104" s="2">
        <v>0</v>
      </c>
      <c r="G104" s="2">
        <v>0</v>
      </c>
      <c r="H104" s="2">
        <f t="shared" si="30"/>
        <v>0</v>
      </c>
      <c r="I104" s="2">
        <f>I103-J103</f>
        <v>780640000</v>
      </c>
      <c r="J104" s="2">
        <f>I104*0.3</f>
        <v>234192000</v>
      </c>
      <c r="K104" s="2">
        <f t="shared" si="35"/>
        <v>-234192000</v>
      </c>
      <c r="L104" s="2">
        <f t="shared" ref="L104:L135" si="49">IF(L103&lt;0,K104*$B$15+L103,K104*$B$15)</f>
        <v>-153563040</v>
      </c>
      <c r="M104" s="2">
        <f t="shared" si="39"/>
        <v>0</v>
      </c>
      <c r="N104" s="2">
        <f t="shared" si="46"/>
        <v>0</v>
      </c>
      <c r="P104">
        <v>101</v>
      </c>
      <c r="Q104" s="3">
        <f t="shared" si="29"/>
        <v>385440000</v>
      </c>
      <c r="R104" s="6">
        <f>$C$13+$C$6*$A$18*$C$10+50*'Carbon Tax'!$B$6</f>
        <v>146812382.71938735</v>
      </c>
      <c r="S104" s="3">
        <f t="shared" si="32"/>
        <v>238627617.28061265</v>
      </c>
      <c r="T104" s="7">
        <f t="shared" si="28"/>
        <v>875.35895630970504</v>
      </c>
      <c r="U104" s="7">
        <f t="shared" si="45"/>
        <v>218.83973907742626</v>
      </c>
      <c r="V104" s="7">
        <f t="shared" si="36"/>
        <v>238627398.44087356</v>
      </c>
      <c r="W104" s="7">
        <f t="shared" si="48"/>
        <v>64429397.579035863</v>
      </c>
      <c r="X104" s="11">
        <f t="shared" si="38"/>
        <v>174198219.70157677</v>
      </c>
      <c r="Y104" s="7">
        <f t="shared" si="47"/>
        <v>8136325.4982834021</v>
      </c>
    </row>
    <row r="105" spans="5:25">
      <c r="E105">
        <v>102</v>
      </c>
      <c r="F105" s="2">
        <v>0</v>
      </c>
      <c r="G105" s="2">
        <v>0</v>
      </c>
      <c r="H105" s="2">
        <f t="shared" si="30"/>
        <v>0</v>
      </c>
      <c r="I105" s="2">
        <f t="shared" ref="I105:I135" si="50">I104-J104</f>
        <v>546448000</v>
      </c>
      <c r="J105" s="2">
        <f t="shared" ref="J105:J134" si="51">I105*0.3</f>
        <v>163934400</v>
      </c>
      <c r="K105" s="2">
        <f t="shared" si="35"/>
        <v>-163934400</v>
      </c>
      <c r="L105" s="2">
        <f t="shared" si="49"/>
        <v>-197825328</v>
      </c>
      <c r="M105" s="2">
        <f t="shared" si="39"/>
        <v>0</v>
      </c>
      <c r="N105" s="2">
        <f t="shared" si="46"/>
        <v>0</v>
      </c>
      <c r="P105">
        <v>102</v>
      </c>
      <c r="Q105" s="3">
        <f t="shared" si="29"/>
        <v>385440000</v>
      </c>
      <c r="R105" s="6">
        <f>$C$13+$C$6*$A$18*$C$10+50*'Carbon Tax'!$B$6</f>
        <v>146812382.71938735</v>
      </c>
      <c r="S105" s="3">
        <f t="shared" si="32"/>
        <v>238627617.28061265</v>
      </c>
      <c r="T105" s="7">
        <f t="shared" si="28"/>
        <v>656.51921723227883</v>
      </c>
      <c r="U105" s="7">
        <f t="shared" si="45"/>
        <v>164.12980430806971</v>
      </c>
      <c r="V105" s="7">
        <f t="shared" si="36"/>
        <v>238627453.15080833</v>
      </c>
      <c r="W105" s="7">
        <f t="shared" si="48"/>
        <v>64429412.350718252</v>
      </c>
      <c r="X105" s="11">
        <f t="shared" si="38"/>
        <v>174198204.92989439</v>
      </c>
      <c r="Y105" s="7">
        <f t="shared" si="47"/>
        <v>7893213.8226021118</v>
      </c>
    </row>
    <row r="106" spans="5:25">
      <c r="E106">
        <v>103</v>
      </c>
      <c r="F106" s="2">
        <f t="shared" ref="F106:F135" si="52">$B$11</f>
        <v>385440000</v>
      </c>
      <c r="G106" s="2">
        <f t="shared" ref="G106:G134" si="53">$B$13</f>
        <v>19600000</v>
      </c>
      <c r="H106" s="2">
        <f t="shared" si="30"/>
        <v>365840000</v>
      </c>
      <c r="I106" s="2">
        <f t="shared" si="50"/>
        <v>382513600</v>
      </c>
      <c r="J106" s="2">
        <f t="shared" si="51"/>
        <v>114754080</v>
      </c>
      <c r="K106" s="2">
        <f t="shared" si="35"/>
        <v>251085920</v>
      </c>
      <c r="L106" s="2">
        <f t="shared" si="49"/>
        <v>-130032129.59999999</v>
      </c>
      <c r="M106" s="2">
        <f t="shared" si="39"/>
        <v>365840000</v>
      </c>
      <c r="N106" s="2">
        <f t="shared" si="46"/>
        <v>16081515.395985514</v>
      </c>
      <c r="P106">
        <v>103</v>
      </c>
      <c r="Q106" s="3">
        <f t="shared" si="29"/>
        <v>385440000</v>
      </c>
      <c r="R106" s="6">
        <f>$C$13+$C$6*$A$18*$C$10+50*'Carbon Tax'!$B$6</f>
        <v>146812382.71938735</v>
      </c>
      <c r="S106" s="3">
        <f t="shared" si="32"/>
        <v>238627617.28061265</v>
      </c>
      <c r="T106" s="7">
        <f t="shared" si="28"/>
        <v>492.38941292420913</v>
      </c>
      <c r="U106" s="7">
        <f t="shared" si="45"/>
        <v>123.09735323105228</v>
      </c>
      <c r="V106" s="7">
        <f t="shared" si="36"/>
        <v>238627494.18325943</v>
      </c>
      <c r="W106" s="7">
        <f t="shared" si="48"/>
        <v>64429423.429480046</v>
      </c>
      <c r="X106" s="11">
        <f t="shared" si="38"/>
        <v>174198193.8511326</v>
      </c>
      <c r="Y106" s="7">
        <f t="shared" si="47"/>
        <v>7657366.4344244972</v>
      </c>
    </row>
    <row r="107" spans="5:25">
      <c r="E107">
        <v>104</v>
      </c>
      <c r="F107" s="2">
        <f t="shared" si="52"/>
        <v>385440000</v>
      </c>
      <c r="G107" s="2">
        <f t="shared" si="53"/>
        <v>19600000</v>
      </c>
      <c r="H107" s="2">
        <f t="shared" si="30"/>
        <v>365840000</v>
      </c>
      <c r="I107" s="2">
        <f t="shared" si="50"/>
        <v>267759520</v>
      </c>
      <c r="J107" s="2">
        <f t="shared" si="51"/>
        <v>80327856</v>
      </c>
      <c r="K107" s="2">
        <f t="shared" si="35"/>
        <v>285512144</v>
      </c>
      <c r="L107" s="2">
        <f t="shared" si="49"/>
        <v>-52943850.719999984</v>
      </c>
      <c r="M107" s="2">
        <f t="shared" si="39"/>
        <v>365840000</v>
      </c>
      <c r="N107" s="2">
        <f t="shared" si="46"/>
        <v>15601004.458658818</v>
      </c>
      <c r="P107">
        <v>104</v>
      </c>
      <c r="Q107" s="3">
        <f t="shared" si="29"/>
        <v>385440000</v>
      </c>
      <c r="R107" s="6">
        <f>$C$13+$C$6*$A$18*$C$10+50*'Carbon Tax'!$B$6</f>
        <v>146812382.71938735</v>
      </c>
      <c r="S107" s="3">
        <f t="shared" si="32"/>
        <v>238627617.28061265</v>
      </c>
      <c r="T107" s="7">
        <f t="shared" si="28"/>
        <v>369.29205969315683</v>
      </c>
      <c r="U107" s="7">
        <f t="shared" si="45"/>
        <v>92.323014923289207</v>
      </c>
      <c r="V107" s="7">
        <f t="shared" si="36"/>
        <v>238627524.95759773</v>
      </c>
      <c r="W107" s="7">
        <f t="shared" si="48"/>
        <v>64429431.738551393</v>
      </c>
      <c r="X107" s="11">
        <f t="shared" si="38"/>
        <v>174198185.54206127</v>
      </c>
      <c r="Y107" s="7">
        <f t="shared" si="47"/>
        <v>7428566.2293132897</v>
      </c>
    </row>
    <row r="108" spans="5:25">
      <c r="E108">
        <v>105</v>
      </c>
      <c r="F108" s="2">
        <f t="shared" si="52"/>
        <v>385440000</v>
      </c>
      <c r="G108" s="2">
        <f t="shared" si="53"/>
        <v>19600000</v>
      </c>
      <c r="H108" s="2">
        <f t="shared" si="30"/>
        <v>365840000</v>
      </c>
      <c r="I108" s="2">
        <f t="shared" si="50"/>
        <v>187431664</v>
      </c>
      <c r="J108" s="2">
        <f t="shared" si="51"/>
        <v>56229499.199999996</v>
      </c>
      <c r="K108" s="2">
        <f t="shared" si="35"/>
        <v>309610500.80000001</v>
      </c>
      <c r="L108" s="2">
        <f t="shared" si="49"/>
        <v>30650984.496000022</v>
      </c>
      <c r="M108" s="2">
        <f t="shared" si="39"/>
        <v>335189015.50399995</v>
      </c>
      <c r="N108" s="2">
        <f t="shared" si="46"/>
        <v>13866815.608058598</v>
      </c>
      <c r="P108">
        <v>105</v>
      </c>
      <c r="Q108" s="3">
        <f t="shared" si="29"/>
        <v>385440000</v>
      </c>
      <c r="R108" s="6">
        <f>$C$13+$C$6*$A$18*$C$10+50*'Carbon Tax'!$B$6</f>
        <v>146812382.71938735</v>
      </c>
      <c r="S108" s="3">
        <f t="shared" si="32"/>
        <v>238627617.28061265</v>
      </c>
      <c r="T108" s="7">
        <f t="shared" si="28"/>
        <v>276.96904476986765</v>
      </c>
      <c r="U108" s="7">
        <f t="shared" si="45"/>
        <v>69.242261192466913</v>
      </c>
      <c r="V108" s="7">
        <f t="shared" si="36"/>
        <v>238627548.03835145</v>
      </c>
      <c r="W108" s="7">
        <f t="shared" si="48"/>
        <v>64429437.970354892</v>
      </c>
      <c r="X108" s="11">
        <f t="shared" si="38"/>
        <v>174198179.31025776</v>
      </c>
      <c r="Y108" s="7">
        <f t="shared" si="47"/>
        <v>7206602.6033781124</v>
      </c>
    </row>
    <row r="109" spans="5:25">
      <c r="E109">
        <v>106</v>
      </c>
      <c r="F109" s="2">
        <f t="shared" si="52"/>
        <v>385440000</v>
      </c>
      <c r="G109" s="2">
        <f t="shared" si="53"/>
        <v>19600000</v>
      </c>
      <c r="H109" s="2">
        <f t="shared" si="30"/>
        <v>365840000</v>
      </c>
      <c r="I109" s="2">
        <f t="shared" si="50"/>
        <v>131202164.80000001</v>
      </c>
      <c r="J109" s="2">
        <f t="shared" si="51"/>
        <v>39360649.440000005</v>
      </c>
      <c r="K109" s="2">
        <f t="shared" si="35"/>
        <v>326479350.56</v>
      </c>
      <c r="L109" s="2">
        <f t="shared" si="49"/>
        <v>88149424.651200011</v>
      </c>
      <c r="M109" s="2">
        <f t="shared" si="39"/>
        <v>277690575.3488</v>
      </c>
      <c r="N109" s="2">
        <f t="shared" si="46"/>
        <v>11144836.284142073</v>
      </c>
      <c r="P109">
        <v>106</v>
      </c>
      <c r="Q109" s="3">
        <f t="shared" si="29"/>
        <v>385440000</v>
      </c>
      <c r="R109" s="6">
        <f>$C$13+$C$6*$A$18*$C$10+50*'Carbon Tax'!$B$6</f>
        <v>146812382.71938735</v>
      </c>
      <c r="S109" s="3">
        <f t="shared" si="32"/>
        <v>238627617.28061265</v>
      </c>
      <c r="T109" s="7">
        <f t="shared" si="28"/>
        <v>207.72678357740074</v>
      </c>
      <c r="U109" s="7">
        <f t="shared" si="45"/>
        <v>51.931695894350185</v>
      </c>
      <c r="V109" s="7">
        <f t="shared" si="36"/>
        <v>238627565.34891674</v>
      </c>
      <c r="W109" s="7">
        <f t="shared" si="48"/>
        <v>64429442.644207522</v>
      </c>
      <c r="X109" s="11">
        <f t="shared" si="38"/>
        <v>174198174.63640511</v>
      </c>
      <c r="Y109" s="7">
        <f t="shared" si="47"/>
        <v>6991271.2553552445</v>
      </c>
    </row>
    <row r="110" spans="5:25">
      <c r="E110">
        <v>107</v>
      </c>
      <c r="F110" s="2">
        <f t="shared" si="52"/>
        <v>385440000</v>
      </c>
      <c r="G110" s="2">
        <f t="shared" si="53"/>
        <v>19600000</v>
      </c>
      <c r="H110" s="2">
        <f t="shared" si="30"/>
        <v>365840000</v>
      </c>
      <c r="I110" s="2">
        <f t="shared" si="50"/>
        <v>91841515.360000014</v>
      </c>
      <c r="J110" s="2">
        <f t="shared" si="51"/>
        <v>27552454.608000003</v>
      </c>
      <c r="K110" s="2">
        <f t="shared" si="35"/>
        <v>338287545.39200002</v>
      </c>
      <c r="L110" s="2">
        <f t="shared" si="49"/>
        <v>91337637.255840018</v>
      </c>
      <c r="M110" s="2">
        <f t="shared" si="39"/>
        <v>274502362.74416</v>
      </c>
      <c r="N110" s="2">
        <f t="shared" si="46"/>
        <v>10687699.38696968</v>
      </c>
      <c r="P110">
        <v>107</v>
      </c>
      <c r="Q110" s="3">
        <f t="shared" si="29"/>
        <v>385440000</v>
      </c>
      <c r="R110" s="6">
        <f>$C$13+$C$6*$A$18*$C$10+50*'Carbon Tax'!$B$6</f>
        <v>146812382.71938735</v>
      </c>
      <c r="S110" s="3">
        <f t="shared" si="32"/>
        <v>238627617.28061265</v>
      </c>
      <c r="T110" s="7">
        <f t="shared" si="28"/>
        <v>155.79508768305055</v>
      </c>
      <c r="U110" s="7">
        <f t="shared" si="45"/>
        <v>38.948771920762638</v>
      </c>
      <c r="V110" s="7">
        <f t="shared" si="36"/>
        <v>238627578.33184072</v>
      </c>
      <c r="W110" s="7">
        <f t="shared" si="48"/>
        <v>64429446.149596997</v>
      </c>
      <c r="X110" s="11">
        <f t="shared" si="38"/>
        <v>174198171.13101566</v>
      </c>
      <c r="Y110" s="7">
        <f t="shared" si="47"/>
        <v>6782373.9956052694</v>
      </c>
    </row>
    <row r="111" spans="5:25">
      <c r="E111">
        <v>108</v>
      </c>
      <c r="F111" s="2">
        <f t="shared" si="52"/>
        <v>385440000</v>
      </c>
      <c r="G111" s="2">
        <f t="shared" si="53"/>
        <v>19600000</v>
      </c>
      <c r="H111" s="2">
        <f t="shared" si="30"/>
        <v>365840000</v>
      </c>
      <c r="I111" s="2">
        <f t="shared" si="50"/>
        <v>64289060.752000012</v>
      </c>
      <c r="J111" s="2">
        <f t="shared" si="51"/>
        <v>19286718.225600004</v>
      </c>
      <c r="K111" s="2">
        <f t="shared" si="35"/>
        <v>346553281.7744</v>
      </c>
      <c r="L111" s="2">
        <f t="shared" si="49"/>
        <v>93569386.079088002</v>
      </c>
      <c r="M111" s="2">
        <f t="shared" si="39"/>
        <v>272270613.92091203</v>
      </c>
      <c r="N111" s="2">
        <f t="shared" si="46"/>
        <v>10284057.677444991</v>
      </c>
      <c r="P111">
        <v>108</v>
      </c>
      <c r="Q111" s="3">
        <f t="shared" si="29"/>
        <v>385440000</v>
      </c>
      <c r="R111" s="6">
        <f>$C$13+$C$6*$A$18*$C$10+50*'Carbon Tax'!$B$6</f>
        <v>146812382.71938735</v>
      </c>
      <c r="S111" s="3">
        <f t="shared" si="32"/>
        <v>238627617.28061265</v>
      </c>
      <c r="T111" s="7">
        <f t="shared" si="28"/>
        <v>116.84631576228792</v>
      </c>
      <c r="U111" s="7">
        <f t="shared" si="45"/>
        <v>29.211578940571979</v>
      </c>
      <c r="V111" s="7">
        <f t="shared" si="36"/>
        <v>238627588.06903371</v>
      </c>
      <c r="W111" s="7">
        <f t="shared" si="48"/>
        <v>64429448.778639108</v>
      </c>
      <c r="X111" s="11">
        <f t="shared" si="38"/>
        <v>174198168.50197354</v>
      </c>
      <c r="Y111" s="7">
        <f t="shared" si="47"/>
        <v>6579718.5615483057</v>
      </c>
    </row>
    <row r="112" spans="5:25">
      <c r="E112">
        <v>109</v>
      </c>
      <c r="F112" s="2">
        <f t="shared" si="52"/>
        <v>385440000</v>
      </c>
      <c r="G112" s="2">
        <f t="shared" si="53"/>
        <v>19600000</v>
      </c>
      <c r="H112" s="2">
        <f t="shared" si="30"/>
        <v>365840000</v>
      </c>
      <c r="I112" s="2">
        <f t="shared" si="50"/>
        <v>45002342.526400007</v>
      </c>
      <c r="J112" s="2">
        <f t="shared" si="51"/>
        <v>13500702.757920003</v>
      </c>
      <c r="K112" s="2">
        <f t="shared" si="35"/>
        <v>352339297.24207997</v>
      </c>
      <c r="L112" s="2">
        <f t="shared" si="49"/>
        <v>95131610.255361602</v>
      </c>
      <c r="M112" s="2">
        <f t="shared" si="39"/>
        <v>270708389.74463838</v>
      </c>
      <c r="N112" s="2">
        <f t="shared" si="46"/>
        <v>9919528.7104868237</v>
      </c>
      <c r="P112">
        <v>109</v>
      </c>
      <c r="Q112" s="3">
        <f t="shared" si="29"/>
        <v>385440000</v>
      </c>
      <c r="R112" s="6">
        <f>$C$13+$C$6*$A$18*$C$10+50*'Carbon Tax'!$B$6</f>
        <v>146812382.71938735</v>
      </c>
      <c r="S112" s="3">
        <f t="shared" si="32"/>
        <v>238627617.28061265</v>
      </c>
      <c r="T112" s="7">
        <f t="shared" si="28"/>
        <v>87.634736821715933</v>
      </c>
      <c r="U112" s="7">
        <f t="shared" si="45"/>
        <v>21.908684205428983</v>
      </c>
      <c r="V112" s="7">
        <f t="shared" si="36"/>
        <v>238627595.37192845</v>
      </c>
      <c r="W112" s="7">
        <f t="shared" si="48"/>
        <v>64429450.75042069</v>
      </c>
      <c r="X112" s="11">
        <f t="shared" si="38"/>
        <v>174198166.53019196</v>
      </c>
      <c r="Y112" s="7">
        <f t="shared" si="47"/>
        <v>6383118.4391455594</v>
      </c>
    </row>
    <row r="113" spans="5:25">
      <c r="E113">
        <v>110</v>
      </c>
      <c r="F113" s="2">
        <f t="shared" si="52"/>
        <v>385440000</v>
      </c>
      <c r="G113" s="2">
        <f t="shared" si="53"/>
        <v>19600000</v>
      </c>
      <c r="H113" s="2">
        <f t="shared" si="30"/>
        <v>365840000</v>
      </c>
      <c r="I113" s="2">
        <f t="shared" si="50"/>
        <v>31501639.768480003</v>
      </c>
      <c r="J113" s="2">
        <f t="shared" si="51"/>
        <v>9450491.9305440001</v>
      </c>
      <c r="K113" s="2">
        <f t="shared" si="35"/>
        <v>356389508.06945598</v>
      </c>
      <c r="L113" s="2">
        <f t="shared" si="49"/>
        <v>96225167.178753123</v>
      </c>
      <c r="M113" s="2">
        <f t="shared" si="39"/>
        <v>269614832.82124686</v>
      </c>
      <c r="N113" s="2">
        <f t="shared" si="46"/>
        <v>9584262.3796471059</v>
      </c>
      <c r="P113">
        <v>110</v>
      </c>
      <c r="Q113" s="3">
        <f t="shared" si="29"/>
        <v>385440000</v>
      </c>
      <c r="R113" s="6">
        <f>$C$13+$C$6*$A$18*$C$10+50*'Carbon Tax'!$B$6+$C$12</f>
        <v>513612382.71938735</v>
      </c>
      <c r="S113" s="3">
        <f t="shared" si="32"/>
        <v>-128172382.71938735</v>
      </c>
      <c r="T113" s="7">
        <f t="shared" si="28"/>
        <v>65.72605261628695</v>
      </c>
      <c r="U113" s="15">
        <v>0</v>
      </c>
      <c r="V113" s="15">
        <f>S58-U58+$C$12+$C$14</f>
        <v>238627683.00666526</v>
      </c>
      <c r="W113" s="7">
        <f t="shared" si="48"/>
        <v>64429474.411799625</v>
      </c>
      <c r="X113" s="16">
        <f>IF(W113&lt;0,S113,S113-W113+$C$14)</f>
        <v>-192601791.40513435</v>
      </c>
      <c r="Y113" s="7">
        <f t="shared" si="47"/>
        <v>-6846604.4108215692</v>
      </c>
    </row>
    <row r="114" spans="5:25">
      <c r="E114">
        <v>111</v>
      </c>
      <c r="F114" s="2">
        <f t="shared" si="52"/>
        <v>385440000</v>
      </c>
      <c r="G114" s="2">
        <f t="shared" si="53"/>
        <v>19600000</v>
      </c>
      <c r="H114" s="2">
        <f t="shared" si="30"/>
        <v>365840000</v>
      </c>
      <c r="I114" s="2">
        <f t="shared" si="50"/>
        <v>22051147.837936003</v>
      </c>
      <c r="J114" s="2">
        <f t="shared" si="51"/>
        <v>6615344.3513808008</v>
      </c>
      <c r="K114" s="2">
        <f t="shared" si="35"/>
        <v>359224655.64861917</v>
      </c>
      <c r="L114" s="2">
        <f t="shared" si="49"/>
        <v>96990657.025127187</v>
      </c>
      <c r="M114" s="2">
        <f t="shared" si="39"/>
        <v>268849342.97487283</v>
      </c>
      <c r="N114" s="2">
        <f t="shared" si="46"/>
        <v>9271488.904505711</v>
      </c>
      <c r="P114">
        <v>111</v>
      </c>
      <c r="Q114" s="7">
        <v>0</v>
      </c>
      <c r="R114" s="7">
        <v>0</v>
      </c>
      <c r="S114" s="3">
        <f t="shared" si="32"/>
        <v>0</v>
      </c>
      <c r="T114" s="3">
        <f>$C$12</f>
        <v>366800000</v>
      </c>
      <c r="U114" s="7">
        <f t="shared" ref="U114:U145" si="54">T114*$B$29</f>
        <v>91700000</v>
      </c>
      <c r="V114" s="7">
        <f t="shared" si="36"/>
        <v>-91700000</v>
      </c>
      <c r="W114" s="7">
        <f t="shared" si="48"/>
        <v>-24759000</v>
      </c>
      <c r="X114" s="11">
        <f t="shared" si="38"/>
        <v>0</v>
      </c>
      <c r="Y114" s="7">
        <f t="shared" si="47"/>
        <v>0</v>
      </c>
    </row>
    <row r="115" spans="5:25">
      <c r="E115">
        <v>112</v>
      </c>
      <c r="F115" s="2">
        <f t="shared" si="52"/>
        <v>385440000</v>
      </c>
      <c r="G115" s="2">
        <f t="shared" si="53"/>
        <v>19600000</v>
      </c>
      <c r="H115" s="2">
        <f t="shared" si="30"/>
        <v>365840000</v>
      </c>
      <c r="I115" s="2">
        <f t="shared" si="50"/>
        <v>15435803.486555202</v>
      </c>
      <c r="J115" s="2">
        <f t="shared" si="51"/>
        <v>4630741.04596656</v>
      </c>
      <c r="K115" s="2">
        <f t="shared" si="35"/>
        <v>361209258.95403343</v>
      </c>
      <c r="L115" s="2">
        <f t="shared" si="49"/>
        <v>97526499.917589039</v>
      </c>
      <c r="M115" s="2">
        <f t="shared" si="39"/>
        <v>268313500.08241096</v>
      </c>
      <c r="N115" s="2">
        <f t="shared" si="46"/>
        <v>8976532.7175484821</v>
      </c>
      <c r="P115">
        <v>112</v>
      </c>
      <c r="Q115" s="7">
        <v>0</v>
      </c>
      <c r="R115" s="7">
        <v>0</v>
      </c>
      <c r="S115" s="3">
        <f t="shared" si="32"/>
        <v>0</v>
      </c>
      <c r="T115" s="7">
        <f>T114-U114</f>
        <v>275100000</v>
      </c>
      <c r="U115" s="7">
        <f t="shared" si="54"/>
        <v>68775000</v>
      </c>
      <c r="V115" s="7">
        <f t="shared" si="36"/>
        <v>-68775000</v>
      </c>
      <c r="W115" s="7">
        <f t="shared" si="48"/>
        <v>-43328250</v>
      </c>
      <c r="X115" s="11">
        <f t="shared" si="38"/>
        <v>0</v>
      </c>
      <c r="Y115" s="7">
        <f t="shared" si="47"/>
        <v>0</v>
      </c>
    </row>
    <row r="116" spans="5:25">
      <c r="E116">
        <v>113</v>
      </c>
      <c r="F116" s="2">
        <f t="shared" si="52"/>
        <v>385440000</v>
      </c>
      <c r="G116" s="2">
        <f t="shared" si="53"/>
        <v>19600000</v>
      </c>
      <c r="H116" s="2">
        <f t="shared" si="30"/>
        <v>365840000</v>
      </c>
      <c r="I116" s="2">
        <f t="shared" si="50"/>
        <v>10805062.440588642</v>
      </c>
      <c r="J116" s="2">
        <f t="shared" si="51"/>
        <v>3241518.7321765926</v>
      </c>
      <c r="K116" s="2">
        <f t="shared" si="35"/>
        <v>362598481.2678234</v>
      </c>
      <c r="L116" s="2">
        <f t="shared" si="49"/>
        <v>97901589.94231233</v>
      </c>
      <c r="M116" s="2">
        <f t="shared" si="39"/>
        <v>267938410.05768767</v>
      </c>
      <c r="N116" s="2">
        <f t="shared" si="46"/>
        <v>8696142.7382460963</v>
      </c>
      <c r="P116">
        <v>113</v>
      </c>
      <c r="Q116" s="7">
        <v>0</v>
      </c>
      <c r="R116" s="7">
        <v>0</v>
      </c>
      <c r="S116" s="3">
        <f t="shared" si="32"/>
        <v>0</v>
      </c>
      <c r="T116" s="7">
        <f t="shared" ref="T116:T168" si="55">T115-U115</f>
        <v>206325000</v>
      </c>
      <c r="U116" s="7">
        <f t="shared" si="54"/>
        <v>51581250</v>
      </c>
      <c r="V116" s="7">
        <f t="shared" si="36"/>
        <v>-51581250</v>
      </c>
      <c r="W116" s="7">
        <f t="shared" si="48"/>
        <v>-57255187.5</v>
      </c>
      <c r="X116" s="11">
        <f t="shared" si="38"/>
        <v>0</v>
      </c>
      <c r="Y116" s="7">
        <f t="shared" si="47"/>
        <v>0</v>
      </c>
    </row>
    <row r="117" spans="5:25">
      <c r="E117">
        <v>114</v>
      </c>
      <c r="F117" s="2">
        <f t="shared" si="52"/>
        <v>385440000</v>
      </c>
      <c r="G117" s="2">
        <f t="shared" si="53"/>
        <v>19600000</v>
      </c>
      <c r="H117" s="2">
        <f t="shared" si="30"/>
        <v>365840000</v>
      </c>
      <c r="I117" s="2">
        <f t="shared" si="50"/>
        <v>7563543.7084120493</v>
      </c>
      <c r="J117" s="2">
        <f t="shared" si="51"/>
        <v>2269063.1125236149</v>
      </c>
      <c r="K117" s="2">
        <f t="shared" si="35"/>
        <v>363570936.88747638</v>
      </c>
      <c r="L117" s="2">
        <f t="shared" si="49"/>
        <v>98164152.959618628</v>
      </c>
      <c r="M117" s="2">
        <f t="shared" si="39"/>
        <v>267675847.04038137</v>
      </c>
      <c r="N117" s="2">
        <f t="shared" si="46"/>
        <v>8428037.5028375071</v>
      </c>
      <c r="P117">
        <v>114</v>
      </c>
      <c r="Q117" s="7">
        <v>0</v>
      </c>
      <c r="R117" s="7">
        <v>0</v>
      </c>
      <c r="S117" s="3">
        <f t="shared" si="32"/>
        <v>0</v>
      </c>
      <c r="T117" s="7">
        <f t="shared" si="55"/>
        <v>154743750</v>
      </c>
      <c r="U117" s="7">
        <f t="shared" si="54"/>
        <v>38685937.5</v>
      </c>
      <c r="V117" s="7">
        <f t="shared" si="36"/>
        <v>-38685937.5</v>
      </c>
      <c r="W117" s="7">
        <f t="shared" si="48"/>
        <v>-67700390.625</v>
      </c>
      <c r="X117" s="11">
        <f t="shared" si="38"/>
        <v>0</v>
      </c>
      <c r="Y117" s="7">
        <f t="shared" si="47"/>
        <v>0</v>
      </c>
    </row>
    <row r="118" spans="5:25">
      <c r="E118">
        <v>115</v>
      </c>
      <c r="F118" s="2">
        <f t="shared" si="52"/>
        <v>385440000</v>
      </c>
      <c r="G118" s="2">
        <f t="shared" si="53"/>
        <v>19600000</v>
      </c>
      <c r="H118" s="2">
        <f t="shared" si="30"/>
        <v>365840000</v>
      </c>
      <c r="I118" s="2">
        <f t="shared" si="50"/>
        <v>5294480.595888434</v>
      </c>
      <c r="J118" s="2">
        <f t="shared" si="51"/>
        <v>1588344.1787665302</v>
      </c>
      <c r="K118" s="2">
        <f t="shared" si="35"/>
        <v>364251655.82123345</v>
      </c>
      <c r="L118" s="2">
        <f t="shared" si="49"/>
        <v>98347947.071733043</v>
      </c>
      <c r="M118" s="2">
        <f t="shared" si="39"/>
        <v>267492052.92826694</v>
      </c>
      <c r="N118" s="2">
        <f t="shared" si="46"/>
        <v>8170596.2013184344</v>
      </c>
      <c r="P118">
        <v>115</v>
      </c>
      <c r="Q118" s="7">
        <v>0</v>
      </c>
      <c r="R118" s="7">
        <v>0</v>
      </c>
      <c r="S118" s="3">
        <f t="shared" si="32"/>
        <v>0</v>
      </c>
      <c r="T118" s="7">
        <f t="shared" si="55"/>
        <v>116057812.5</v>
      </c>
      <c r="U118" s="7">
        <f t="shared" si="54"/>
        <v>29014453.125</v>
      </c>
      <c r="V118" s="7">
        <f t="shared" si="36"/>
        <v>-29014453.125</v>
      </c>
      <c r="W118" s="7">
        <f t="shared" si="48"/>
        <v>-75534292.96875</v>
      </c>
      <c r="X118" s="11">
        <f t="shared" si="38"/>
        <v>0</v>
      </c>
      <c r="Y118" s="7">
        <f t="shared" si="47"/>
        <v>0</v>
      </c>
    </row>
    <row r="119" spans="5:25">
      <c r="E119">
        <v>116</v>
      </c>
      <c r="F119" s="2">
        <f t="shared" si="52"/>
        <v>385440000</v>
      </c>
      <c r="G119" s="2">
        <f t="shared" si="53"/>
        <v>19600000</v>
      </c>
      <c r="H119" s="2">
        <f t="shared" si="30"/>
        <v>365840000</v>
      </c>
      <c r="I119" s="2">
        <f t="shared" si="50"/>
        <v>3706136.417121904</v>
      </c>
      <c r="J119" s="2">
        <f t="shared" si="51"/>
        <v>1111840.9251365711</v>
      </c>
      <c r="K119" s="2">
        <f t="shared" si="35"/>
        <v>364728159.07486343</v>
      </c>
      <c r="L119" s="2">
        <f t="shared" si="49"/>
        <v>98476602.950213134</v>
      </c>
      <c r="M119" s="2">
        <f t="shared" si="39"/>
        <v>267363397.04978687</v>
      </c>
      <c r="N119" s="2">
        <f t="shared" si="46"/>
        <v>7922648.7997350572</v>
      </c>
      <c r="P119">
        <v>116</v>
      </c>
      <c r="Q119" s="3">
        <f t="shared" ref="Q119:Q168" si="56">$C$11</f>
        <v>385440000</v>
      </c>
      <c r="R119" s="6">
        <f>$C$13+$C$6*$A$18*$C$10+50*'Carbon Tax'!$B$6</f>
        <v>146812382.71938735</v>
      </c>
      <c r="S119" s="3">
        <f t="shared" si="32"/>
        <v>238627617.28061265</v>
      </c>
      <c r="T119" s="7">
        <f t="shared" si="55"/>
        <v>87043359.375</v>
      </c>
      <c r="U119" s="7">
        <f t="shared" si="54"/>
        <v>21760839.84375</v>
      </c>
      <c r="V119" s="7">
        <f t="shared" si="36"/>
        <v>216866777.43686265</v>
      </c>
      <c r="W119" s="7">
        <f t="shared" si="48"/>
        <v>-16980263.06079708</v>
      </c>
      <c r="X119" s="11">
        <f t="shared" si="38"/>
        <v>238627617.28061265</v>
      </c>
      <c r="Y119" s="7">
        <f t="shared" si="47"/>
        <v>7071135.4900978934</v>
      </c>
    </row>
    <row r="120" spans="5:25">
      <c r="E120">
        <v>117</v>
      </c>
      <c r="F120" s="2">
        <f t="shared" si="52"/>
        <v>385440000</v>
      </c>
      <c r="G120" s="2">
        <f t="shared" si="53"/>
        <v>19600000</v>
      </c>
      <c r="H120" s="2">
        <f t="shared" si="30"/>
        <v>365840000</v>
      </c>
      <c r="I120" s="2">
        <f t="shared" si="50"/>
        <v>2594295.4919853332</v>
      </c>
      <c r="J120" s="2">
        <f t="shared" si="51"/>
        <v>778288.64759559988</v>
      </c>
      <c r="K120" s="2">
        <f t="shared" si="35"/>
        <v>365061711.35240442</v>
      </c>
      <c r="L120" s="2">
        <f t="shared" si="49"/>
        <v>98566662.065149203</v>
      </c>
      <c r="M120" s="2">
        <f t="shared" si="39"/>
        <v>267273337.93485081</v>
      </c>
      <c r="N120" s="2">
        <f t="shared" si="46"/>
        <v>7683333.4517098619</v>
      </c>
      <c r="P120">
        <v>117</v>
      </c>
      <c r="Q120" s="3">
        <f t="shared" si="56"/>
        <v>385440000</v>
      </c>
      <c r="R120" s="6">
        <f>$C$13+$C$6*$A$18*$C$10+50*'Carbon Tax'!$B$6</f>
        <v>146812382.71938735</v>
      </c>
      <c r="S120" s="3">
        <f t="shared" si="32"/>
        <v>238627617.28061265</v>
      </c>
      <c r="T120" s="7">
        <f t="shared" si="55"/>
        <v>65282519.53125</v>
      </c>
      <c r="U120" s="7">
        <f t="shared" si="54"/>
        <v>16320629.8828125</v>
      </c>
      <c r="V120" s="7">
        <f t="shared" si="36"/>
        <v>222306987.39780015</v>
      </c>
      <c r="W120" s="7">
        <f t="shared" si="48"/>
        <v>43042623.536608964</v>
      </c>
      <c r="X120" s="11">
        <f t="shared" si="38"/>
        <v>195584993.74400368</v>
      </c>
      <c r="Y120" s="7">
        <f t="shared" si="47"/>
        <v>5622501.4312952869</v>
      </c>
    </row>
    <row r="121" spans="5:25">
      <c r="E121">
        <v>118</v>
      </c>
      <c r="F121" s="2">
        <f t="shared" si="52"/>
        <v>385440000</v>
      </c>
      <c r="G121" s="2">
        <f t="shared" si="53"/>
        <v>19600000</v>
      </c>
      <c r="H121" s="2">
        <f t="shared" si="30"/>
        <v>365840000</v>
      </c>
      <c r="I121" s="2">
        <f t="shared" si="50"/>
        <v>1816006.8443897334</v>
      </c>
      <c r="J121" s="2">
        <f t="shared" si="51"/>
        <v>544802.05331691995</v>
      </c>
      <c r="K121" s="2">
        <f t="shared" si="35"/>
        <v>365295197.94668311</v>
      </c>
      <c r="L121" s="2">
        <f t="shared" si="49"/>
        <v>98629703.445604444</v>
      </c>
      <c r="M121" s="2">
        <f t="shared" si="39"/>
        <v>267210296.55439556</v>
      </c>
      <c r="N121" s="2">
        <f t="shared" si="46"/>
        <v>7451999.6069297614</v>
      </c>
      <c r="P121">
        <v>118</v>
      </c>
      <c r="Q121" s="3">
        <f t="shared" si="56"/>
        <v>385440000</v>
      </c>
      <c r="R121" s="6">
        <f>$C$13+$C$6*$A$18*$C$10+50*'Carbon Tax'!$B$6</f>
        <v>146812382.71938735</v>
      </c>
      <c r="S121" s="3">
        <f t="shared" si="32"/>
        <v>238627617.28061265</v>
      </c>
      <c r="T121" s="7">
        <f t="shared" si="55"/>
        <v>48961889.6484375</v>
      </c>
      <c r="U121" s="7">
        <f t="shared" si="54"/>
        <v>12240472.412109375</v>
      </c>
      <c r="V121" s="7">
        <f t="shared" si="36"/>
        <v>226387144.86850327</v>
      </c>
      <c r="W121" s="7">
        <f t="shared" si="48"/>
        <v>61124529.114495888</v>
      </c>
      <c r="X121" s="11">
        <f t="shared" si="38"/>
        <v>177503088.16611677</v>
      </c>
      <c r="Y121" s="7">
        <f t="shared" si="47"/>
        <v>4950231.9345446713</v>
      </c>
    </row>
    <row r="122" spans="5:25">
      <c r="E122">
        <v>119</v>
      </c>
      <c r="F122" s="2">
        <f t="shared" si="52"/>
        <v>385440000</v>
      </c>
      <c r="G122" s="2">
        <f t="shared" si="53"/>
        <v>19600000</v>
      </c>
      <c r="H122" s="2">
        <f t="shared" si="30"/>
        <v>365840000</v>
      </c>
      <c r="I122" s="2">
        <f t="shared" si="50"/>
        <v>1271204.7910728133</v>
      </c>
      <c r="J122" s="2">
        <f t="shared" si="51"/>
        <v>381361.43732184399</v>
      </c>
      <c r="K122" s="2">
        <f t="shared" si="35"/>
        <v>365458638.56267816</v>
      </c>
      <c r="L122" s="2">
        <f t="shared" si="49"/>
        <v>98673832.41192311</v>
      </c>
      <c r="M122" s="2">
        <f t="shared" si="39"/>
        <v>267166167.58807689</v>
      </c>
      <c r="N122" s="2">
        <f t="shared" si="46"/>
        <v>7228142.1535700578</v>
      </c>
      <c r="P122">
        <v>119</v>
      </c>
      <c r="Q122" s="3">
        <f t="shared" si="56"/>
        <v>385440000</v>
      </c>
      <c r="R122" s="6">
        <f>$C$13+$C$6*$A$18*$C$10+50*'Carbon Tax'!$B$6</f>
        <v>146812382.71938735</v>
      </c>
      <c r="S122" s="3">
        <f t="shared" si="32"/>
        <v>238627617.28061265</v>
      </c>
      <c r="T122" s="7">
        <f t="shared" si="55"/>
        <v>36721417.236328125</v>
      </c>
      <c r="U122" s="7">
        <f t="shared" si="54"/>
        <v>9180354.3090820313</v>
      </c>
      <c r="V122" s="7">
        <f t="shared" si="36"/>
        <v>229447262.97153062</v>
      </c>
      <c r="W122" s="7">
        <f t="shared" si="48"/>
        <v>61950761.002313271</v>
      </c>
      <c r="X122" s="11">
        <f t="shared" si="38"/>
        <v>176676856.27829939</v>
      </c>
      <c r="Y122" s="7">
        <f t="shared" si="47"/>
        <v>4779966.8796177572</v>
      </c>
    </row>
    <row r="123" spans="5:25">
      <c r="E123">
        <v>120</v>
      </c>
      <c r="F123" s="2">
        <f t="shared" si="52"/>
        <v>385440000</v>
      </c>
      <c r="G123" s="2">
        <f t="shared" si="53"/>
        <v>19600000</v>
      </c>
      <c r="H123" s="2">
        <f t="shared" si="30"/>
        <v>365840000</v>
      </c>
      <c r="I123" s="2">
        <f t="shared" si="50"/>
        <v>889843.35375096928</v>
      </c>
      <c r="J123" s="2">
        <f t="shared" si="51"/>
        <v>266953.00612529076</v>
      </c>
      <c r="K123" s="2">
        <f t="shared" si="35"/>
        <v>365573046.99387473</v>
      </c>
      <c r="L123" s="2">
        <f t="shared" si="49"/>
        <v>98704722.688346177</v>
      </c>
      <c r="M123" s="2">
        <f t="shared" si="39"/>
        <v>267135277.31165382</v>
      </c>
      <c r="N123" s="2">
        <f t="shared" si="46"/>
        <v>7011356.6371692792</v>
      </c>
      <c r="P123">
        <v>120</v>
      </c>
      <c r="Q123" s="3">
        <f t="shared" si="56"/>
        <v>385440000</v>
      </c>
      <c r="R123" s="6">
        <f>$C$13+$C$6*$A$18*$C$10+50*'Carbon Tax'!$B$6</f>
        <v>146812382.71938735</v>
      </c>
      <c r="S123" s="3">
        <f t="shared" si="32"/>
        <v>238627617.28061265</v>
      </c>
      <c r="T123" s="7">
        <f t="shared" si="55"/>
        <v>27541062.927246094</v>
      </c>
      <c r="U123" s="7">
        <f t="shared" si="54"/>
        <v>6885265.7318115234</v>
      </c>
      <c r="V123" s="7">
        <f t="shared" si="36"/>
        <v>231742351.54880112</v>
      </c>
      <c r="W123" s="7">
        <f t="shared" si="48"/>
        <v>62570434.918176308</v>
      </c>
      <c r="X123" s="11">
        <f t="shared" si="38"/>
        <v>176057182.36243635</v>
      </c>
      <c r="Y123" s="7">
        <f t="shared" si="47"/>
        <v>4620878.6293622898</v>
      </c>
    </row>
    <row r="124" spans="5:25">
      <c r="E124">
        <v>121</v>
      </c>
      <c r="F124" s="2">
        <f t="shared" si="52"/>
        <v>385440000</v>
      </c>
      <c r="G124" s="2">
        <f t="shared" si="53"/>
        <v>19600000</v>
      </c>
      <c r="H124" s="2">
        <f t="shared" si="30"/>
        <v>365840000</v>
      </c>
      <c r="I124" s="2">
        <f t="shared" si="50"/>
        <v>622890.34762567852</v>
      </c>
      <c r="J124" s="2">
        <f t="shared" si="51"/>
        <v>186867.10428770355</v>
      </c>
      <c r="K124" s="2">
        <f t="shared" si="35"/>
        <v>365653132.89571232</v>
      </c>
      <c r="L124" s="2">
        <f t="shared" si="49"/>
        <v>98726345.88184233</v>
      </c>
      <c r="M124" s="2">
        <f t="shared" si="39"/>
        <v>267113654.11815768</v>
      </c>
      <c r="N124" s="2">
        <f t="shared" si="46"/>
        <v>6801308.793930524</v>
      </c>
      <c r="P124">
        <v>121</v>
      </c>
      <c r="Q124" s="3">
        <f t="shared" si="56"/>
        <v>385440000</v>
      </c>
      <c r="R124" s="6">
        <f>$C$13+$C$6*$A$18*$C$10+50*'Carbon Tax'!$B$6</f>
        <v>146812382.71938735</v>
      </c>
      <c r="S124" s="3">
        <f t="shared" si="32"/>
        <v>238627617.28061265</v>
      </c>
      <c r="T124" s="7">
        <f t="shared" si="55"/>
        <v>20655797.19543457</v>
      </c>
      <c r="U124" s="7">
        <f t="shared" si="54"/>
        <v>5163949.2988586426</v>
      </c>
      <c r="V124" s="7">
        <f t="shared" si="36"/>
        <v>233463667.981754</v>
      </c>
      <c r="W124" s="7">
        <f t="shared" si="48"/>
        <v>63035190.355073586</v>
      </c>
      <c r="X124" s="11">
        <f t="shared" si="38"/>
        <v>175592426.92553908</v>
      </c>
      <c r="Y124" s="7">
        <f t="shared" si="47"/>
        <v>4470974.4297384061</v>
      </c>
    </row>
    <row r="125" spans="5:25">
      <c r="E125">
        <v>122</v>
      </c>
      <c r="F125" s="2">
        <f t="shared" si="52"/>
        <v>385440000</v>
      </c>
      <c r="G125" s="2">
        <f t="shared" si="53"/>
        <v>19600000</v>
      </c>
      <c r="H125" s="2">
        <f t="shared" si="30"/>
        <v>365840000</v>
      </c>
      <c r="I125" s="2">
        <f t="shared" si="50"/>
        <v>436023.243337975</v>
      </c>
      <c r="J125" s="2">
        <f t="shared" si="51"/>
        <v>130806.9730013925</v>
      </c>
      <c r="K125" s="2">
        <f t="shared" si="35"/>
        <v>365709193.02699858</v>
      </c>
      <c r="L125" s="2">
        <f t="shared" si="49"/>
        <v>98741482.117289618</v>
      </c>
      <c r="M125" s="2">
        <f t="shared" si="39"/>
        <v>267098517.8827104</v>
      </c>
      <c r="N125" s="2">
        <f t="shared" si="46"/>
        <v>6597713.8064132286</v>
      </c>
      <c r="P125">
        <v>122</v>
      </c>
      <c r="Q125" s="3">
        <f t="shared" si="56"/>
        <v>385440000</v>
      </c>
      <c r="R125" s="6">
        <f>$C$13+$C$6*$A$18*$C$10+50*'Carbon Tax'!$B$6</f>
        <v>146812382.71938735</v>
      </c>
      <c r="S125" s="3">
        <f t="shared" si="32"/>
        <v>238627617.28061265</v>
      </c>
      <c r="T125" s="7">
        <f t="shared" si="55"/>
        <v>15491847.896575928</v>
      </c>
      <c r="U125" s="7">
        <f t="shared" si="54"/>
        <v>3872961.9741439819</v>
      </c>
      <c r="V125" s="7">
        <f t="shared" si="36"/>
        <v>234754655.30646867</v>
      </c>
      <c r="W125" s="7">
        <f t="shared" si="48"/>
        <v>63383756.932746544</v>
      </c>
      <c r="X125" s="11">
        <f t="shared" si="38"/>
        <v>175243860.34786612</v>
      </c>
      <c r="Y125" s="7">
        <f t="shared" si="47"/>
        <v>4328772.9414282562</v>
      </c>
    </row>
    <row r="126" spans="5:25">
      <c r="E126">
        <v>123</v>
      </c>
      <c r="F126" s="2">
        <f t="shared" si="52"/>
        <v>385440000</v>
      </c>
      <c r="G126" s="2">
        <f t="shared" si="53"/>
        <v>19600000</v>
      </c>
      <c r="H126" s="2">
        <f t="shared" si="30"/>
        <v>365840000</v>
      </c>
      <c r="I126" s="2">
        <f t="shared" si="50"/>
        <v>305216.2703365825</v>
      </c>
      <c r="J126" s="2">
        <f t="shared" si="51"/>
        <v>91564.881100974744</v>
      </c>
      <c r="K126" s="2">
        <f t="shared" si="35"/>
        <v>365748435.11889905</v>
      </c>
      <c r="L126" s="2">
        <f t="shared" si="49"/>
        <v>98752077.482102752</v>
      </c>
      <c r="M126" s="2">
        <f t="shared" si="39"/>
        <v>267087922.51789725</v>
      </c>
      <c r="N126" s="2">
        <f t="shared" si="46"/>
        <v>6400322.1631857874</v>
      </c>
      <c r="P126">
        <v>123</v>
      </c>
      <c r="Q126" s="3">
        <f t="shared" si="56"/>
        <v>385440000</v>
      </c>
      <c r="R126" s="6">
        <f>$C$13+$C$6*$A$18*$C$10+50*'Carbon Tax'!$B$6</f>
        <v>146812382.71938735</v>
      </c>
      <c r="S126" s="3">
        <f t="shared" si="32"/>
        <v>238627617.28061265</v>
      </c>
      <c r="T126" s="7">
        <f t="shared" si="55"/>
        <v>11618885.922431946</v>
      </c>
      <c r="U126" s="7">
        <f t="shared" si="54"/>
        <v>2904721.4806079865</v>
      </c>
      <c r="V126" s="7">
        <f t="shared" si="36"/>
        <v>235722895.80000466</v>
      </c>
      <c r="W126" s="7">
        <f t="shared" si="48"/>
        <v>63645181.866001263</v>
      </c>
      <c r="X126" s="11">
        <f t="shared" si="38"/>
        <v>174982435.4146114</v>
      </c>
      <c r="Y126" s="7">
        <f t="shared" si="47"/>
        <v>4193165.8646126799</v>
      </c>
    </row>
    <row r="127" spans="5:25">
      <c r="E127">
        <v>124</v>
      </c>
      <c r="F127" s="2">
        <f t="shared" si="52"/>
        <v>385440000</v>
      </c>
      <c r="G127" s="2">
        <f t="shared" si="53"/>
        <v>19600000</v>
      </c>
      <c r="H127" s="2">
        <f t="shared" si="30"/>
        <v>365840000</v>
      </c>
      <c r="I127" s="2">
        <f t="shared" si="50"/>
        <v>213651.38923560776</v>
      </c>
      <c r="J127" s="2">
        <f t="shared" si="51"/>
        <v>64095.416770682321</v>
      </c>
      <c r="K127" s="2">
        <f t="shared" si="35"/>
        <v>365775904.5832293</v>
      </c>
      <c r="L127" s="2">
        <f t="shared" si="49"/>
        <v>98759494.237471923</v>
      </c>
      <c r="M127" s="2">
        <f t="shared" si="39"/>
        <v>267080505.76252806</v>
      </c>
      <c r="N127" s="2">
        <f t="shared" si="46"/>
        <v>6208910.0047137467</v>
      </c>
      <c r="P127">
        <v>124</v>
      </c>
      <c r="Q127" s="3">
        <f t="shared" si="56"/>
        <v>385440000</v>
      </c>
      <c r="R127" s="6">
        <f>$C$13+$C$6*$A$18*$C$10+50*'Carbon Tax'!$B$6</f>
        <v>146812382.71938735</v>
      </c>
      <c r="S127" s="3">
        <f t="shared" si="32"/>
        <v>238627617.28061265</v>
      </c>
      <c r="T127" s="7">
        <f t="shared" si="55"/>
        <v>8714164.4418239594</v>
      </c>
      <c r="U127" s="7">
        <f t="shared" si="54"/>
        <v>2178541.1104559898</v>
      </c>
      <c r="V127" s="7">
        <f t="shared" si="36"/>
        <v>236449076.17015666</v>
      </c>
      <c r="W127" s="7">
        <f t="shared" si="48"/>
        <v>63841250.565942302</v>
      </c>
      <c r="X127" s="11">
        <f t="shared" si="38"/>
        <v>174786366.71467036</v>
      </c>
      <c r="Y127" s="7">
        <f t="shared" si="47"/>
        <v>4063317.2304503815</v>
      </c>
    </row>
    <row r="128" spans="5:25">
      <c r="E128">
        <v>125</v>
      </c>
      <c r="F128" s="2">
        <f t="shared" si="52"/>
        <v>385440000</v>
      </c>
      <c r="G128" s="2">
        <f t="shared" si="53"/>
        <v>19600000</v>
      </c>
      <c r="H128" s="2">
        <f t="shared" si="30"/>
        <v>365840000</v>
      </c>
      <c r="I128" s="2">
        <f t="shared" si="50"/>
        <v>149555.97246492543</v>
      </c>
      <c r="J128" s="2">
        <f t="shared" si="51"/>
        <v>44866.79173947763</v>
      </c>
      <c r="K128" s="2">
        <f t="shared" si="35"/>
        <v>365795133.20826054</v>
      </c>
      <c r="L128" s="2">
        <f t="shared" si="49"/>
        <v>98764685.966230348</v>
      </c>
      <c r="M128" s="2">
        <f t="shared" si="39"/>
        <v>267075314.03376967</v>
      </c>
      <c r="N128" s="2">
        <f t="shared" si="46"/>
        <v>6023272.5173222497</v>
      </c>
      <c r="P128">
        <v>125</v>
      </c>
      <c r="Q128" s="3">
        <f t="shared" si="56"/>
        <v>385440000</v>
      </c>
      <c r="R128" s="6">
        <f>$C$13+$C$6*$A$18*$C$10+50*'Carbon Tax'!$B$6</f>
        <v>146812382.71938735</v>
      </c>
      <c r="S128" s="3">
        <f t="shared" si="32"/>
        <v>238627617.28061265</v>
      </c>
      <c r="T128" s="7">
        <f t="shared" si="55"/>
        <v>6535623.3313679695</v>
      </c>
      <c r="U128" s="7">
        <f t="shared" si="54"/>
        <v>1633905.8328419924</v>
      </c>
      <c r="V128" s="7">
        <f t="shared" si="36"/>
        <v>236993711.44777066</v>
      </c>
      <c r="W128" s="7">
        <f t="shared" si="48"/>
        <v>63988302.090898082</v>
      </c>
      <c r="X128" s="11">
        <f t="shared" si="38"/>
        <v>174639315.18971455</v>
      </c>
      <c r="Y128" s="7">
        <f t="shared" si="47"/>
        <v>3938590.0993200028</v>
      </c>
    </row>
    <row r="129" spans="5:25">
      <c r="E129">
        <v>126</v>
      </c>
      <c r="F129" s="2">
        <f t="shared" si="52"/>
        <v>385440000</v>
      </c>
      <c r="G129" s="2">
        <f t="shared" si="53"/>
        <v>19600000</v>
      </c>
      <c r="H129" s="2">
        <f t="shared" si="30"/>
        <v>365840000</v>
      </c>
      <c r="I129" s="2">
        <f t="shared" si="50"/>
        <v>104689.1807254478</v>
      </c>
      <c r="J129" s="2">
        <f t="shared" si="51"/>
        <v>31406.754217634341</v>
      </c>
      <c r="K129" s="2">
        <f t="shared" si="35"/>
        <v>365808593.24578238</v>
      </c>
      <c r="L129" s="2">
        <f t="shared" si="49"/>
        <v>98768320.176361248</v>
      </c>
      <c r="M129" s="2">
        <f t="shared" si="39"/>
        <v>267071679.82363874</v>
      </c>
      <c r="N129" s="2">
        <f t="shared" si="46"/>
        <v>5843219.3985540206</v>
      </c>
      <c r="P129">
        <v>126</v>
      </c>
      <c r="Q129" s="3">
        <f t="shared" si="56"/>
        <v>385440000</v>
      </c>
      <c r="R129" s="6">
        <f>$C$13+$C$6*$A$18*$C$10+50*'Carbon Tax'!$B$6</f>
        <v>146812382.71938735</v>
      </c>
      <c r="S129" s="3">
        <f t="shared" si="32"/>
        <v>238627617.28061265</v>
      </c>
      <c r="T129" s="7">
        <f t="shared" si="55"/>
        <v>4901717.4985259771</v>
      </c>
      <c r="U129" s="7">
        <f t="shared" si="54"/>
        <v>1225429.3746314943</v>
      </c>
      <c r="V129" s="7">
        <f t="shared" si="36"/>
        <v>237402187.90598115</v>
      </c>
      <c r="W129" s="7">
        <f t="shared" si="48"/>
        <v>64098590.734614916</v>
      </c>
      <c r="X129" s="11">
        <f t="shared" si="38"/>
        <v>174529026.54599774</v>
      </c>
      <c r="Y129" s="7">
        <f t="shared" si="47"/>
        <v>3818493.2007682654</v>
      </c>
    </row>
    <row r="130" spans="5:25">
      <c r="E130">
        <v>127</v>
      </c>
      <c r="F130" s="2">
        <f t="shared" si="52"/>
        <v>385440000</v>
      </c>
      <c r="G130" s="2">
        <f t="shared" si="53"/>
        <v>19600000</v>
      </c>
      <c r="H130" s="2">
        <f t="shared" si="30"/>
        <v>365840000</v>
      </c>
      <c r="I130" s="2">
        <f t="shared" si="50"/>
        <v>73282.426507813463</v>
      </c>
      <c r="J130" s="2">
        <f t="shared" si="51"/>
        <v>21984.727952344037</v>
      </c>
      <c r="K130" s="2">
        <f t="shared" si="35"/>
        <v>365818015.27204764</v>
      </c>
      <c r="L130" s="2">
        <f t="shared" si="49"/>
        <v>98770864.123452872</v>
      </c>
      <c r="M130" s="2">
        <f t="shared" si="39"/>
        <v>267069135.87654713</v>
      </c>
      <c r="N130" s="2">
        <f t="shared" si="46"/>
        <v>5668571.730631128</v>
      </c>
      <c r="P130">
        <v>127</v>
      </c>
      <c r="Q130" s="3">
        <f t="shared" si="56"/>
        <v>385440000</v>
      </c>
      <c r="R130" s="6">
        <f>$C$13+$C$6*$A$18*$C$10+50*'Carbon Tax'!$B$6</f>
        <v>146812382.71938735</v>
      </c>
      <c r="S130" s="3">
        <f t="shared" si="32"/>
        <v>238627617.28061265</v>
      </c>
      <c r="T130" s="7">
        <f t="shared" si="55"/>
        <v>3676288.1238944829</v>
      </c>
      <c r="U130" s="7">
        <f t="shared" si="54"/>
        <v>919072.03097362071</v>
      </c>
      <c r="V130" s="7">
        <f t="shared" si="36"/>
        <v>237708545.24963903</v>
      </c>
      <c r="W130" s="7">
        <f t="shared" si="48"/>
        <v>64181307.21740254</v>
      </c>
      <c r="X130" s="11">
        <f t="shared" si="38"/>
        <v>174446310.0632101</v>
      </c>
      <c r="Y130" s="7">
        <f t="shared" si="47"/>
        <v>3702642.0836375752</v>
      </c>
    </row>
    <row r="131" spans="5:25">
      <c r="E131">
        <v>128</v>
      </c>
      <c r="F131" s="2">
        <f t="shared" si="52"/>
        <v>385440000</v>
      </c>
      <c r="G131" s="2">
        <f t="shared" si="53"/>
        <v>19600000</v>
      </c>
      <c r="H131" s="2">
        <f t="shared" ref="H131:H168" si="57">$F131-$G131</f>
        <v>365840000</v>
      </c>
      <c r="I131" s="2">
        <f t="shared" si="50"/>
        <v>51297.698555469426</v>
      </c>
      <c r="J131" s="2">
        <f t="shared" si="51"/>
        <v>15389.309566640826</v>
      </c>
      <c r="K131" s="2">
        <f t="shared" si="35"/>
        <v>365824610.69043338</v>
      </c>
      <c r="L131" s="2">
        <f t="shared" si="49"/>
        <v>98772644.886417016</v>
      </c>
      <c r="M131" s="2">
        <f t="shared" si="39"/>
        <v>267067355.11358297</v>
      </c>
      <c r="N131" s="2">
        <f t="shared" ref="N131:N162" si="58">M131/((1+$B$16)^E131)</f>
        <v>5499159.8115460817</v>
      </c>
      <c r="P131">
        <v>128</v>
      </c>
      <c r="Q131" s="3">
        <f t="shared" si="56"/>
        <v>385440000</v>
      </c>
      <c r="R131" s="6">
        <f>$C$13+$C$6*$A$18*$C$10+50*'Carbon Tax'!$B$6</f>
        <v>146812382.71938735</v>
      </c>
      <c r="S131" s="3">
        <f t="shared" ref="S131:S168" si="59">Q131-R131</f>
        <v>238627617.28061265</v>
      </c>
      <c r="T131" s="7">
        <f t="shared" si="55"/>
        <v>2757216.0929208621</v>
      </c>
      <c r="U131" s="7">
        <f t="shared" si="54"/>
        <v>689304.02323021553</v>
      </c>
      <c r="V131" s="7">
        <f t="shared" si="36"/>
        <v>237938313.25738242</v>
      </c>
      <c r="W131" s="7">
        <f t="shared" si="48"/>
        <v>64243344.579493262</v>
      </c>
      <c r="X131" s="11">
        <f t="shared" si="38"/>
        <v>174384272.70111939</v>
      </c>
      <c r="Y131" s="7">
        <f t="shared" ref="Y131:Y162" si="60">X131/((1+$B$16)^P131)</f>
        <v>3590730.8244238324</v>
      </c>
    </row>
    <row r="132" spans="5:25">
      <c r="E132">
        <v>129</v>
      </c>
      <c r="F132" s="2">
        <f t="shared" si="52"/>
        <v>385440000</v>
      </c>
      <c r="G132" s="2">
        <f t="shared" si="53"/>
        <v>19600000</v>
      </c>
      <c r="H132" s="2">
        <f t="shared" si="57"/>
        <v>365840000</v>
      </c>
      <c r="I132" s="2">
        <f t="shared" si="50"/>
        <v>35908.388988828599</v>
      </c>
      <c r="J132" s="2">
        <f t="shared" si="51"/>
        <v>10772.516696648579</v>
      </c>
      <c r="K132" s="2">
        <f t="shared" ref="K132:K167" si="61">H132-J132</f>
        <v>365829227.48330337</v>
      </c>
      <c r="L132" s="2">
        <f t="shared" si="49"/>
        <v>98773891.420491919</v>
      </c>
      <c r="M132" s="2">
        <f t="shared" si="39"/>
        <v>267066108.57950807</v>
      </c>
      <c r="N132" s="2">
        <f t="shared" si="58"/>
        <v>5334821.637830249</v>
      </c>
      <c r="P132">
        <v>129</v>
      </c>
      <c r="Q132" s="3">
        <f t="shared" si="56"/>
        <v>385440000</v>
      </c>
      <c r="R132" s="6">
        <f>$C$13+$C$6*$A$18*$C$10+50*'Carbon Tax'!$B$6</f>
        <v>146812382.71938735</v>
      </c>
      <c r="S132" s="3">
        <f t="shared" si="59"/>
        <v>238627617.28061265</v>
      </c>
      <c r="T132" s="7">
        <f t="shared" si="55"/>
        <v>2067912.0696906466</v>
      </c>
      <c r="U132" s="7">
        <f t="shared" si="54"/>
        <v>516978.01742266165</v>
      </c>
      <c r="V132" s="7">
        <f t="shared" ref="V132:V167" si="62">S132-U132</f>
        <v>238110639.26318997</v>
      </c>
      <c r="W132" s="7">
        <f t="shared" si="48"/>
        <v>64289872.601061299</v>
      </c>
      <c r="X132" s="11">
        <f t="shared" si="38"/>
        <v>174337744.67955136</v>
      </c>
      <c r="Y132" s="7">
        <f t="shared" si="60"/>
        <v>3482511.4184419559</v>
      </c>
    </row>
    <row r="133" spans="5:25">
      <c r="E133">
        <v>130</v>
      </c>
      <c r="F133" s="2">
        <f t="shared" si="52"/>
        <v>385440000</v>
      </c>
      <c r="G133" s="2">
        <f t="shared" si="53"/>
        <v>19600000</v>
      </c>
      <c r="H133" s="2">
        <f t="shared" si="57"/>
        <v>365840000</v>
      </c>
      <c r="I133" s="2">
        <f t="shared" si="50"/>
        <v>25135.872292180022</v>
      </c>
      <c r="J133" s="2">
        <f t="shared" si="51"/>
        <v>7540.761687654006</v>
      </c>
      <c r="K133" s="2">
        <f t="shared" si="61"/>
        <v>365832459.23831236</v>
      </c>
      <c r="L133" s="2">
        <f t="shared" si="49"/>
        <v>98774763.994344339</v>
      </c>
      <c r="M133" s="2">
        <f t="shared" si="39"/>
        <v>267065236.00565565</v>
      </c>
      <c r="N133" s="2">
        <f t="shared" si="58"/>
        <v>5175401.8311914252</v>
      </c>
      <c r="P133">
        <v>130</v>
      </c>
      <c r="Q133" s="3">
        <f t="shared" si="56"/>
        <v>385440000</v>
      </c>
      <c r="R133" s="6">
        <f>$C$13+$C$6*$A$18*$C$10+50*'Carbon Tax'!$B$6</f>
        <v>146812382.71938735</v>
      </c>
      <c r="S133" s="3">
        <f t="shared" si="59"/>
        <v>238627617.28061265</v>
      </c>
      <c r="T133" s="7">
        <f t="shared" si="55"/>
        <v>1550934.052267985</v>
      </c>
      <c r="U133" s="7">
        <f t="shared" si="54"/>
        <v>387733.51306699624</v>
      </c>
      <c r="V133" s="7">
        <f t="shared" si="62"/>
        <v>238239883.76754564</v>
      </c>
      <c r="W133" s="7">
        <f t="shared" ref="W133:W164" si="63">IF(W132&lt;0,V133*$B$15+W132,V133*$B$15)</f>
        <v>64324768.617237329</v>
      </c>
      <c r="X133" s="11">
        <f t="shared" ref="X133:X167" si="64">IF(W133&lt;0,S133,S133-W133)</f>
        <v>174302848.66337532</v>
      </c>
      <c r="Y133" s="7">
        <f t="shared" si="60"/>
        <v>3377778.7616476258</v>
      </c>
    </row>
    <row r="134" spans="5:25">
      <c r="E134">
        <v>131</v>
      </c>
      <c r="F134" s="2">
        <f t="shared" si="52"/>
        <v>385440000</v>
      </c>
      <c r="G134" s="2">
        <f t="shared" si="53"/>
        <v>19600000</v>
      </c>
      <c r="H134" s="2">
        <f t="shared" si="57"/>
        <v>365840000</v>
      </c>
      <c r="I134" s="2">
        <f t="shared" si="50"/>
        <v>17595.110604526017</v>
      </c>
      <c r="J134" s="2">
        <f t="shared" si="51"/>
        <v>5278.533181357805</v>
      </c>
      <c r="K134" s="2">
        <f t="shared" si="61"/>
        <v>365834721.46681863</v>
      </c>
      <c r="L134" s="2">
        <f t="shared" si="49"/>
        <v>98775374.796041042</v>
      </c>
      <c r="M134" s="2">
        <f t="shared" ref="M134:M167" si="65">IF(L134&lt;0,H134,H134-L134)</f>
        <v>267064625.20395896</v>
      </c>
      <c r="N134" s="2">
        <f t="shared" si="58"/>
        <v>5020750.8678618539</v>
      </c>
      <c r="P134">
        <v>131</v>
      </c>
      <c r="Q134" s="3">
        <f t="shared" si="56"/>
        <v>385440000</v>
      </c>
      <c r="R134" s="6">
        <f>$C$13+$C$6*$A$18*$C$10+50*'Carbon Tax'!$B$6</f>
        <v>146812382.71938735</v>
      </c>
      <c r="S134" s="3">
        <f t="shared" si="59"/>
        <v>238627617.28061265</v>
      </c>
      <c r="T134" s="7">
        <f t="shared" si="55"/>
        <v>1163200.5392009886</v>
      </c>
      <c r="U134" s="7">
        <f t="shared" si="54"/>
        <v>290800.13480024715</v>
      </c>
      <c r="V134" s="7">
        <f t="shared" si="62"/>
        <v>238336817.14581239</v>
      </c>
      <c r="W134" s="7">
        <f t="shared" si="63"/>
        <v>64350940.629369348</v>
      </c>
      <c r="X134" s="11">
        <f t="shared" si="64"/>
        <v>174276676.6512433</v>
      </c>
      <c r="Y134" s="7">
        <f t="shared" si="60"/>
        <v>3276359.7008647867</v>
      </c>
    </row>
    <row r="135" spans="5:25">
      <c r="E135">
        <v>132</v>
      </c>
      <c r="F135" s="2">
        <f t="shared" si="52"/>
        <v>385440000</v>
      </c>
      <c r="G135" s="2">
        <f>$B$13+$B$12</f>
        <v>1134800000</v>
      </c>
      <c r="H135" s="2">
        <f t="shared" si="57"/>
        <v>-749360000</v>
      </c>
      <c r="I135" s="2">
        <f t="shared" si="50"/>
        <v>12316.577423168212</v>
      </c>
      <c r="J135" s="13">
        <v>0</v>
      </c>
      <c r="K135" s="13">
        <f>H135-J135+$B$12+$B$14</f>
        <v>365852316.57742316</v>
      </c>
      <c r="L135" s="2">
        <f t="shared" si="49"/>
        <v>98780125.475904256</v>
      </c>
      <c r="M135" s="13">
        <f>IF(L135&lt;0,H135,H135-L135+$B$14)</f>
        <v>-848127808.89848101</v>
      </c>
      <c r="N135" s="2">
        <f t="shared" si="58"/>
        <v>-15468179.362539623</v>
      </c>
      <c r="P135">
        <v>132</v>
      </c>
      <c r="Q135" s="3">
        <f t="shared" si="56"/>
        <v>385440000</v>
      </c>
      <c r="R135" s="6">
        <f>$C$13+$C$6*$A$18*$C$10+50*'Carbon Tax'!$B$6</f>
        <v>146812382.71938735</v>
      </c>
      <c r="S135" s="3">
        <f t="shared" si="59"/>
        <v>238627617.28061265</v>
      </c>
      <c r="T135" s="7">
        <f t="shared" si="55"/>
        <v>872400.40440074145</v>
      </c>
      <c r="U135" s="7">
        <f t="shared" si="54"/>
        <v>218100.10110018536</v>
      </c>
      <c r="V135" s="7">
        <f t="shared" si="62"/>
        <v>238409517.17951247</v>
      </c>
      <c r="W135" s="7">
        <f t="shared" si="63"/>
        <v>64370569.63846837</v>
      </c>
      <c r="X135" s="11">
        <f t="shared" si="64"/>
        <v>174257047.64214426</v>
      </c>
      <c r="Y135" s="7">
        <f t="shared" si="60"/>
        <v>3178105.0448234244</v>
      </c>
    </row>
    <row r="136" spans="5:25">
      <c r="E136">
        <v>133</v>
      </c>
      <c r="F136" s="2">
        <v>0</v>
      </c>
      <c r="G136" s="2">
        <v>0</v>
      </c>
      <c r="H136" s="2">
        <f t="shared" si="57"/>
        <v>0</v>
      </c>
      <c r="I136" s="2">
        <v>1115200000</v>
      </c>
      <c r="J136" s="2">
        <v>0</v>
      </c>
      <c r="K136" s="2">
        <f t="shared" si="61"/>
        <v>0</v>
      </c>
      <c r="L136" s="2">
        <f>K136*$B$15</f>
        <v>0</v>
      </c>
      <c r="M136" s="2">
        <f t="shared" si="65"/>
        <v>0</v>
      </c>
      <c r="N136" s="2">
        <f t="shared" si="58"/>
        <v>0</v>
      </c>
      <c r="P136">
        <v>133</v>
      </c>
      <c r="Q136" s="3">
        <f t="shared" si="56"/>
        <v>385440000</v>
      </c>
      <c r="R136" s="6">
        <f>$C$13+$C$6*$A$18*$C$10+50*'Carbon Tax'!$B$6</f>
        <v>146812382.71938735</v>
      </c>
      <c r="S136" s="3">
        <f t="shared" si="59"/>
        <v>238627617.28061265</v>
      </c>
      <c r="T136" s="7">
        <f t="shared" si="55"/>
        <v>654300.30330055603</v>
      </c>
      <c r="U136" s="7">
        <f t="shared" si="54"/>
        <v>163575.07582513901</v>
      </c>
      <c r="V136" s="7">
        <f t="shared" si="62"/>
        <v>238464042.20478752</v>
      </c>
      <c r="W136" s="7">
        <f t="shared" si="63"/>
        <v>64385291.395292632</v>
      </c>
      <c r="X136" s="11">
        <f t="shared" si="64"/>
        <v>174242325.88532001</v>
      </c>
      <c r="Y136" s="7">
        <f t="shared" si="60"/>
        <v>3082883.730111768</v>
      </c>
    </row>
    <row r="137" spans="5:25">
      <c r="E137">
        <v>134</v>
      </c>
      <c r="F137" s="2">
        <v>0</v>
      </c>
      <c r="G137" s="2">
        <v>0</v>
      </c>
      <c r="H137" s="2">
        <f t="shared" si="57"/>
        <v>0</v>
      </c>
      <c r="I137" s="2">
        <f>I136-J136</f>
        <v>1115200000</v>
      </c>
      <c r="J137" s="2">
        <f>I137*0.3</f>
        <v>334560000</v>
      </c>
      <c r="K137" s="2">
        <f t="shared" si="61"/>
        <v>-334560000</v>
      </c>
      <c r="L137" s="2">
        <f t="shared" ref="L137:L168" si="66">IF(L136&lt;0,K137*$B$15+L136,K137*$B$15)</f>
        <v>-90331200</v>
      </c>
      <c r="M137" s="2">
        <f t="shared" si="65"/>
        <v>0</v>
      </c>
      <c r="N137" s="2">
        <f t="shared" si="58"/>
        <v>0</v>
      </c>
      <c r="P137">
        <v>134</v>
      </c>
      <c r="Q137" s="3">
        <f t="shared" si="56"/>
        <v>385440000</v>
      </c>
      <c r="R137" s="6">
        <f>$C$13+$C$6*$A$18*$C$10+50*'Carbon Tax'!$B$6</f>
        <v>146812382.71938735</v>
      </c>
      <c r="S137" s="3">
        <f t="shared" si="59"/>
        <v>238627617.28061265</v>
      </c>
      <c r="T137" s="7">
        <f t="shared" si="55"/>
        <v>490725.22747541702</v>
      </c>
      <c r="U137" s="7">
        <f t="shared" si="54"/>
        <v>122681.30686885426</v>
      </c>
      <c r="V137" s="7">
        <f t="shared" si="62"/>
        <v>238504935.9737438</v>
      </c>
      <c r="W137" s="7">
        <f t="shared" si="63"/>
        <v>64396332.712910831</v>
      </c>
      <c r="X137" s="11">
        <f t="shared" si="64"/>
        <v>174231284.56770182</v>
      </c>
      <c r="Y137" s="7">
        <f t="shared" si="60"/>
        <v>2990578.5556612727</v>
      </c>
    </row>
    <row r="138" spans="5:25">
      <c r="E138">
        <v>135</v>
      </c>
      <c r="F138" s="2">
        <v>0</v>
      </c>
      <c r="G138" s="2">
        <v>0</v>
      </c>
      <c r="H138" s="2">
        <f t="shared" si="57"/>
        <v>0</v>
      </c>
      <c r="I138" s="2">
        <f t="shared" ref="I138:I168" si="67">I137-J137</f>
        <v>780640000</v>
      </c>
      <c r="J138" s="2">
        <f t="shared" ref="J138:J167" si="68">I138*0.3</f>
        <v>234192000</v>
      </c>
      <c r="K138" s="2">
        <f t="shared" si="61"/>
        <v>-234192000</v>
      </c>
      <c r="L138" s="2">
        <f t="shared" si="66"/>
        <v>-153563040</v>
      </c>
      <c r="M138" s="2">
        <f t="shared" si="65"/>
        <v>0</v>
      </c>
      <c r="N138" s="2">
        <f t="shared" si="58"/>
        <v>0</v>
      </c>
      <c r="P138">
        <v>135</v>
      </c>
      <c r="Q138" s="3">
        <f t="shared" si="56"/>
        <v>385440000</v>
      </c>
      <c r="R138" s="6">
        <f>$C$13+$C$6*$A$18*$C$10+50*'Carbon Tax'!$B$6</f>
        <v>146812382.71938735</v>
      </c>
      <c r="S138" s="3">
        <f t="shared" si="59"/>
        <v>238627617.28061265</v>
      </c>
      <c r="T138" s="7">
        <f t="shared" si="55"/>
        <v>368043.92060656275</v>
      </c>
      <c r="U138" s="7">
        <f t="shared" si="54"/>
        <v>92010.980151640688</v>
      </c>
      <c r="V138" s="7">
        <f t="shared" si="62"/>
        <v>238535606.30046099</v>
      </c>
      <c r="W138" s="7">
        <f t="shared" si="63"/>
        <v>64404613.701124474</v>
      </c>
      <c r="X138" s="11">
        <f t="shared" si="64"/>
        <v>174223003.57948816</v>
      </c>
      <c r="Y138" s="7">
        <f t="shared" si="60"/>
        <v>2901083.0590998111</v>
      </c>
    </row>
    <row r="139" spans="5:25">
      <c r="E139">
        <v>136</v>
      </c>
      <c r="F139" s="2">
        <f t="shared" ref="F139:F168" si="69">$B$11</f>
        <v>385440000</v>
      </c>
      <c r="G139" s="2">
        <f t="shared" ref="G139:G168" si="70">$B$13</f>
        <v>19600000</v>
      </c>
      <c r="H139" s="2">
        <f t="shared" si="57"/>
        <v>365840000</v>
      </c>
      <c r="I139" s="2">
        <f t="shared" si="67"/>
        <v>546448000</v>
      </c>
      <c r="J139" s="2">
        <f t="shared" si="68"/>
        <v>163934400</v>
      </c>
      <c r="K139" s="2">
        <f t="shared" si="61"/>
        <v>201905600</v>
      </c>
      <c r="L139" s="2">
        <f t="shared" si="66"/>
        <v>-99048528</v>
      </c>
      <c r="M139" s="2">
        <f t="shared" si="65"/>
        <v>365840000</v>
      </c>
      <c r="N139" s="2">
        <f t="shared" si="58"/>
        <v>5909781.7812141282</v>
      </c>
      <c r="P139">
        <v>136</v>
      </c>
      <c r="Q139" s="3">
        <f t="shared" si="56"/>
        <v>385440000</v>
      </c>
      <c r="R139" s="6">
        <f>$C$13+$C$6*$A$18*$C$10+50*'Carbon Tax'!$B$6</f>
        <v>146812382.71938735</v>
      </c>
      <c r="S139" s="3">
        <f t="shared" si="59"/>
        <v>238627617.28061265</v>
      </c>
      <c r="T139" s="7">
        <f t="shared" si="55"/>
        <v>276032.94045492203</v>
      </c>
      <c r="U139" s="7">
        <f t="shared" si="54"/>
        <v>69008.235113730509</v>
      </c>
      <c r="V139" s="7">
        <f t="shared" si="62"/>
        <v>238558609.04549891</v>
      </c>
      <c r="W139" s="7">
        <f t="shared" si="63"/>
        <v>64410824.442284711</v>
      </c>
      <c r="X139" s="11">
        <f t="shared" si="64"/>
        <v>174216792.83832794</v>
      </c>
      <c r="Y139" s="7">
        <f t="shared" si="60"/>
        <v>2814299.2245175662</v>
      </c>
    </row>
    <row r="140" spans="5:25">
      <c r="E140">
        <v>137</v>
      </c>
      <c r="F140" s="2">
        <f t="shared" si="69"/>
        <v>385440000</v>
      </c>
      <c r="G140" s="2">
        <f t="shared" si="70"/>
        <v>19600000</v>
      </c>
      <c r="H140" s="2">
        <f t="shared" si="57"/>
        <v>365840000</v>
      </c>
      <c r="I140" s="2">
        <f t="shared" si="67"/>
        <v>382513600</v>
      </c>
      <c r="J140" s="2">
        <f t="shared" si="68"/>
        <v>114754080</v>
      </c>
      <c r="K140" s="2">
        <f t="shared" si="61"/>
        <v>251085920</v>
      </c>
      <c r="L140" s="2">
        <f t="shared" si="66"/>
        <v>-31255329.599999994</v>
      </c>
      <c r="M140" s="2">
        <f t="shared" si="65"/>
        <v>365840000</v>
      </c>
      <c r="N140" s="2">
        <f t="shared" si="58"/>
        <v>5733199.2444840204</v>
      </c>
      <c r="P140">
        <v>137</v>
      </c>
      <c r="Q140" s="3">
        <f t="shared" si="56"/>
        <v>385440000</v>
      </c>
      <c r="R140" s="6">
        <f>$C$13+$C$6*$A$18*$C$10+50*'Carbon Tax'!$B$6</f>
        <v>146812382.71938735</v>
      </c>
      <c r="S140" s="3">
        <f t="shared" si="59"/>
        <v>238627617.28061265</v>
      </c>
      <c r="T140" s="7">
        <f t="shared" si="55"/>
        <v>207024.70534119153</v>
      </c>
      <c r="U140" s="7">
        <f t="shared" si="54"/>
        <v>51756.176335297881</v>
      </c>
      <c r="V140" s="7">
        <f t="shared" si="62"/>
        <v>238575861.10427734</v>
      </c>
      <c r="W140" s="7">
        <f t="shared" si="63"/>
        <v>64415482.498154886</v>
      </c>
      <c r="X140" s="11">
        <f t="shared" si="64"/>
        <v>174212134.78245777</v>
      </c>
      <c r="Y140" s="7">
        <f t="shared" si="60"/>
        <v>2730135.7957433173</v>
      </c>
    </row>
    <row r="141" spans="5:25">
      <c r="E141">
        <v>138</v>
      </c>
      <c r="F141" s="2">
        <f t="shared" si="69"/>
        <v>385440000</v>
      </c>
      <c r="G141" s="2">
        <f t="shared" si="70"/>
        <v>19600000</v>
      </c>
      <c r="H141" s="2">
        <f t="shared" si="57"/>
        <v>365840000</v>
      </c>
      <c r="I141" s="2">
        <f t="shared" si="67"/>
        <v>267759520</v>
      </c>
      <c r="J141" s="2">
        <f t="shared" si="68"/>
        <v>80327856</v>
      </c>
      <c r="K141" s="2">
        <f t="shared" si="61"/>
        <v>285512144</v>
      </c>
      <c r="L141" s="2">
        <f t="shared" si="66"/>
        <v>45832949.280000016</v>
      </c>
      <c r="M141" s="2">
        <f t="shared" si="65"/>
        <v>320007050.71999997</v>
      </c>
      <c r="N141" s="2">
        <f t="shared" si="58"/>
        <v>4865091.1785195069</v>
      </c>
      <c r="P141">
        <v>138</v>
      </c>
      <c r="Q141" s="3">
        <f t="shared" si="56"/>
        <v>385440000</v>
      </c>
      <c r="R141" s="6">
        <f>$C$13+$C$6*$A$18*$C$10+50*'Carbon Tax'!$B$6</f>
        <v>146812382.71938735</v>
      </c>
      <c r="S141" s="3">
        <f t="shared" si="59"/>
        <v>238627617.28061265</v>
      </c>
      <c r="T141" s="7">
        <f t="shared" si="55"/>
        <v>155268.52900589365</v>
      </c>
      <c r="U141" s="7">
        <f t="shared" si="54"/>
        <v>38817.132251473413</v>
      </c>
      <c r="V141" s="7">
        <f t="shared" si="62"/>
        <v>238588800.14836118</v>
      </c>
      <c r="W141" s="7">
        <f t="shared" si="63"/>
        <v>64418976.040057525</v>
      </c>
      <c r="X141" s="11">
        <f t="shared" si="64"/>
        <v>174208641.24055511</v>
      </c>
      <c r="Y141" s="7">
        <f t="shared" si="60"/>
        <v>2648507.0307493825</v>
      </c>
    </row>
    <row r="142" spans="5:25">
      <c r="E142">
        <v>139</v>
      </c>
      <c r="F142" s="2">
        <f t="shared" si="69"/>
        <v>385440000</v>
      </c>
      <c r="G142" s="2">
        <f t="shared" si="70"/>
        <v>19600000</v>
      </c>
      <c r="H142" s="2">
        <f t="shared" si="57"/>
        <v>365840000</v>
      </c>
      <c r="I142" s="2">
        <f t="shared" si="67"/>
        <v>187431664</v>
      </c>
      <c r="J142" s="2">
        <f t="shared" si="68"/>
        <v>56229499.199999996</v>
      </c>
      <c r="K142" s="2">
        <f t="shared" si="61"/>
        <v>309610500.80000001</v>
      </c>
      <c r="L142" s="2">
        <f t="shared" si="66"/>
        <v>83594835.216000006</v>
      </c>
      <c r="M142" s="2">
        <f t="shared" si="65"/>
        <v>282245164.78399998</v>
      </c>
      <c r="N142" s="2">
        <f t="shared" si="58"/>
        <v>4162780.7490857048</v>
      </c>
      <c r="P142">
        <v>139</v>
      </c>
      <c r="Q142" s="3">
        <f t="shared" si="56"/>
        <v>385440000</v>
      </c>
      <c r="R142" s="6">
        <f>$C$13+$C$6*$A$18*$C$10+50*'Carbon Tax'!$B$6</f>
        <v>146812382.71938735</v>
      </c>
      <c r="S142" s="3">
        <f t="shared" si="59"/>
        <v>238627617.28061265</v>
      </c>
      <c r="T142" s="7">
        <f t="shared" si="55"/>
        <v>116451.39675442025</v>
      </c>
      <c r="U142" s="7">
        <f t="shared" si="54"/>
        <v>29112.849188605061</v>
      </c>
      <c r="V142" s="7">
        <f t="shared" si="62"/>
        <v>238598504.43142405</v>
      </c>
      <c r="W142" s="7">
        <f t="shared" si="63"/>
        <v>64421596.196484499</v>
      </c>
      <c r="X142" s="11">
        <f t="shared" si="64"/>
        <v>174206021.08412814</v>
      </c>
      <c r="Y142" s="7">
        <f t="shared" si="60"/>
        <v>2569331.7775658011</v>
      </c>
    </row>
    <row r="143" spans="5:25">
      <c r="E143">
        <v>140</v>
      </c>
      <c r="F143" s="2">
        <f t="shared" si="69"/>
        <v>385440000</v>
      </c>
      <c r="G143" s="2">
        <f t="shared" si="70"/>
        <v>19600000</v>
      </c>
      <c r="H143" s="2">
        <f t="shared" si="57"/>
        <v>365840000</v>
      </c>
      <c r="I143" s="2">
        <f t="shared" si="67"/>
        <v>131202164.80000001</v>
      </c>
      <c r="J143" s="2">
        <f t="shared" si="68"/>
        <v>39360649.440000005</v>
      </c>
      <c r="K143" s="2">
        <f t="shared" si="61"/>
        <v>326479350.56</v>
      </c>
      <c r="L143" s="2">
        <f t="shared" si="66"/>
        <v>88149424.651200011</v>
      </c>
      <c r="M143" s="2">
        <f t="shared" si="65"/>
        <v>277690575.3488</v>
      </c>
      <c r="N143" s="2">
        <f t="shared" si="58"/>
        <v>3973230.4693183275</v>
      </c>
      <c r="P143">
        <v>140</v>
      </c>
      <c r="Q143" s="3">
        <f t="shared" si="56"/>
        <v>385440000</v>
      </c>
      <c r="R143" s="6">
        <f>$C$13+$C$6*$A$18*$C$10+50*'Carbon Tax'!$B$6</f>
        <v>146812382.71938735</v>
      </c>
      <c r="S143" s="3">
        <f t="shared" si="59"/>
        <v>238627617.28061265</v>
      </c>
      <c r="T143" s="7">
        <f t="shared" si="55"/>
        <v>87338.547565815184</v>
      </c>
      <c r="U143" s="7">
        <f t="shared" si="54"/>
        <v>21834.636891453796</v>
      </c>
      <c r="V143" s="7">
        <f t="shared" si="62"/>
        <v>238605782.64372119</v>
      </c>
      <c r="W143" s="7">
        <f t="shared" si="63"/>
        <v>64423561.313804723</v>
      </c>
      <c r="X143" s="11">
        <f t="shared" si="64"/>
        <v>174204055.96680793</v>
      </c>
      <c r="Y143" s="7">
        <f t="shared" si="60"/>
        <v>2492532.7846534261</v>
      </c>
    </row>
    <row r="144" spans="5:25">
      <c r="E144">
        <v>141</v>
      </c>
      <c r="F144" s="2">
        <f t="shared" si="69"/>
        <v>385440000</v>
      </c>
      <c r="G144" s="2">
        <f t="shared" si="70"/>
        <v>19600000</v>
      </c>
      <c r="H144" s="2">
        <f t="shared" si="57"/>
        <v>365840000</v>
      </c>
      <c r="I144" s="2">
        <f t="shared" si="67"/>
        <v>91841515.360000014</v>
      </c>
      <c r="J144" s="2">
        <f t="shared" si="68"/>
        <v>27552454.608000003</v>
      </c>
      <c r="K144" s="2">
        <f t="shared" si="61"/>
        <v>338287545.39200002</v>
      </c>
      <c r="L144" s="2">
        <f t="shared" si="66"/>
        <v>91337637.255840018</v>
      </c>
      <c r="M144" s="2">
        <f t="shared" si="65"/>
        <v>274502362.74416</v>
      </c>
      <c r="N144" s="2">
        <f t="shared" si="58"/>
        <v>3810257.2140647336</v>
      </c>
      <c r="P144">
        <v>141</v>
      </c>
      <c r="Q144" s="3">
        <f t="shared" si="56"/>
        <v>385440000</v>
      </c>
      <c r="R144" s="6">
        <f>$C$13+$C$6*$A$18*$C$10+50*'Carbon Tax'!$B$6</f>
        <v>146812382.71938735</v>
      </c>
      <c r="S144" s="3">
        <f t="shared" si="59"/>
        <v>238627617.28061265</v>
      </c>
      <c r="T144" s="7">
        <f t="shared" si="55"/>
        <v>65503.910674361388</v>
      </c>
      <c r="U144" s="7">
        <f t="shared" si="54"/>
        <v>16375.977668590347</v>
      </c>
      <c r="V144" s="7">
        <f t="shared" si="62"/>
        <v>238611241.30294406</v>
      </c>
      <c r="W144" s="7">
        <f t="shared" si="63"/>
        <v>64425035.151794903</v>
      </c>
      <c r="X144" s="11">
        <f t="shared" si="64"/>
        <v>174202582.12881774</v>
      </c>
      <c r="Y144" s="7">
        <f t="shared" si="60"/>
        <v>2418036.1823831093</v>
      </c>
    </row>
    <row r="145" spans="5:25">
      <c r="E145">
        <v>142</v>
      </c>
      <c r="F145" s="2">
        <f t="shared" si="69"/>
        <v>385440000</v>
      </c>
      <c r="G145" s="2">
        <f t="shared" si="70"/>
        <v>19600000</v>
      </c>
      <c r="H145" s="2">
        <f t="shared" si="57"/>
        <v>365840000</v>
      </c>
      <c r="I145" s="2">
        <f t="shared" si="67"/>
        <v>64289060.752000012</v>
      </c>
      <c r="J145" s="2">
        <f t="shared" si="68"/>
        <v>19286718.225600004</v>
      </c>
      <c r="K145" s="2">
        <f t="shared" si="61"/>
        <v>346553281.7744</v>
      </c>
      <c r="L145" s="2">
        <f t="shared" si="66"/>
        <v>93569386.079088002</v>
      </c>
      <c r="M145" s="2">
        <f t="shared" si="65"/>
        <v>272270613.92091203</v>
      </c>
      <c r="N145" s="2">
        <f t="shared" si="58"/>
        <v>3666355.4556106231</v>
      </c>
      <c r="P145">
        <v>142</v>
      </c>
      <c r="Q145" s="3">
        <f t="shared" si="56"/>
        <v>385440000</v>
      </c>
      <c r="R145" s="6">
        <f>$C$13+$C$6*$A$18*$C$10+50*'Carbon Tax'!$B$6</f>
        <v>146812382.71938735</v>
      </c>
      <c r="S145" s="3">
        <f t="shared" si="59"/>
        <v>238627617.28061265</v>
      </c>
      <c r="T145" s="7">
        <f t="shared" si="55"/>
        <v>49127.933005771039</v>
      </c>
      <c r="U145" s="7">
        <f t="shared" si="54"/>
        <v>12281.98325144276</v>
      </c>
      <c r="V145" s="7">
        <f t="shared" si="62"/>
        <v>238615335.2973612</v>
      </c>
      <c r="W145" s="7">
        <f t="shared" si="63"/>
        <v>64426140.530287527</v>
      </c>
      <c r="X145" s="11">
        <f t="shared" si="64"/>
        <v>174201476.75032511</v>
      </c>
      <c r="Y145" s="7">
        <f t="shared" si="60"/>
        <v>2345771.0895106141</v>
      </c>
    </row>
    <row r="146" spans="5:25">
      <c r="E146">
        <v>143</v>
      </c>
      <c r="F146" s="2">
        <f t="shared" si="69"/>
        <v>385440000</v>
      </c>
      <c r="G146" s="2">
        <f t="shared" si="70"/>
        <v>19600000</v>
      </c>
      <c r="H146" s="2">
        <f t="shared" si="57"/>
        <v>365840000</v>
      </c>
      <c r="I146" s="2">
        <f t="shared" si="67"/>
        <v>45002342.526400007</v>
      </c>
      <c r="J146" s="2">
        <f t="shared" si="68"/>
        <v>13500702.757920003</v>
      </c>
      <c r="K146" s="2">
        <f t="shared" si="61"/>
        <v>352339297.24207997</v>
      </c>
      <c r="L146" s="2">
        <f t="shared" si="66"/>
        <v>95131610.255361602</v>
      </c>
      <c r="M146" s="2">
        <f t="shared" si="65"/>
        <v>270708389.74463838</v>
      </c>
      <c r="N146" s="2">
        <f t="shared" si="58"/>
        <v>3536397.7279652045</v>
      </c>
      <c r="P146">
        <v>143</v>
      </c>
      <c r="Q146" s="3">
        <f t="shared" si="56"/>
        <v>385440000</v>
      </c>
      <c r="R146" s="6">
        <f>$C$13+$C$6*$A$18*$C$10+50*'Carbon Tax'!$B$6</f>
        <v>146812382.71938735</v>
      </c>
      <c r="S146" s="3">
        <f t="shared" si="59"/>
        <v>238627617.28061265</v>
      </c>
      <c r="T146" s="7">
        <f t="shared" si="55"/>
        <v>36845.949754328278</v>
      </c>
      <c r="U146" s="7">
        <f t="shared" ref="U146:U167" si="71">T146*$B$29</f>
        <v>9211.4874385820694</v>
      </c>
      <c r="V146" s="7">
        <f t="shared" si="62"/>
        <v>238618405.79317406</v>
      </c>
      <c r="W146" s="7">
        <f t="shared" si="63"/>
        <v>64426969.564157002</v>
      </c>
      <c r="X146" s="11">
        <f t="shared" si="64"/>
        <v>174200647.71645564</v>
      </c>
      <c r="Y146" s="7">
        <f t="shared" si="60"/>
        <v>2275669.3110828935</v>
      </c>
    </row>
    <row r="147" spans="5:25">
      <c r="E147">
        <v>144</v>
      </c>
      <c r="F147" s="2">
        <f t="shared" si="69"/>
        <v>385440000</v>
      </c>
      <c r="G147" s="2">
        <f t="shared" si="70"/>
        <v>19600000</v>
      </c>
      <c r="H147" s="2">
        <f t="shared" si="57"/>
        <v>365840000</v>
      </c>
      <c r="I147" s="2">
        <f t="shared" si="67"/>
        <v>31501639.768480003</v>
      </c>
      <c r="J147" s="2">
        <f t="shared" si="68"/>
        <v>9450491.9305440001</v>
      </c>
      <c r="K147" s="2">
        <f t="shared" si="61"/>
        <v>356389508.06945598</v>
      </c>
      <c r="L147" s="2">
        <f t="shared" si="66"/>
        <v>96225167.178753123</v>
      </c>
      <c r="M147" s="2">
        <f t="shared" si="65"/>
        <v>269614832.82124686</v>
      </c>
      <c r="N147" s="2">
        <f t="shared" si="58"/>
        <v>3416872.3830371359</v>
      </c>
      <c r="P147">
        <v>144</v>
      </c>
      <c r="Q147" s="3">
        <f t="shared" si="56"/>
        <v>385440000</v>
      </c>
      <c r="R147" s="6">
        <f>$C$13+$C$6*$A$18*$C$10+50*'Carbon Tax'!$B$6</f>
        <v>146812382.71938735</v>
      </c>
      <c r="S147" s="3">
        <f t="shared" si="59"/>
        <v>238627617.28061265</v>
      </c>
      <c r="T147" s="7">
        <f t="shared" si="55"/>
        <v>27634.462315746208</v>
      </c>
      <c r="U147" s="7">
        <f t="shared" si="71"/>
        <v>6908.6155789365521</v>
      </c>
      <c r="V147" s="7">
        <f t="shared" si="62"/>
        <v>238620708.6650337</v>
      </c>
      <c r="W147" s="7">
        <f t="shared" si="63"/>
        <v>64427591.339559101</v>
      </c>
      <c r="X147" s="11">
        <f t="shared" si="64"/>
        <v>174200025.94105354</v>
      </c>
      <c r="Y147" s="7">
        <f t="shared" si="60"/>
        <v>2207665.1033400879</v>
      </c>
    </row>
    <row r="148" spans="5:25">
      <c r="E148">
        <v>145</v>
      </c>
      <c r="F148" s="2">
        <f t="shared" si="69"/>
        <v>385440000</v>
      </c>
      <c r="G148" s="2">
        <f t="shared" si="70"/>
        <v>19600000</v>
      </c>
      <c r="H148" s="2">
        <f t="shared" si="57"/>
        <v>365840000</v>
      </c>
      <c r="I148" s="2">
        <f t="shared" si="67"/>
        <v>22051147.837936003</v>
      </c>
      <c r="J148" s="2">
        <f t="shared" si="68"/>
        <v>6615344.3513808008</v>
      </c>
      <c r="K148" s="2">
        <f t="shared" si="61"/>
        <v>359224655.64861917</v>
      </c>
      <c r="L148" s="2">
        <f t="shared" si="66"/>
        <v>96990657.025127187</v>
      </c>
      <c r="M148" s="2">
        <f t="shared" si="65"/>
        <v>268849342.97487283</v>
      </c>
      <c r="N148" s="2">
        <f t="shared" si="58"/>
        <v>3305365.935589842</v>
      </c>
      <c r="P148">
        <v>145</v>
      </c>
      <c r="Q148" s="3">
        <f t="shared" si="56"/>
        <v>385440000</v>
      </c>
      <c r="R148" s="6">
        <f>$C$13+$C$6*$A$18*$C$10+50*'Carbon Tax'!$B$6</f>
        <v>146812382.71938735</v>
      </c>
      <c r="S148" s="3">
        <f t="shared" si="59"/>
        <v>238627617.28061265</v>
      </c>
      <c r="T148" s="7">
        <f t="shared" si="55"/>
        <v>20725.846736809657</v>
      </c>
      <c r="U148" s="7">
        <f t="shared" si="71"/>
        <v>5181.4616842024143</v>
      </c>
      <c r="V148" s="7">
        <f t="shared" si="62"/>
        <v>238622435.81892845</v>
      </c>
      <c r="W148" s="7">
        <f t="shared" si="63"/>
        <v>64428057.671110682</v>
      </c>
      <c r="X148" s="11">
        <f t="shared" si="64"/>
        <v>174199559.60950196</v>
      </c>
      <c r="Y148" s="7">
        <f t="shared" si="60"/>
        <v>2141694.9878200544</v>
      </c>
    </row>
    <row r="149" spans="5:25">
      <c r="E149">
        <v>146</v>
      </c>
      <c r="F149" s="2">
        <f t="shared" si="69"/>
        <v>385440000</v>
      </c>
      <c r="G149" s="2">
        <f t="shared" si="70"/>
        <v>19600000</v>
      </c>
      <c r="H149" s="2">
        <f t="shared" si="57"/>
        <v>365840000</v>
      </c>
      <c r="I149" s="2">
        <f t="shared" si="67"/>
        <v>15435803.486555202</v>
      </c>
      <c r="J149" s="2">
        <f t="shared" si="68"/>
        <v>4630741.04596656</v>
      </c>
      <c r="K149" s="2">
        <f t="shared" si="61"/>
        <v>361209258.95403343</v>
      </c>
      <c r="L149" s="2">
        <f t="shared" si="66"/>
        <v>97526499.917589039</v>
      </c>
      <c r="M149" s="2">
        <f t="shared" si="65"/>
        <v>268313500.08241096</v>
      </c>
      <c r="N149" s="2">
        <f t="shared" si="58"/>
        <v>3200211.5053897384</v>
      </c>
      <c r="P149">
        <v>146</v>
      </c>
      <c r="Q149" s="3">
        <f t="shared" si="56"/>
        <v>385440000</v>
      </c>
      <c r="R149" s="6">
        <f>$C$13+$C$6*$A$18*$C$10+50*'Carbon Tax'!$B$6</f>
        <v>146812382.71938735</v>
      </c>
      <c r="S149" s="3">
        <f t="shared" si="59"/>
        <v>238627617.28061265</v>
      </c>
      <c r="T149" s="7">
        <f t="shared" si="55"/>
        <v>15544.385052607242</v>
      </c>
      <c r="U149" s="7">
        <f t="shared" si="71"/>
        <v>3886.0962631518105</v>
      </c>
      <c r="V149" s="7">
        <f t="shared" si="62"/>
        <v>238623731.18434951</v>
      </c>
      <c r="W149" s="7">
        <f t="shared" si="63"/>
        <v>64428407.419774368</v>
      </c>
      <c r="X149" s="11">
        <f t="shared" si="64"/>
        <v>174199209.86083829</v>
      </c>
      <c r="Y149" s="7">
        <f t="shared" si="60"/>
        <v>2077697.6017055842</v>
      </c>
    </row>
    <row r="150" spans="5:25">
      <c r="E150">
        <v>147</v>
      </c>
      <c r="F150" s="2">
        <f t="shared" si="69"/>
        <v>385440000</v>
      </c>
      <c r="G150" s="2">
        <f t="shared" si="70"/>
        <v>19600000</v>
      </c>
      <c r="H150" s="2">
        <f t="shared" si="57"/>
        <v>365840000</v>
      </c>
      <c r="I150" s="2">
        <f t="shared" si="67"/>
        <v>10805062.440588642</v>
      </c>
      <c r="J150" s="2">
        <f t="shared" si="68"/>
        <v>3241518.7321765926</v>
      </c>
      <c r="K150" s="2">
        <f t="shared" si="61"/>
        <v>362598481.2678234</v>
      </c>
      <c r="L150" s="2">
        <f t="shared" si="66"/>
        <v>97901589.94231233</v>
      </c>
      <c r="M150" s="2">
        <f t="shared" si="65"/>
        <v>267938410.05768767</v>
      </c>
      <c r="N150" s="2">
        <f t="shared" si="58"/>
        <v>3100250.0541263442</v>
      </c>
      <c r="P150">
        <v>147</v>
      </c>
      <c r="Q150" s="3">
        <f t="shared" si="56"/>
        <v>385440000</v>
      </c>
      <c r="R150" s="6">
        <f>$C$13+$C$6*$A$18*$C$10+50*'Carbon Tax'!$B$6</f>
        <v>146812382.71938735</v>
      </c>
      <c r="S150" s="3">
        <f t="shared" si="59"/>
        <v>238627617.28061265</v>
      </c>
      <c r="T150" s="7">
        <f t="shared" si="55"/>
        <v>11658.288789455431</v>
      </c>
      <c r="U150" s="7">
        <f t="shared" si="71"/>
        <v>2914.5721973638579</v>
      </c>
      <c r="V150" s="7">
        <f t="shared" si="62"/>
        <v>238624702.70841527</v>
      </c>
      <c r="W150" s="7">
        <f t="shared" si="63"/>
        <v>64428669.731272124</v>
      </c>
      <c r="X150" s="11">
        <f t="shared" si="64"/>
        <v>174198947.54934052</v>
      </c>
      <c r="Y150" s="7">
        <f t="shared" si="60"/>
        <v>2015613.5749716475</v>
      </c>
    </row>
    <row r="151" spans="5:25">
      <c r="E151">
        <v>148</v>
      </c>
      <c r="F151" s="2">
        <f t="shared" si="69"/>
        <v>385440000</v>
      </c>
      <c r="G151" s="2">
        <f t="shared" si="70"/>
        <v>19600000</v>
      </c>
      <c r="H151" s="2">
        <f t="shared" si="57"/>
        <v>365840000</v>
      </c>
      <c r="I151" s="2">
        <f t="shared" si="67"/>
        <v>7563543.7084120493</v>
      </c>
      <c r="J151" s="2">
        <f t="shared" si="68"/>
        <v>2269063.1125236149</v>
      </c>
      <c r="K151" s="2">
        <f t="shared" si="61"/>
        <v>363570936.88747638</v>
      </c>
      <c r="L151" s="2">
        <f t="shared" si="66"/>
        <v>98164152.959618628</v>
      </c>
      <c r="M151" s="2">
        <f t="shared" si="65"/>
        <v>267675847.04038137</v>
      </c>
      <c r="N151" s="2">
        <f t="shared" si="58"/>
        <v>3004668.2202482731</v>
      </c>
      <c r="P151">
        <v>148</v>
      </c>
      <c r="Q151" s="3">
        <f t="shared" si="56"/>
        <v>385440000</v>
      </c>
      <c r="R151" s="6">
        <f>$C$13+$C$6*$A$18*$C$10+50*'Carbon Tax'!$B$6</f>
        <v>146812382.71938735</v>
      </c>
      <c r="S151" s="3">
        <f t="shared" si="59"/>
        <v>238627617.28061265</v>
      </c>
      <c r="T151" s="7">
        <f t="shared" si="55"/>
        <v>8743.7165920915741</v>
      </c>
      <c r="U151" s="7">
        <f t="shared" si="71"/>
        <v>2185.9291480228935</v>
      </c>
      <c r="V151" s="7">
        <f t="shared" si="62"/>
        <v>238625431.35146463</v>
      </c>
      <c r="W151" s="7">
        <f t="shared" si="63"/>
        <v>64428866.464895457</v>
      </c>
      <c r="X151" s="11">
        <f t="shared" si="64"/>
        <v>174198750.81571719</v>
      </c>
      <c r="Y151" s="7">
        <f t="shared" si="60"/>
        <v>1955385.4274493891</v>
      </c>
    </row>
    <row r="152" spans="5:25">
      <c r="E152">
        <v>149</v>
      </c>
      <c r="F152" s="2">
        <f t="shared" si="69"/>
        <v>385440000</v>
      </c>
      <c r="G152" s="2">
        <f t="shared" si="70"/>
        <v>19600000</v>
      </c>
      <c r="H152" s="2">
        <f t="shared" si="57"/>
        <v>365840000</v>
      </c>
      <c r="I152" s="2">
        <f t="shared" si="67"/>
        <v>5294480.595888434</v>
      </c>
      <c r="J152" s="2">
        <f t="shared" si="68"/>
        <v>1588344.1787665302</v>
      </c>
      <c r="K152" s="2">
        <f t="shared" si="61"/>
        <v>364251655.82123345</v>
      </c>
      <c r="L152" s="2">
        <f t="shared" si="66"/>
        <v>98347947.071733043</v>
      </c>
      <c r="M152" s="2">
        <f t="shared" si="65"/>
        <v>267492052.92826694</v>
      </c>
      <c r="N152" s="2">
        <f t="shared" si="58"/>
        <v>2912888.1709789992</v>
      </c>
      <c r="P152">
        <v>149</v>
      </c>
      <c r="Q152" s="3">
        <f t="shared" si="56"/>
        <v>385440000</v>
      </c>
      <c r="R152" s="6">
        <f>$C$13+$C$6*$A$18*$C$10+50*'Carbon Tax'!$B$6</f>
        <v>146812382.71938735</v>
      </c>
      <c r="S152" s="3">
        <f t="shared" si="59"/>
        <v>238627617.28061265</v>
      </c>
      <c r="T152" s="7">
        <f t="shared" si="55"/>
        <v>6557.787444068681</v>
      </c>
      <c r="U152" s="7">
        <f t="shared" si="71"/>
        <v>1639.4468610171702</v>
      </c>
      <c r="V152" s="7">
        <f t="shared" si="62"/>
        <v>238625977.83375162</v>
      </c>
      <c r="W152" s="7">
        <f t="shared" si="63"/>
        <v>64429014.015112944</v>
      </c>
      <c r="X152" s="11">
        <f t="shared" si="64"/>
        <v>174198603.26549971</v>
      </c>
      <c r="Y152" s="7">
        <f t="shared" si="60"/>
        <v>1896957.4807862137</v>
      </c>
    </row>
    <row r="153" spans="5:25">
      <c r="E153">
        <v>150</v>
      </c>
      <c r="F153" s="2">
        <f t="shared" si="69"/>
        <v>385440000</v>
      </c>
      <c r="G153" s="2">
        <f t="shared" si="70"/>
        <v>19600000</v>
      </c>
      <c r="H153" s="2">
        <f t="shared" si="57"/>
        <v>365840000</v>
      </c>
      <c r="I153" s="2">
        <f t="shared" si="67"/>
        <v>3706136.417121904</v>
      </c>
      <c r="J153" s="2">
        <f t="shared" si="68"/>
        <v>1111840.9251365711</v>
      </c>
      <c r="K153" s="2">
        <f t="shared" si="61"/>
        <v>364728159.07486343</v>
      </c>
      <c r="L153" s="2">
        <f t="shared" si="66"/>
        <v>98476602.950213134</v>
      </c>
      <c r="M153" s="2">
        <f t="shared" si="65"/>
        <v>267363397.04978687</v>
      </c>
      <c r="N153" s="2">
        <f t="shared" si="58"/>
        <v>2824492.7791004167</v>
      </c>
      <c r="P153">
        <v>150</v>
      </c>
      <c r="Q153" s="3">
        <f t="shared" si="56"/>
        <v>385440000</v>
      </c>
      <c r="R153" s="6">
        <f>$C$13+$C$6*$A$18*$C$10+50*'Carbon Tax'!$B$6</f>
        <v>146812382.71938735</v>
      </c>
      <c r="S153" s="3">
        <f t="shared" si="59"/>
        <v>238627617.28061265</v>
      </c>
      <c r="T153" s="7">
        <f t="shared" si="55"/>
        <v>4918.3405830515112</v>
      </c>
      <c r="U153" s="7">
        <f t="shared" si="71"/>
        <v>1229.5851457628778</v>
      </c>
      <c r="V153" s="7">
        <f t="shared" si="62"/>
        <v>238626387.69546688</v>
      </c>
      <c r="W153" s="7">
        <f t="shared" si="63"/>
        <v>64429124.677776061</v>
      </c>
      <c r="X153" s="11">
        <f t="shared" si="64"/>
        <v>174198492.60283658</v>
      </c>
      <c r="Y153" s="7">
        <f t="shared" si="60"/>
        <v>1840275.7816368847</v>
      </c>
    </row>
    <row r="154" spans="5:25">
      <c r="E154">
        <v>151</v>
      </c>
      <c r="F154" s="2">
        <f t="shared" si="69"/>
        <v>385440000</v>
      </c>
      <c r="G154" s="2">
        <f t="shared" si="70"/>
        <v>19600000</v>
      </c>
      <c r="H154" s="2">
        <f t="shared" si="57"/>
        <v>365840000</v>
      </c>
      <c r="I154" s="2">
        <f t="shared" si="67"/>
        <v>2594295.4919853332</v>
      </c>
      <c r="J154" s="2">
        <f t="shared" si="68"/>
        <v>778288.64759559988</v>
      </c>
      <c r="K154" s="2">
        <f t="shared" si="61"/>
        <v>365061711.35240442</v>
      </c>
      <c r="L154" s="2">
        <f t="shared" si="66"/>
        <v>98566662.065149203</v>
      </c>
      <c r="M154" s="2">
        <f t="shared" si="65"/>
        <v>267273337.93485081</v>
      </c>
      <c r="N154" s="2">
        <f t="shared" si="58"/>
        <v>2739174.7889292929</v>
      </c>
      <c r="P154">
        <v>151</v>
      </c>
      <c r="Q154" s="3">
        <f t="shared" si="56"/>
        <v>385440000</v>
      </c>
      <c r="R154" s="6">
        <f>$C$13+$C$6*$A$18*$C$10+50*'Carbon Tax'!$B$6</f>
        <v>146812382.71938735</v>
      </c>
      <c r="S154" s="3">
        <f t="shared" si="59"/>
        <v>238627617.28061265</v>
      </c>
      <c r="T154" s="7">
        <f t="shared" si="55"/>
        <v>3688.7554372886334</v>
      </c>
      <c r="U154" s="7">
        <f t="shared" si="71"/>
        <v>922.18885932215835</v>
      </c>
      <c r="V154" s="7">
        <f t="shared" si="62"/>
        <v>238626695.09175333</v>
      </c>
      <c r="W154" s="7">
        <f t="shared" si="63"/>
        <v>64429207.674773403</v>
      </c>
      <c r="X154" s="11">
        <f t="shared" si="64"/>
        <v>174198409.60583925</v>
      </c>
      <c r="Y154" s="7">
        <f t="shared" si="60"/>
        <v>1785288.0334072204</v>
      </c>
    </row>
    <row r="155" spans="5:25">
      <c r="E155">
        <v>152</v>
      </c>
      <c r="F155" s="2">
        <f t="shared" si="69"/>
        <v>385440000</v>
      </c>
      <c r="G155" s="2">
        <f t="shared" si="70"/>
        <v>19600000</v>
      </c>
      <c r="H155" s="2">
        <f t="shared" si="57"/>
        <v>365840000</v>
      </c>
      <c r="I155" s="2">
        <f t="shared" si="67"/>
        <v>1816006.8443897334</v>
      </c>
      <c r="J155" s="2">
        <f t="shared" si="68"/>
        <v>544802.05331691995</v>
      </c>
      <c r="K155" s="2">
        <f t="shared" si="61"/>
        <v>365295197.94668311</v>
      </c>
      <c r="L155" s="2">
        <f t="shared" si="66"/>
        <v>98629703.445604444</v>
      </c>
      <c r="M155" s="2">
        <f t="shared" si="65"/>
        <v>267210296.55439556</v>
      </c>
      <c r="N155" s="2">
        <f t="shared" si="58"/>
        <v>2656702.2736557666</v>
      </c>
      <c r="P155">
        <v>152</v>
      </c>
      <c r="Q155" s="3">
        <f t="shared" si="56"/>
        <v>385440000</v>
      </c>
      <c r="R155" s="6">
        <f>$C$13+$C$6*$A$18*$C$10+50*'Carbon Tax'!$B$6</f>
        <v>146812382.71938735</v>
      </c>
      <c r="S155" s="3">
        <f t="shared" si="59"/>
        <v>238627617.28061265</v>
      </c>
      <c r="T155" s="7">
        <f t="shared" si="55"/>
        <v>2766.5665779664751</v>
      </c>
      <c r="U155" s="7">
        <f t="shared" si="71"/>
        <v>691.64164449161876</v>
      </c>
      <c r="V155" s="7">
        <f t="shared" si="62"/>
        <v>238626925.63896817</v>
      </c>
      <c r="W155" s="7">
        <f t="shared" si="63"/>
        <v>64429269.922521412</v>
      </c>
      <c r="X155" s="11">
        <f t="shared" si="64"/>
        <v>174198347.35809124</v>
      </c>
      <c r="Y155" s="7">
        <f t="shared" si="60"/>
        <v>1731943.5345902098</v>
      </c>
    </row>
    <row r="156" spans="5:25">
      <c r="E156">
        <v>153</v>
      </c>
      <c r="F156" s="2">
        <f t="shared" si="69"/>
        <v>385440000</v>
      </c>
      <c r="G156" s="2">
        <f t="shared" si="70"/>
        <v>19600000</v>
      </c>
      <c r="H156" s="2">
        <f t="shared" si="57"/>
        <v>365840000</v>
      </c>
      <c r="I156" s="2">
        <f t="shared" si="67"/>
        <v>1271204.7910728133</v>
      </c>
      <c r="J156" s="2">
        <f t="shared" si="68"/>
        <v>381361.43732184399</v>
      </c>
      <c r="K156" s="2">
        <f t="shared" si="61"/>
        <v>365458638.56267816</v>
      </c>
      <c r="L156" s="2">
        <f t="shared" si="66"/>
        <v>98673832.41192311</v>
      </c>
      <c r="M156" s="2">
        <f t="shared" si="65"/>
        <v>267166167.58807689</v>
      </c>
      <c r="N156" s="2">
        <f t="shared" si="58"/>
        <v>2576895.156548236</v>
      </c>
      <c r="P156">
        <v>153</v>
      </c>
      <c r="Q156" s="3">
        <f t="shared" si="56"/>
        <v>385440000</v>
      </c>
      <c r="R156" s="6">
        <f>$C$13+$C$6*$A$18*$C$10+50*'Carbon Tax'!$B$6</f>
        <v>146812382.71938735</v>
      </c>
      <c r="S156" s="3">
        <f t="shared" si="59"/>
        <v>238627617.28061265</v>
      </c>
      <c r="T156" s="7">
        <f t="shared" si="55"/>
        <v>2074.9249334748565</v>
      </c>
      <c r="U156" s="7">
        <f t="shared" si="71"/>
        <v>518.73123336871413</v>
      </c>
      <c r="V156" s="7">
        <f t="shared" si="62"/>
        <v>238627098.54937929</v>
      </c>
      <c r="W156" s="7">
        <f t="shared" si="63"/>
        <v>64429316.60833241</v>
      </c>
      <c r="X156" s="11">
        <f t="shared" si="64"/>
        <v>174198300.67228025</v>
      </c>
      <c r="Y156" s="7">
        <f t="shared" si="60"/>
        <v>1680193.1222573163</v>
      </c>
    </row>
    <row r="157" spans="5:25">
      <c r="E157">
        <v>154</v>
      </c>
      <c r="F157" s="2">
        <f t="shared" si="69"/>
        <v>385440000</v>
      </c>
      <c r="G157" s="2">
        <f t="shared" si="70"/>
        <v>19600000</v>
      </c>
      <c r="H157" s="2">
        <f t="shared" si="57"/>
        <v>365840000</v>
      </c>
      <c r="I157" s="2">
        <f t="shared" si="67"/>
        <v>889843.35375096928</v>
      </c>
      <c r="J157" s="2">
        <f t="shared" si="68"/>
        <v>266953.00612529076</v>
      </c>
      <c r="K157" s="2">
        <f t="shared" si="61"/>
        <v>365573046.99387473</v>
      </c>
      <c r="L157" s="2">
        <f t="shared" si="66"/>
        <v>98704722.688346177</v>
      </c>
      <c r="M157" s="2">
        <f t="shared" si="65"/>
        <v>267135277.31165382</v>
      </c>
      <c r="N157" s="2">
        <f t="shared" si="58"/>
        <v>2499609.2460951526</v>
      </c>
      <c r="P157">
        <v>154</v>
      </c>
      <c r="Q157" s="3">
        <f t="shared" si="56"/>
        <v>385440000</v>
      </c>
      <c r="R157" s="6">
        <f>$C$13+$C$6*$A$18*$C$10+50*'Carbon Tax'!$B$6</f>
        <v>146812382.71938735</v>
      </c>
      <c r="S157" s="3">
        <f t="shared" si="59"/>
        <v>238627617.28061265</v>
      </c>
      <c r="T157" s="7">
        <f t="shared" si="55"/>
        <v>1556.1937001061424</v>
      </c>
      <c r="U157" s="7">
        <f t="shared" si="71"/>
        <v>389.0484250265356</v>
      </c>
      <c r="V157" s="7">
        <f t="shared" si="62"/>
        <v>238627228.23218763</v>
      </c>
      <c r="W157" s="7">
        <f t="shared" si="63"/>
        <v>64429351.622690663</v>
      </c>
      <c r="X157" s="11">
        <f t="shared" si="64"/>
        <v>174198265.65792197</v>
      </c>
      <c r="Y157" s="7">
        <f t="shared" si="60"/>
        <v>1629989.1196485034</v>
      </c>
    </row>
    <row r="158" spans="5:25">
      <c r="E158">
        <v>155</v>
      </c>
      <c r="F158" s="2">
        <f t="shared" si="69"/>
        <v>385440000</v>
      </c>
      <c r="G158" s="2">
        <f t="shared" si="70"/>
        <v>19600000</v>
      </c>
      <c r="H158" s="2">
        <f t="shared" si="57"/>
        <v>365840000</v>
      </c>
      <c r="I158" s="2">
        <f t="shared" si="67"/>
        <v>622890.34762567852</v>
      </c>
      <c r="J158" s="2">
        <f t="shared" si="68"/>
        <v>186867.10428770355</v>
      </c>
      <c r="K158" s="2">
        <f t="shared" si="61"/>
        <v>365653132.89571232</v>
      </c>
      <c r="L158" s="2">
        <f t="shared" si="66"/>
        <v>98726345.88184233</v>
      </c>
      <c r="M158" s="2">
        <f t="shared" si="65"/>
        <v>267113654.11815768</v>
      </c>
      <c r="N158" s="2">
        <f t="shared" si="58"/>
        <v>2424725.3743636026</v>
      </c>
      <c r="P158">
        <v>155</v>
      </c>
      <c r="Q158" s="3">
        <f t="shared" si="56"/>
        <v>385440000</v>
      </c>
      <c r="R158" s="6">
        <f>$C$13+$C$6*$A$18*$C$10+50*'Carbon Tax'!$B$6</f>
        <v>146812382.71938735</v>
      </c>
      <c r="S158" s="3">
        <f t="shared" si="59"/>
        <v>238627617.28061265</v>
      </c>
      <c r="T158" s="7">
        <f t="shared" si="55"/>
        <v>1167.1452750796068</v>
      </c>
      <c r="U158" s="7">
        <f t="shared" si="71"/>
        <v>291.7863187699017</v>
      </c>
      <c r="V158" s="7">
        <f t="shared" si="62"/>
        <v>238627325.49429387</v>
      </c>
      <c r="W158" s="7">
        <f t="shared" si="63"/>
        <v>64429377.883459352</v>
      </c>
      <c r="X158" s="11">
        <f t="shared" si="64"/>
        <v>174198239.39715329</v>
      </c>
      <c r="Y158" s="7">
        <f t="shared" si="60"/>
        <v>1581285.2870819625</v>
      </c>
    </row>
    <row r="159" spans="5:25">
      <c r="E159">
        <v>156</v>
      </c>
      <c r="F159" s="2">
        <f t="shared" si="69"/>
        <v>385440000</v>
      </c>
      <c r="G159" s="2">
        <f t="shared" si="70"/>
        <v>19600000</v>
      </c>
      <c r="H159" s="2">
        <f t="shared" si="57"/>
        <v>365840000</v>
      </c>
      <c r="I159" s="2">
        <f t="shared" si="67"/>
        <v>436023.243337975</v>
      </c>
      <c r="J159" s="2">
        <f t="shared" si="68"/>
        <v>130806.9730013925</v>
      </c>
      <c r="K159" s="2">
        <f t="shared" si="61"/>
        <v>365709193.02699858</v>
      </c>
      <c r="L159" s="2">
        <f t="shared" si="66"/>
        <v>98741482.117289618</v>
      </c>
      <c r="M159" s="2">
        <f t="shared" si="65"/>
        <v>267098517.8827104</v>
      </c>
      <c r="N159" s="2">
        <f t="shared" si="58"/>
        <v>2352142.0014741118</v>
      </c>
      <c r="P159">
        <v>156</v>
      </c>
      <c r="Q159" s="3">
        <f t="shared" si="56"/>
        <v>385440000</v>
      </c>
      <c r="R159" s="6">
        <f>$C$13+$C$6*$A$18*$C$10+50*'Carbon Tax'!$B$6</f>
        <v>146812382.71938735</v>
      </c>
      <c r="S159" s="3">
        <f t="shared" si="59"/>
        <v>238627617.28061265</v>
      </c>
      <c r="T159" s="7">
        <f t="shared" si="55"/>
        <v>875.35895630970504</v>
      </c>
      <c r="U159" s="7">
        <f t="shared" si="71"/>
        <v>218.83973907742626</v>
      </c>
      <c r="V159" s="7">
        <f t="shared" si="62"/>
        <v>238627398.44087356</v>
      </c>
      <c r="W159" s="7">
        <f t="shared" si="63"/>
        <v>64429397.579035863</v>
      </c>
      <c r="X159" s="11">
        <f t="shared" si="64"/>
        <v>174198219.70157677</v>
      </c>
      <c r="Y159" s="7">
        <f t="shared" si="60"/>
        <v>1534036.7756065961</v>
      </c>
    </row>
    <row r="160" spans="5:25">
      <c r="E160">
        <v>157</v>
      </c>
      <c r="F160" s="2">
        <f t="shared" si="69"/>
        <v>385440000</v>
      </c>
      <c r="G160" s="2">
        <f t="shared" si="70"/>
        <v>19600000</v>
      </c>
      <c r="H160" s="2">
        <f t="shared" si="57"/>
        <v>365840000</v>
      </c>
      <c r="I160" s="2">
        <f t="shared" si="67"/>
        <v>305216.2703365825</v>
      </c>
      <c r="J160" s="2">
        <f t="shared" si="68"/>
        <v>91564.881100974744</v>
      </c>
      <c r="K160" s="2">
        <f t="shared" si="61"/>
        <v>365748435.11889905</v>
      </c>
      <c r="L160" s="2">
        <f t="shared" si="66"/>
        <v>98752077.482102752</v>
      </c>
      <c r="M160" s="2">
        <f t="shared" si="65"/>
        <v>267087922.51789725</v>
      </c>
      <c r="N160" s="2">
        <f t="shared" si="58"/>
        <v>2281770.1744445814</v>
      </c>
      <c r="P160">
        <v>157</v>
      </c>
      <c r="Q160" s="3">
        <f t="shared" si="56"/>
        <v>385440000</v>
      </c>
      <c r="R160" s="6">
        <f>$C$13+$C$6*$A$18*$C$10+50*'Carbon Tax'!$B$6</f>
        <v>146812382.71938735</v>
      </c>
      <c r="S160" s="3">
        <f t="shared" si="59"/>
        <v>238627617.28061265</v>
      </c>
      <c r="T160" s="7">
        <f t="shared" si="55"/>
        <v>656.51921723227883</v>
      </c>
      <c r="U160" s="7">
        <f t="shared" si="71"/>
        <v>164.12980430806971</v>
      </c>
      <c r="V160" s="7">
        <f t="shared" si="62"/>
        <v>238627453.15080833</v>
      </c>
      <c r="W160" s="7">
        <f t="shared" si="63"/>
        <v>64429412.350718252</v>
      </c>
      <c r="X160" s="11">
        <f t="shared" si="64"/>
        <v>174198204.92989439</v>
      </c>
      <c r="Y160" s="7">
        <f t="shared" si="60"/>
        <v>1488200.0829677477</v>
      </c>
    </row>
    <row r="161" spans="5:25">
      <c r="E161">
        <v>158</v>
      </c>
      <c r="F161" s="2">
        <f t="shared" si="69"/>
        <v>385440000</v>
      </c>
      <c r="G161" s="2">
        <f t="shared" si="70"/>
        <v>19600000</v>
      </c>
      <c r="H161" s="2">
        <f t="shared" si="57"/>
        <v>365840000</v>
      </c>
      <c r="I161" s="2">
        <f t="shared" si="67"/>
        <v>213651.38923560776</v>
      </c>
      <c r="J161" s="2">
        <f t="shared" si="68"/>
        <v>64095.416770682321</v>
      </c>
      <c r="K161" s="2">
        <f t="shared" si="61"/>
        <v>365775904.5832293</v>
      </c>
      <c r="L161" s="2">
        <f t="shared" si="66"/>
        <v>98759494.237471923</v>
      </c>
      <c r="M161" s="2">
        <f t="shared" si="65"/>
        <v>267080505.76252806</v>
      </c>
      <c r="N161" s="2">
        <f t="shared" si="58"/>
        <v>2213530.0854159757</v>
      </c>
      <c r="P161">
        <v>158</v>
      </c>
      <c r="Q161" s="3">
        <f t="shared" si="56"/>
        <v>385440000</v>
      </c>
      <c r="R161" s="6">
        <f>$C$13+$C$6*$A$18*$C$10+50*'Carbon Tax'!$B$6</f>
        <v>146812382.71938735</v>
      </c>
      <c r="S161" s="3">
        <f t="shared" si="59"/>
        <v>238627617.28061265</v>
      </c>
      <c r="T161" s="7">
        <f t="shared" si="55"/>
        <v>492.38941292420913</v>
      </c>
      <c r="U161" s="7">
        <f t="shared" si="71"/>
        <v>123.09735323105228</v>
      </c>
      <c r="V161" s="7">
        <f t="shared" si="62"/>
        <v>238627494.18325943</v>
      </c>
      <c r="W161" s="7">
        <f t="shared" si="63"/>
        <v>64429423.429480046</v>
      </c>
      <c r="X161" s="11">
        <f t="shared" si="64"/>
        <v>174198193.8511326</v>
      </c>
      <c r="Y161" s="7">
        <f t="shared" si="60"/>
        <v>1443733.0115641323</v>
      </c>
    </row>
    <row r="162" spans="5:25">
      <c r="E162">
        <v>159</v>
      </c>
      <c r="F162" s="2">
        <f t="shared" si="69"/>
        <v>385440000</v>
      </c>
      <c r="G162" s="2">
        <f t="shared" si="70"/>
        <v>19600000</v>
      </c>
      <c r="H162" s="2">
        <f t="shared" si="57"/>
        <v>365840000</v>
      </c>
      <c r="I162" s="2">
        <f t="shared" si="67"/>
        <v>149555.97246492543</v>
      </c>
      <c r="J162" s="2">
        <f t="shared" si="68"/>
        <v>44866.79173947763</v>
      </c>
      <c r="K162" s="2">
        <f t="shared" si="61"/>
        <v>365795133.20826054</v>
      </c>
      <c r="L162" s="2">
        <f t="shared" si="66"/>
        <v>98764685.966230348</v>
      </c>
      <c r="M162" s="2">
        <f t="shared" si="65"/>
        <v>267075314.03376967</v>
      </c>
      <c r="N162" s="2">
        <f t="shared" si="58"/>
        <v>2147348.7165428326</v>
      </c>
      <c r="P162">
        <v>159</v>
      </c>
      <c r="Q162" s="3">
        <f t="shared" si="56"/>
        <v>385440000</v>
      </c>
      <c r="R162" s="6">
        <f>$C$13+$C$6*$A$18*$C$10+50*'Carbon Tax'!$B$6</f>
        <v>146812382.71938735</v>
      </c>
      <c r="S162" s="3">
        <f t="shared" si="59"/>
        <v>238627617.28061265</v>
      </c>
      <c r="T162" s="7">
        <f t="shared" si="55"/>
        <v>369.29205969315683</v>
      </c>
      <c r="U162" s="7">
        <f t="shared" si="71"/>
        <v>92.323014923289207</v>
      </c>
      <c r="V162" s="7">
        <f t="shared" si="62"/>
        <v>238627524.95759773</v>
      </c>
      <c r="W162" s="7">
        <f t="shared" si="63"/>
        <v>64429431.738551393</v>
      </c>
      <c r="X162" s="11">
        <f t="shared" si="64"/>
        <v>174198185.54206127</v>
      </c>
      <c r="Y162" s="7">
        <f t="shared" si="60"/>
        <v>1400594.6281524838</v>
      </c>
    </row>
    <row r="163" spans="5:25">
      <c r="E163">
        <v>160</v>
      </c>
      <c r="F163" s="2">
        <f t="shared" si="69"/>
        <v>385440000</v>
      </c>
      <c r="G163" s="2">
        <f t="shared" si="70"/>
        <v>19600000</v>
      </c>
      <c r="H163" s="2">
        <f t="shared" si="57"/>
        <v>365840000</v>
      </c>
      <c r="I163" s="2">
        <f t="shared" si="67"/>
        <v>104689.1807254478</v>
      </c>
      <c r="J163" s="2">
        <f t="shared" si="68"/>
        <v>31406.754217634341</v>
      </c>
      <c r="K163" s="2">
        <f t="shared" si="61"/>
        <v>365808593.24578238</v>
      </c>
      <c r="L163" s="2">
        <f t="shared" si="66"/>
        <v>98768320.176361248</v>
      </c>
      <c r="M163" s="2">
        <f t="shared" si="65"/>
        <v>267071679.82363874</v>
      </c>
      <c r="N163" s="2">
        <f t="shared" ref="N163:N168" si="72">M163/((1+$B$16)^E163)</f>
        <v>2083158.2233541929</v>
      </c>
      <c r="P163">
        <v>160</v>
      </c>
      <c r="Q163" s="3">
        <f t="shared" si="56"/>
        <v>385440000</v>
      </c>
      <c r="R163" s="6">
        <f>$C$13+$C$6*$A$18*$C$10+50*'Carbon Tax'!$B$6</f>
        <v>146812382.71938735</v>
      </c>
      <c r="S163" s="3">
        <f t="shared" si="59"/>
        <v>238627617.28061265</v>
      </c>
      <c r="T163" s="7">
        <f t="shared" si="55"/>
        <v>276.96904476986765</v>
      </c>
      <c r="U163" s="7">
        <f t="shared" si="71"/>
        <v>69.242261192466913</v>
      </c>
      <c r="V163" s="7">
        <f t="shared" si="62"/>
        <v>238627548.03835145</v>
      </c>
      <c r="W163" s="7">
        <f t="shared" si="63"/>
        <v>64429437.970354892</v>
      </c>
      <c r="X163" s="11">
        <f t="shared" si="64"/>
        <v>174198179.31025776</v>
      </c>
      <c r="Y163" s="7">
        <f t="shared" ref="Y163:Y168" si="73">X163/((1+$B$16)^P163)</f>
        <v>1358745.2251138035</v>
      </c>
    </row>
    <row r="164" spans="5:25">
      <c r="E164">
        <v>161</v>
      </c>
      <c r="F164" s="2">
        <f t="shared" si="69"/>
        <v>385440000</v>
      </c>
      <c r="G164" s="2">
        <f t="shared" si="70"/>
        <v>19600000</v>
      </c>
      <c r="H164" s="2">
        <f t="shared" si="57"/>
        <v>365840000</v>
      </c>
      <c r="I164" s="2">
        <f t="shared" si="67"/>
        <v>73282.426507813463</v>
      </c>
      <c r="J164" s="2">
        <f t="shared" si="68"/>
        <v>21984.727952344037</v>
      </c>
      <c r="K164" s="2">
        <f t="shared" si="61"/>
        <v>365818015.27204764</v>
      </c>
      <c r="L164" s="2">
        <f t="shared" si="66"/>
        <v>98770864.123452872</v>
      </c>
      <c r="M164" s="2">
        <f t="shared" si="65"/>
        <v>267069135.87654713</v>
      </c>
      <c r="N164" s="2">
        <f t="shared" si="72"/>
        <v>2020894.8201156906</v>
      </c>
      <c r="P164">
        <v>161</v>
      </c>
      <c r="Q164" s="3">
        <f t="shared" si="56"/>
        <v>385440000</v>
      </c>
      <c r="R164" s="6">
        <f>$C$13+$C$6*$A$18*$C$10+50*'Carbon Tax'!$B$6</f>
        <v>146812382.71938735</v>
      </c>
      <c r="S164" s="3">
        <f t="shared" si="59"/>
        <v>238627617.28061265</v>
      </c>
      <c r="T164" s="7">
        <f t="shared" si="55"/>
        <v>207.72678357740074</v>
      </c>
      <c r="U164" s="7">
        <f t="shared" si="71"/>
        <v>51.931695894350185</v>
      </c>
      <c r="V164" s="7">
        <f t="shared" si="62"/>
        <v>238627565.34891674</v>
      </c>
      <c r="W164" s="7">
        <f t="shared" si="63"/>
        <v>64429442.644207522</v>
      </c>
      <c r="X164" s="11">
        <f t="shared" si="64"/>
        <v>174198174.63640511</v>
      </c>
      <c r="Y164" s="7">
        <f t="shared" si="73"/>
        <v>1318146.2831371443</v>
      </c>
    </row>
    <row r="165" spans="5:25">
      <c r="E165">
        <v>162</v>
      </c>
      <c r="F165" s="2">
        <f t="shared" si="69"/>
        <v>385440000</v>
      </c>
      <c r="G165" s="2">
        <f t="shared" si="70"/>
        <v>19600000</v>
      </c>
      <c r="H165" s="2">
        <f t="shared" si="57"/>
        <v>365840000</v>
      </c>
      <c r="I165" s="2">
        <f t="shared" si="67"/>
        <v>51297.698555469426</v>
      </c>
      <c r="J165" s="2">
        <f t="shared" si="68"/>
        <v>15389.309566640826</v>
      </c>
      <c r="K165" s="2">
        <f t="shared" si="61"/>
        <v>365824610.69043338</v>
      </c>
      <c r="L165" s="2">
        <f t="shared" si="66"/>
        <v>98772644.886417016</v>
      </c>
      <c r="M165" s="2">
        <f t="shared" si="65"/>
        <v>267067355.11358297</v>
      </c>
      <c r="N165" s="2">
        <f t="shared" si="72"/>
        <v>1960498.0065947818</v>
      </c>
      <c r="P165">
        <v>162</v>
      </c>
      <c r="Q165" s="3">
        <f t="shared" si="56"/>
        <v>385440000</v>
      </c>
      <c r="R165" s="6">
        <f>$C$13+$C$6*$A$18*$C$10+50*'Carbon Tax'!$B$6</f>
        <v>146812382.71938735</v>
      </c>
      <c r="S165" s="3">
        <f t="shared" si="59"/>
        <v>238627617.28061265</v>
      </c>
      <c r="T165" s="7">
        <f t="shared" si="55"/>
        <v>155.79508768305055</v>
      </c>
      <c r="U165" s="7">
        <f t="shared" si="71"/>
        <v>38.948771920762638</v>
      </c>
      <c r="V165" s="7">
        <f t="shared" si="62"/>
        <v>238627578.33184072</v>
      </c>
      <c r="W165" s="7">
        <f t="shared" ref="W165:W168" si="74">IF(W164&lt;0,V165*$B$15+W164,V165*$B$15)</f>
        <v>64429446.149596997</v>
      </c>
      <c r="X165" s="11">
        <f t="shared" si="64"/>
        <v>174198171.13101566</v>
      </c>
      <c r="Y165" s="7">
        <f t="shared" si="73"/>
        <v>1278760.4352076929</v>
      </c>
    </row>
    <row r="166" spans="5:25">
      <c r="E166">
        <v>163</v>
      </c>
      <c r="F166" s="2">
        <f t="shared" si="69"/>
        <v>385440000</v>
      </c>
      <c r="G166" s="2">
        <f t="shared" si="70"/>
        <v>19600000</v>
      </c>
      <c r="H166" s="2">
        <f t="shared" si="57"/>
        <v>365840000</v>
      </c>
      <c r="I166" s="2">
        <f t="shared" si="67"/>
        <v>35908.388988828599</v>
      </c>
      <c r="J166" s="2">
        <f t="shared" si="68"/>
        <v>10772.516696648579</v>
      </c>
      <c r="K166" s="2">
        <f t="shared" si="61"/>
        <v>365829227.48330337</v>
      </c>
      <c r="L166" s="2">
        <f t="shared" si="66"/>
        <v>98773891.420491919</v>
      </c>
      <c r="M166" s="2">
        <f t="shared" si="65"/>
        <v>267066108.57950807</v>
      </c>
      <c r="N166" s="2">
        <f t="shared" si="72"/>
        <v>1901910.027154567</v>
      </c>
      <c r="P166">
        <v>163</v>
      </c>
      <c r="Q166" s="3">
        <f t="shared" si="56"/>
        <v>385440000</v>
      </c>
      <c r="R166" s="6">
        <f>$C$13+$C$6*$A$18*$C$10+50*'Carbon Tax'!$B$6</f>
        <v>146812382.71938735</v>
      </c>
      <c r="S166" s="3">
        <f t="shared" si="59"/>
        <v>238627617.28061265</v>
      </c>
      <c r="T166" s="7">
        <f t="shared" si="55"/>
        <v>116.84631576228792</v>
      </c>
      <c r="U166" s="7">
        <f t="shared" si="71"/>
        <v>29.211578940571979</v>
      </c>
      <c r="V166" s="7">
        <f t="shared" si="62"/>
        <v>238627588.06903371</v>
      </c>
      <c r="W166" s="7">
        <f t="shared" si="74"/>
        <v>64429448.778639108</v>
      </c>
      <c r="X166" s="11">
        <f t="shared" si="64"/>
        <v>174198168.50197354</v>
      </c>
      <c r="Y166" s="7">
        <f t="shared" si="73"/>
        <v>1240551.4318086172</v>
      </c>
    </row>
    <row r="167" spans="5:25">
      <c r="E167">
        <v>164</v>
      </c>
      <c r="F167" s="2">
        <f t="shared" si="69"/>
        <v>385440000</v>
      </c>
      <c r="G167" s="2">
        <f t="shared" si="70"/>
        <v>19600000</v>
      </c>
      <c r="H167" s="2">
        <f t="shared" si="57"/>
        <v>365840000</v>
      </c>
      <c r="I167" s="2">
        <f t="shared" si="67"/>
        <v>25135.872292180022</v>
      </c>
      <c r="J167" s="2">
        <f t="shared" si="68"/>
        <v>7540.761687654006</v>
      </c>
      <c r="K167" s="2">
        <f t="shared" si="61"/>
        <v>365832459.23831236</v>
      </c>
      <c r="L167" s="2">
        <f t="shared" si="66"/>
        <v>98774763.994344339</v>
      </c>
      <c r="M167" s="2">
        <f t="shared" si="65"/>
        <v>267065236.00565565</v>
      </c>
      <c r="N167" s="2">
        <f t="shared" si="72"/>
        <v>1845075.4880908134</v>
      </c>
      <c r="P167">
        <v>164</v>
      </c>
      <c r="Q167" s="3">
        <f t="shared" si="56"/>
        <v>385440000</v>
      </c>
      <c r="R167" s="6">
        <f>$C$13+$C$6*$A$18*$C$10+50*'Carbon Tax'!$B$6</f>
        <v>146812382.71938735</v>
      </c>
      <c r="S167" s="3">
        <f t="shared" si="59"/>
        <v>238627617.28061265</v>
      </c>
      <c r="T167" s="7">
        <f t="shared" si="55"/>
        <v>87.634736821715933</v>
      </c>
      <c r="U167" s="7">
        <f t="shared" si="71"/>
        <v>21.908684205428983</v>
      </c>
      <c r="V167" s="7">
        <f t="shared" si="62"/>
        <v>238627595.37192845</v>
      </c>
      <c r="W167" s="7">
        <f t="shared" si="74"/>
        <v>64429450.75042069</v>
      </c>
      <c r="X167" s="11">
        <f t="shared" si="64"/>
        <v>174198166.53019196</v>
      </c>
      <c r="Y167" s="7">
        <f t="shared" si="73"/>
        <v>1203484.1072628871</v>
      </c>
    </row>
    <row r="168" spans="5:25">
      <c r="E168">
        <v>165</v>
      </c>
      <c r="F168" s="2">
        <f t="shared" si="69"/>
        <v>385440000</v>
      </c>
      <c r="G168" s="2">
        <f t="shared" si="70"/>
        <v>19600000</v>
      </c>
      <c r="H168" s="2">
        <f t="shared" si="57"/>
        <v>365840000</v>
      </c>
      <c r="I168" s="2">
        <f t="shared" si="67"/>
        <v>17595.110604526017</v>
      </c>
      <c r="J168" s="13">
        <v>0</v>
      </c>
      <c r="K168" s="13">
        <f>H168-J168+$B$14</f>
        <v>365852316.57742316</v>
      </c>
      <c r="L168" s="2">
        <f t="shared" si="66"/>
        <v>98780125.475904256</v>
      </c>
      <c r="M168" s="13">
        <f>IF(L168&lt;0,H168,H168-L168+$B$14)</f>
        <v>267072191.1015189</v>
      </c>
      <c r="N168" s="2">
        <f t="shared" si="72"/>
        <v>1789991.7916287147</v>
      </c>
      <c r="P168">
        <v>165</v>
      </c>
      <c r="Q168" s="3">
        <f t="shared" si="56"/>
        <v>385440000</v>
      </c>
      <c r="R168" s="6">
        <f>$C$13+$C$6*$A$18*$C$10+50*'Carbon Tax'!$B$6</f>
        <v>146812382.71938735</v>
      </c>
      <c r="S168" s="3">
        <f t="shared" si="59"/>
        <v>238627617.28061265</v>
      </c>
      <c r="T168" s="7">
        <f t="shared" si="55"/>
        <v>65.72605261628695</v>
      </c>
      <c r="U168" s="15">
        <v>0</v>
      </c>
      <c r="V168" s="15">
        <f>S168-U168+$C$14</f>
        <v>238627683.00666526</v>
      </c>
      <c r="W168" s="7">
        <f t="shared" si="74"/>
        <v>64429474.411799625</v>
      </c>
      <c r="X168" s="16">
        <f>IF(W168&lt;0,S168,S168-W168+$C$14)</f>
        <v>174198208.59486565</v>
      </c>
      <c r="Y168" s="7">
        <f t="shared" si="73"/>
        <v>1167524.6389943694</v>
      </c>
    </row>
    <row r="169" spans="5:25">
      <c r="M169"/>
      <c r="N169" s="2">
        <f>SUM(N3:N168)</f>
        <v>6078867375.5461721</v>
      </c>
      <c r="X169" s="2"/>
      <c r="Y169" s="12">
        <f>SUM(Y3:Y168)</f>
        <v>4293123249.055706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D079B-7609-4F2E-A07E-F3A4D366BBC0}">
  <dimension ref="A1:L13"/>
  <sheetViews>
    <sheetView zoomScale="115" zoomScaleNormal="115" workbookViewId="0" xr3:uid="{4FAA875D-3C46-555B-B054-0E76A24E0E25}">
      <selection activeCell="I4" sqref="I4"/>
    </sheetView>
  </sheetViews>
  <sheetFormatPr defaultRowHeight="15"/>
  <cols>
    <col min="1" max="1" width="3.42578125" bestFit="1" customWidth="1"/>
    <col min="2" max="3" width="14" bestFit="1" customWidth="1"/>
    <col min="4" max="4" width="5.5703125" bestFit="1" customWidth="1"/>
    <col min="5" max="5" width="16.28515625" bestFit="1" customWidth="1"/>
    <col min="6" max="6" width="19.7109375" bestFit="1" customWidth="1"/>
    <col min="7" max="7" width="5" bestFit="1" customWidth="1"/>
    <col min="8" max="8" width="19.7109375" bestFit="1" customWidth="1"/>
    <col min="9" max="9" width="20.28515625" bestFit="1" customWidth="1"/>
    <col min="10" max="10" width="8.42578125" bestFit="1" customWidth="1"/>
    <col min="11" max="12" width="14" bestFit="1" customWidth="1"/>
  </cols>
  <sheetData>
    <row r="1" spans="1:12">
      <c r="A1" t="s">
        <v>22</v>
      </c>
      <c r="B1" t="s">
        <v>1</v>
      </c>
      <c r="C1" t="s">
        <v>2</v>
      </c>
      <c r="D1" t="s">
        <v>68</v>
      </c>
      <c r="E1" t="s">
        <v>1</v>
      </c>
      <c r="F1" t="s">
        <v>2</v>
      </c>
      <c r="G1" t="s">
        <v>7</v>
      </c>
      <c r="H1" t="s">
        <v>1</v>
      </c>
      <c r="I1" t="s">
        <v>2</v>
      </c>
      <c r="J1" t="s">
        <v>14</v>
      </c>
      <c r="K1" t="s">
        <v>1</v>
      </c>
      <c r="L1" t="s">
        <v>2</v>
      </c>
    </row>
    <row r="2" spans="1:12">
      <c r="A2">
        <f>0.01*100</f>
        <v>1</v>
      </c>
      <c r="B2">
        <v>4068215581.9103355</v>
      </c>
      <c r="C2">
        <v>10065922733.163836</v>
      </c>
      <c r="D2">
        <v>0</v>
      </c>
      <c r="E2" s="14">
        <v>1117786700.9384301</v>
      </c>
      <c r="F2" s="2">
        <v>5535849951.8393555</v>
      </c>
      <c r="G2">
        <v>0</v>
      </c>
      <c r="H2" s="2">
        <v>-2296482559.3940177</v>
      </c>
      <c r="I2" s="2">
        <v>-3967679440.7938285</v>
      </c>
      <c r="J2">
        <v>0.1</v>
      </c>
      <c r="K2">
        <v>-1224393279.0332029</v>
      </c>
      <c r="L2">
        <v>-601462276.50560641</v>
      </c>
    </row>
    <row r="3" spans="1:12">
      <c r="A3">
        <f>0.02*100</f>
        <v>2</v>
      </c>
      <c r="B3">
        <v>2079000979.6227226</v>
      </c>
      <c r="C3">
        <v>5717950942.8573303</v>
      </c>
      <c r="D3">
        <v>0.1</v>
      </c>
      <c r="E3" s="14">
        <v>1117786700.9384301</v>
      </c>
      <c r="F3" s="2">
        <v>4449812409.2417183</v>
      </c>
      <c r="G3">
        <v>50</v>
      </c>
      <c r="H3" s="2">
        <v>-533690626.46178317</v>
      </c>
      <c r="I3" s="2">
        <v>27538493.494439632</v>
      </c>
      <c r="J3">
        <v>0.2</v>
      </c>
      <c r="K3">
        <v>-262669385.547903</v>
      </c>
      <c r="L3">
        <v>48035988.898065343</v>
      </c>
    </row>
    <row r="4" spans="1:12">
      <c r="A4">
        <v>3</v>
      </c>
      <c r="B4">
        <v>1168397288.4233751</v>
      </c>
      <c r="C4">
        <v>3716762414.538476</v>
      </c>
      <c r="D4">
        <v>0.15</v>
      </c>
      <c r="E4" s="14">
        <v>1117786700.9384301</v>
      </c>
      <c r="F4" s="2">
        <v>3906789744.1284156</v>
      </c>
      <c r="G4">
        <v>100</v>
      </c>
      <c r="H4" s="2">
        <v>848990806.27016962</v>
      </c>
      <c r="I4" s="2">
        <v>3012552956.8089976</v>
      </c>
      <c r="J4">
        <v>0.3</v>
      </c>
      <c r="K4">
        <v>556749307.49006999</v>
      </c>
      <c r="L4">
        <v>587778822.16032553</v>
      </c>
    </row>
    <row r="5" spans="1:12">
      <c r="A5">
        <v>4</v>
      </c>
      <c r="B5">
        <v>668254569.92515159</v>
      </c>
      <c r="C5">
        <v>2630186015.7455726</v>
      </c>
      <c r="D5">
        <v>0.2</v>
      </c>
      <c r="E5" s="14">
        <v>1117786700.9384301</v>
      </c>
      <c r="F5" s="14">
        <v>3363767079.0151043</v>
      </c>
      <c r="G5">
        <v>150</v>
      </c>
      <c r="H5" s="2">
        <v>2184899601.8557997</v>
      </c>
      <c r="I5" s="2">
        <v>5979694374.9739332</v>
      </c>
      <c r="J5">
        <v>0.4</v>
      </c>
      <c r="K5">
        <v>1356641439.7755723</v>
      </c>
      <c r="L5">
        <v>1119480165.8855233</v>
      </c>
    </row>
    <row r="6" spans="1:12">
      <c r="A6">
        <v>5</v>
      </c>
      <c r="B6">
        <v>352439474.39769864</v>
      </c>
      <c r="C6">
        <v>1960527375.2606816</v>
      </c>
      <c r="D6">
        <v>0.25</v>
      </c>
      <c r="E6" s="14">
        <v>1117786700.9384301</v>
      </c>
      <c r="F6" s="2">
        <v>2820744413.9017973</v>
      </c>
      <c r="G6">
        <v>200</v>
      </c>
      <c r="H6" s="2">
        <v>3509933694.4233494</v>
      </c>
      <c r="I6" s="2">
        <v>8945776584.1283264</v>
      </c>
      <c r="J6">
        <v>0.5</v>
      </c>
      <c r="K6">
        <v>2148957376.2318201</v>
      </c>
      <c r="L6">
        <v>1649358645.7991695</v>
      </c>
    </row>
    <row r="7" spans="1:12">
      <c r="A7">
        <v>10</v>
      </c>
      <c r="B7">
        <v>-350194379.65715301</v>
      </c>
      <c r="C7">
        <v>601885264.61596107</v>
      </c>
      <c r="D7">
        <v>0.3</v>
      </c>
      <c r="E7" s="14">
        <v>1117786700.9384301</v>
      </c>
      <c r="F7" s="2">
        <v>2277341339.1449728</v>
      </c>
      <c r="G7">
        <v>250</v>
      </c>
      <c r="H7" s="2">
        <v>4831016483.916419</v>
      </c>
      <c r="I7" s="2">
        <v>11911858793.282722</v>
      </c>
      <c r="J7">
        <v>0.6</v>
      </c>
      <c r="K7">
        <v>2937795107.865387</v>
      </c>
      <c r="L7">
        <v>2178499080.2489686</v>
      </c>
    </row>
    <row r="8" spans="1:12">
      <c r="A8">
        <v>20</v>
      </c>
      <c r="B8">
        <v>-780826093.63646662</v>
      </c>
      <c r="C8">
        <v>-39511126.240396261</v>
      </c>
      <c r="D8">
        <v>0.35</v>
      </c>
      <c r="E8" s="14">
        <v>1117786700.9384301</v>
      </c>
      <c r="F8" s="2">
        <v>1733807661.2050409</v>
      </c>
      <c r="J8">
        <v>0.7</v>
      </c>
      <c r="K8">
        <v>3724490795.9778004</v>
      </c>
      <c r="L8">
        <v>2707473401.0386705</v>
      </c>
    </row>
    <row r="9" spans="1:12">
      <c r="D9">
        <v>0.4</v>
      </c>
      <c r="E9" s="14">
        <v>1117786700.9384301</v>
      </c>
      <c r="F9" s="2">
        <v>1189525814.8912752</v>
      </c>
      <c r="J9">
        <v>0.8</v>
      </c>
      <c r="K9">
        <v>4509836999.5089197</v>
      </c>
      <c r="L9">
        <v>3236041883.5067077</v>
      </c>
    </row>
    <row r="10" spans="1:12">
      <c r="A10">
        <v>0</v>
      </c>
      <c r="B10">
        <v>0</v>
      </c>
      <c r="D10">
        <v>0.45</v>
      </c>
      <c r="E10" s="14">
        <v>1117786700.9384301</v>
      </c>
      <c r="F10" s="2">
        <v>643618907.25130296</v>
      </c>
      <c r="J10">
        <v>0.9</v>
      </c>
      <c r="K10">
        <v>5294948451.7892609</v>
      </c>
      <c r="L10">
        <v>3764582566.2812076</v>
      </c>
    </row>
    <row r="11" spans="1:12">
      <c r="D11">
        <v>0.5</v>
      </c>
      <c r="E11" s="14">
        <v>1117786700.9384301</v>
      </c>
      <c r="F11" s="2">
        <v>90552490.028837562</v>
      </c>
      <c r="J11">
        <v>1</v>
      </c>
      <c r="K11">
        <v>6078867375.5461721</v>
      </c>
      <c r="L11">
        <v>4293123249.055706</v>
      </c>
    </row>
    <row r="12" spans="1:12">
      <c r="D12">
        <v>0.55000000000000004</v>
      </c>
      <c r="E12" s="14">
        <v>1117786700.9384301</v>
      </c>
      <c r="F12" s="14">
        <v>-565379828.05299103</v>
      </c>
    </row>
    <row r="13" spans="1:12">
      <c r="D13">
        <v>0.6</v>
      </c>
      <c r="E13" s="14">
        <v>1117786700.9384301</v>
      </c>
      <c r="F13" s="2">
        <v>-1308931943.4985464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7210-DAEA-4FF9-953B-9FCD46A912BE}">
  <dimension ref="A1:B52"/>
  <sheetViews>
    <sheetView workbookViewId="0" xr3:uid="{D2B6FBB5-8CD4-5CE1-A4C0-743150157246}">
      <selection sqref="A1:B1048576"/>
    </sheetView>
  </sheetViews>
  <sheetFormatPr defaultRowHeight="15"/>
  <cols>
    <col min="1" max="1" width="10.7109375" customWidth="1"/>
  </cols>
  <sheetData>
    <row r="1" spans="1:2">
      <c r="A1" s="17">
        <v>42699</v>
      </c>
      <c r="B1" s="18">
        <v>2.74</v>
      </c>
    </row>
    <row r="2" spans="1:2">
      <c r="A2" s="17">
        <v>42706</v>
      </c>
      <c r="B2" s="18">
        <v>2.74</v>
      </c>
    </row>
    <row r="3" spans="1:2">
      <c r="A3" s="17">
        <v>42713</v>
      </c>
      <c r="B3" s="18">
        <v>2.75</v>
      </c>
    </row>
    <row r="4" spans="1:2">
      <c r="A4" s="17">
        <v>42720</v>
      </c>
      <c r="B4" s="18">
        <v>2.78</v>
      </c>
    </row>
    <row r="5" spans="1:2">
      <c r="A5" s="17">
        <v>42727</v>
      </c>
      <c r="B5" s="18">
        <v>2.79</v>
      </c>
    </row>
    <row r="6" spans="1:2">
      <c r="A6" s="17">
        <v>42734</v>
      </c>
      <c r="B6" s="18">
        <v>2.77</v>
      </c>
    </row>
    <row r="7" spans="1:2">
      <c r="A7" s="17">
        <v>42741</v>
      </c>
      <c r="B7" s="18">
        <v>2.76</v>
      </c>
    </row>
    <row r="8" spans="1:2">
      <c r="A8" s="17">
        <v>42748</v>
      </c>
      <c r="B8" s="18">
        <v>2.74</v>
      </c>
    </row>
    <row r="9" spans="1:2">
      <c r="A9" s="17">
        <v>42755</v>
      </c>
      <c r="B9" s="18">
        <v>2.73</v>
      </c>
    </row>
    <row r="10" spans="1:2">
      <c r="A10" s="17">
        <v>42762</v>
      </c>
      <c r="B10" s="18">
        <v>2.73</v>
      </c>
    </row>
    <row r="11" spans="1:2">
      <c r="A11" s="17">
        <v>42769</v>
      </c>
      <c r="B11" s="18">
        <v>2.71</v>
      </c>
    </row>
    <row r="12" spans="1:2">
      <c r="A12" s="17">
        <v>42776</v>
      </c>
      <c r="B12" s="18">
        <v>2.68</v>
      </c>
    </row>
    <row r="13" spans="1:2">
      <c r="A13" s="17">
        <v>42783</v>
      </c>
      <c r="B13" s="18">
        <v>2.68</v>
      </c>
    </row>
    <row r="14" spans="1:2">
      <c r="A14" s="17">
        <v>42790</v>
      </c>
      <c r="B14" s="18">
        <v>2.66</v>
      </c>
    </row>
    <row r="15" spans="1:2">
      <c r="A15" s="17">
        <v>42797</v>
      </c>
      <c r="B15" s="18">
        <v>2.67</v>
      </c>
    </row>
    <row r="16" spans="1:2">
      <c r="A16" s="17">
        <v>42804</v>
      </c>
      <c r="B16" s="18">
        <v>2.7</v>
      </c>
    </row>
    <row r="17" spans="1:2">
      <c r="A17" s="17">
        <v>42811</v>
      </c>
      <c r="B17" s="18">
        <v>2.71</v>
      </c>
    </row>
    <row r="18" spans="1:2">
      <c r="A18" s="17">
        <v>42818</v>
      </c>
      <c r="B18" s="18">
        <v>2.67</v>
      </c>
    </row>
    <row r="19" spans="1:2">
      <c r="A19" s="17">
        <v>42825</v>
      </c>
      <c r="B19" s="18">
        <v>2.66</v>
      </c>
    </row>
    <row r="20" spans="1:2">
      <c r="A20" s="17">
        <v>42832</v>
      </c>
      <c r="B20" s="18">
        <v>2.67</v>
      </c>
    </row>
    <row r="21" spans="1:2">
      <c r="A21" s="17">
        <v>42839</v>
      </c>
      <c r="B21" s="18">
        <v>2.65</v>
      </c>
    </row>
    <row r="22" spans="1:2">
      <c r="A22" s="17">
        <v>42846</v>
      </c>
      <c r="B22" s="18">
        <v>2.63</v>
      </c>
    </row>
    <row r="23" spans="1:2">
      <c r="A23" s="17">
        <v>42853</v>
      </c>
      <c r="B23" s="18">
        <v>2.62</v>
      </c>
    </row>
    <row r="24" spans="1:2">
      <c r="A24" s="17">
        <v>42860</v>
      </c>
      <c r="B24" s="18">
        <v>2.62</v>
      </c>
    </row>
    <row r="25" spans="1:2">
      <c r="A25" s="17">
        <v>42867</v>
      </c>
      <c r="B25" s="18">
        <v>2.63</v>
      </c>
    </row>
    <row r="26" spans="1:2">
      <c r="A26" s="17">
        <v>42874</v>
      </c>
      <c r="B26" s="18">
        <v>2.62</v>
      </c>
    </row>
    <row r="27" spans="1:2">
      <c r="A27" s="17">
        <v>42881</v>
      </c>
      <c r="B27" s="18">
        <v>2.62</v>
      </c>
    </row>
    <row r="28" spans="1:2">
      <c r="A28" s="17">
        <v>42888</v>
      </c>
      <c r="B28" s="18">
        <v>2.61</v>
      </c>
    </row>
    <row r="29" spans="1:2">
      <c r="A29" s="17">
        <v>42895</v>
      </c>
      <c r="B29" s="18">
        <v>2.62</v>
      </c>
    </row>
    <row r="30" spans="1:2">
      <c r="A30" s="17">
        <v>42902</v>
      </c>
      <c r="B30" s="18">
        <v>2.68</v>
      </c>
    </row>
    <row r="31" spans="1:2">
      <c r="A31" s="17">
        <v>42909</v>
      </c>
      <c r="B31" s="18">
        <v>2.68</v>
      </c>
    </row>
    <row r="32" spans="1:2">
      <c r="A32" s="17">
        <v>42916</v>
      </c>
      <c r="B32" s="18">
        <v>2.76</v>
      </c>
    </row>
    <row r="33" spans="1:2">
      <c r="A33" s="17">
        <v>42923</v>
      </c>
      <c r="B33" s="18">
        <v>2.82</v>
      </c>
    </row>
    <row r="34" spans="1:2">
      <c r="A34" s="17">
        <v>42930</v>
      </c>
      <c r="B34" s="18">
        <v>2.86</v>
      </c>
    </row>
    <row r="35" spans="1:2">
      <c r="A35" s="17">
        <v>42937</v>
      </c>
      <c r="B35" s="18">
        <v>2.95</v>
      </c>
    </row>
    <row r="36" spans="1:2">
      <c r="A36" s="17">
        <v>42944</v>
      </c>
      <c r="B36" s="18">
        <v>2.98</v>
      </c>
    </row>
    <row r="37" spans="1:2">
      <c r="A37" s="17">
        <v>42951</v>
      </c>
      <c r="B37" s="18">
        <v>2.95</v>
      </c>
    </row>
    <row r="38" spans="1:2">
      <c r="A38" s="17">
        <v>42958</v>
      </c>
      <c r="B38" s="18">
        <v>2.94</v>
      </c>
    </row>
    <row r="39" spans="1:2">
      <c r="A39" s="17">
        <v>42965</v>
      </c>
      <c r="B39" s="18">
        <v>2.95</v>
      </c>
    </row>
    <row r="40" spans="1:2">
      <c r="A40" s="17">
        <v>42972</v>
      </c>
      <c r="B40" s="18">
        <v>2.96</v>
      </c>
    </row>
    <row r="41" spans="1:2">
      <c r="A41" s="17">
        <v>42979</v>
      </c>
      <c r="B41" s="18">
        <v>2.96</v>
      </c>
    </row>
    <row r="42" spans="1:2">
      <c r="A42" s="17">
        <v>42986</v>
      </c>
      <c r="B42" s="18">
        <v>3.02</v>
      </c>
    </row>
    <row r="43" spans="1:2">
      <c r="A43" s="17">
        <v>42993</v>
      </c>
      <c r="B43" s="18">
        <v>3.16</v>
      </c>
    </row>
    <row r="44" spans="1:2">
      <c r="A44" s="17">
        <v>43000</v>
      </c>
      <c r="B44" s="18">
        <v>3.16</v>
      </c>
    </row>
    <row r="45" spans="1:2">
      <c r="A45" s="17">
        <v>43007</v>
      </c>
      <c r="B45" s="18">
        <v>3.15</v>
      </c>
    </row>
    <row r="46" spans="1:2">
      <c r="A46" s="17">
        <v>43014</v>
      </c>
      <c r="B46" s="18">
        <v>3.15</v>
      </c>
    </row>
    <row r="47" spans="1:2">
      <c r="A47" s="17">
        <v>43021</v>
      </c>
      <c r="B47" s="18">
        <v>3.14</v>
      </c>
    </row>
    <row r="48" spans="1:2">
      <c r="A48" s="17">
        <v>43028</v>
      </c>
      <c r="B48" s="18">
        <v>3.11</v>
      </c>
    </row>
    <row r="49" spans="1:2">
      <c r="A49" s="17">
        <v>43035</v>
      </c>
      <c r="B49" s="18">
        <v>3.08</v>
      </c>
    </row>
    <row r="50" spans="1:2">
      <c r="A50" s="17">
        <v>43042</v>
      </c>
      <c r="B50" s="18">
        <v>3.07</v>
      </c>
    </row>
    <row r="51" spans="1:2">
      <c r="A51" s="17">
        <v>43049</v>
      </c>
      <c r="B51" s="18">
        <v>3.07</v>
      </c>
    </row>
    <row r="52" spans="1:2">
      <c r="A52" s="17">
        <v>43056</v>
      </c>
      <c r="B52" s="18">
        <v>3.08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1C87-C94E-4BDC-9855-B8117913FF4D}">
  <dimension ref="A1:S70"/>
  <sheetViews>
    <sheetView workbookViewId="0" xr3:uid="{E3F0CB01-9203-5C35-A2B0-AF367C25BA6F}">
      <selection activeCell="A45" sqref="A45"/>
    </sheetView>
  </sheetViews>
  <sheetFormatPr defaultRowHeight="15"/>
  <cols>
    <col min="1" max="1" width="19.140625" customWidth="1"/>
    <col min="2" max="2" width="18" customWidth="1"/>
    <col min="3" max="3" width="18.28515625" customWidth="1"/>
    <col min="4" max="4" width="8.7109375" customWidth="1"/>
    <col min="5" max="5" width="9.140625" bestFit="1" customWidth="1"/>
    <col min="6" max="6" width="15.85546875" style="2" bestFit="1" customWidth="1"/>
    <col min="7" max="7" width="17.5703125" bestFit="1" customWidth="1"/>
    <col min="8" max="8" width="18.5703125" bestFit="1" customWidth="1"/>
    <col min="9" max="10" width="18.5703125" customWidth="1"/>
    <col min="11" max="11" width="18.5703125" bestFit="1" customWidth="1"/>
    <col min="12" max="13" width="9.140625" bestFit="1" customWidth="1"/>
    <col min="14" max="14" width="15.42578125" bestFit="1" customWidth="1"/>
    <col min="15" max="15" width="16.28515625" bestFit="1" customWidth="1"/>
    <col min="16" max="18" width="20.85546875" customWidth="1"/>
    <col min="19" max="19" width="17.5703125" customWidth="1"/>
  </cols>
  <sheetData>
    <row r="1" spans="1:19">
      <c r="A1" t="s">
        <v>0</v>
      </c>
      <c r="B1" t="s">
        <v>1</v>
      </c>
      <c r="C1" t="s">
        <v>2</v>
      </c>
      <c r="E1" t="s">
        <v>3</v>
      </c>
    </row>
    <row r="2" spans="1:19">
      <c r="A2" t="s">
        <v>4</v>
      </c>
      <c r="B2">
        <v>3</v>
      </c>
      <c r="C2">
        <v>5</v>
      </c>
      <c r="E2" t="s">
        <v>5</v>
      </c>
      <c r="F2" s="2" t="s">
        <v>34</v>
      </c>
      <c r="G2" t="s">
        <v>7</v>
      </c>
      <c r="H2" t="s">
        <v>8</v>
      </c>
      <c r="I2" t="s">
        <v>35</v>
      </c>
      <c r="J2" t="s">
        <v>36</v>
      </c>
      <c r="K2" t="s">
        <v>9</v>
      </c>
      <c r="M2" t="s">
        <v>5</v>
      </c>
      <c r="N2" t="s">
        <v>6</v>
      </c>
      <c r="O2" t="s">
        <v>7</v>
      </c>
      <c r="P2" t="s">
        <v>8</v>
      </c>
      <c r="Q2" t="s">
        <v>35</v>
      </c>
      <c r="R2" t="s">
        <v>36</v>
      </c>
      <c r="S2" t="s">
        <v>9</v>
      </c>
    </row>
    <row r="3" spans="1:19">
      <c r="A3" t="s">
        <v>10</v>
      </c>
      <c r="B3">
        <v>30</v>
      </c>
      <c r="C3">
        <v>50</v>
      </c>
      <c r="E3">
        <v>0</v>
      </c>
      <c r="F3" s="2">
        <v>0</v>
      </c>
      <c r="G3" s="2">
        <f>B12</f>
        <v>1115200000</v>
      </c>
      <c r="H3" s="2">
        <f t="shared" ref="H3:H36" si="0">$F3-$G3</f>
        <v>-1115200000</v>
      </c>
      <c r="I3" s="2">
        <f>H3*$B$14</f>
        <v>-301104000</v>
      </c>
      <c r="J3" s="2">
        <f t="shared" ref="J3:J15" si="1">H3</f>
        <v>-1115200000</v>
      </c>
      <c r="K3" s="2">
        <f t="shared" ref="K3:K36" si="2">J3/(1+$B$15)^E3</f>
        <v>-1115200000</v>
      </c>
      <c r="L3" s="2"/>
      <c r="M3">
        <v>0</v>
      </c>
      <c r="N3" s="7">
        <v>0</v>
      </c>
      <c r="O3" s="7">
        <f>C12</f>
        <v>366800000</v>
      </c>
      <c r="P3" s="7">
        <f t="shared" ref="P3:P34" si="3">N3-O3</f>
        <v>-366800000</v>
      </c>
      <c r="Q3" s="7">
        <f>P3*B14</f>
        <v>-99036000</v>
      </c>
      <c r="R3" s="7">
        <f t="shared" ref="R3:R9" si="4">P3</f>
        <v>-366800000</v>
      </c>
      <c r="S3" s="7">
        <f t="shared" ref="S3:S34" si="5">R3/(1+$B$15)^M3</f>
        <v>-366800000</v>
      </c>
    </row>
    <row r="4" spans="1:19">
      <c r="A4" t="s">
        <v>11</v>
      </c>
      <c r="B4" s="1">
        <v>2788000</v>
      </c>
      <c r="C4" s="1">
        <v>917000</v>
      </c>
      <c r="E4">
        <v>1</v>
      </c>
      <c r="F4" s="2">
        <v>0</v>
      </c>
      <c r="G4" s="2">
        <v>0</v>
      </c>
      <c r="H4" s="2">
        <f t="shared" si="0"/>
        <v>0</v>
      </c>
      <c r="I4" s="2">
        <f>H4+I3</f>
        <v>-301104000</v>
      </c>
      <c r="J4" s="2">
        <f t="shared" si="1"/>
        <v>0</v>
      </c>
      <c r="K4" s="2">
        <f t="shared" si="2"/>
        <v>0</v>
      </c>
      <c r="L4" s="2"/>
      <c r="M4">
        <v>1</v>
      </c>
      <c r="N4" s="7">
        <v>0</v>
      </c>
      <c r="O4" s="7">
        <v>0</v>
      </c>
      <c r="P4" s="7">
        <f t="shared" si="3"/>
        <v>0</v>
      </c>
      <c r="Q4" s="7">
        <f>Q3</f>
        <v>-99036000</v>
      </c>
      <c r="R4" s="7">
        <f t="shared" si="4"/>
        <v>0</v>
      </c>
      <c r="S4" s="7">
        <f t="shared" si="5"/>
        <v>0</v>
      </c>
    </row>
    <row r="5" spans="1:19">
      <c r="A5" t="s">
        <v>12</v>
      </c>
      <c r="B5" s="1">
        <v>49000</v>
      </c>
      <c r="C5" s="1">
        <v>13170</v>
      </c>
      <c r="E5">
        <v>2</v>
      </c>
      <c r="F5" s="2">
        <v>0</v>
      </c>
      <c r="G5" s="2">
        <v>0</v>
      </c>
      <c r="H5" s="2">
        <f t="shared" si="0"/>
        <v>0</v>
      </c>
      <c r="I5" s="2">
        <f>H5+I4</f>
        <v>-301104000</v>
      </c>
      <c r="J5" s="2">
        <f t="shared" si="1"/>
        <v>0</v>
      </c>
      <c r="K5" s="2">
        <f t="shared" si="2"/>
        <v>0</v>
      </c>
      <c r="L5" s="2"/>
      <c r="M5">
        <v>2</v>
      </c>
      <c r="N5" s="7">
        <v>0</v>
      </c>
      <c r="O5" s="7">
        <v>0</v>
      </c>
      <c r="P5" s="7">
        <f t="shared" si="3"/>
        <v>0</v>
      </c>
      <c r="Q5" s="7">
        <f>Q4</f>
        <v>-99036000</v>
      </c>
      <c r="R5" s="7">
        <f t="shared" si="4"/>
        <v>0</v>
      </c>
      <c r="S5" s="7">
        <f t="shared" si="5"/>
        <v>0</v>
      </c>
    </row>
    <row r="6" spans="1:19">
      <c r="A6" t="s">
        <v>13</v>
      </c>
      <c r="B6">
        <v>0</v>
      </c>
      <c r="C6">
        <v>183</v>
      </c>
      <c r="E6">
        <v>3</v>
      </c>
      <c r="F6" s="2">
        <v>0</v>
      </c>
      <c r="G6" s="2">
        <v>0</v>
      </c>
      <c r="H6" s="2">
        <f t="shared" si="0"/>
        <v>0</v>
      </c>
      <c r="I6" s="2">
        <f>H6+I5</f>
        <v>-301104000</v>
      </c>
      <c r="J6" s="2">
        <f t="shared" si="1"/>
        <v>0</v>
      </c>
      <c r="K6" s="2">
        <f t="shared" si="2"/>
        <v>0</v>
      </c>
      <c r="L6" s="2"/>
      <c r="M6">
        <v>3</v>
      </c>
      <c r="N6" s="7">
        <v>0</v>
      </c>
      <c r="O6" s="7">
        <v>0</v>
      </c>
      <c r="P6" s="7">
        <f t="shared" si="3"/>
        <v>0</v>
      </c>
      <c r="Q6" s="7">
        <f>Q5</f>
        <v>-99036000</v>
      </c>
      <c r="R6" s="7">
        <f t="shared" si="4"/>
        <v>0</v>
      </c>
      <c r="S6" s="7">
        <f t="shared" si="5"/>
        <v>0</v>
      </c>
    </row>
    <row r="7" spans="1:19">
      <c r="A7" t="s">
        <v>14</v>
      </c>
      <c r="B7">
        <v>0.37</v>
      </c>
      <c r="C7">
        <v>0.87</v>
      </c>
      <c r="E7">
        <v>4</v>
      </c>
      <c r="F7" s="2">
        <f t="shared" ref="F7:F36" si="6">$B$11</f>
        <v>142612800</v>
      </c>
      <c r="G7" s="2">
        <f t="shared" ref="G7:G36" si="7">$B$13</f>
        <v>19600000</v>
      </c>
      <c r="H7" s="2">
        <f t="shared" si="0"/>
        <v>123012800</v>
      </c>
      <c r="I7" s="2">
        <f t="shared" ref="I7:I16" si="8">H7*$B$14+I6</f>
        <v>-267890544</v>
      </c>
      <c r="J7" s="2">
        <f t="shared" si="1"/>
        <v>123012800</v>
      </c>
      <c r="K7" s="2">
        <f t="shared" si="2"/>
        <v>108956379.69124603</v>
      </c>
      <c r="L7" s="2"/>
      <c r="M7">
        <v>4</v>
      </c>
      <c r="N7" s="7">
        <v>0</v>
      </c>
      <c r="O7" s="7">
        <v>0</v>
      </c>
      <c r="P7" s="7">
        <f t="shared" si="3"/>
        <v>0</v>
      </c>
      <c r="Q7" s="7">
        <f>Q6</f>
        <v>-99036000</v>
      </c>
      <c r="R7" s="7">
        <f t="shared" si="4"/>
        <v>0</v>
      </c>
      <c r="S7" s="7">
        <f t="shared" si="5"/>
        <v>0</v>
      </c>
    </row>
    <row r="8" spans="1:19">
      <c r="A8" t="s">
        <v>15</v>
      </c>
      <c r="B8">
        <v>400</v>
      </c>
      <c r="C8">
        <v>400</v>
      </c>
      <c r="E8">
        <v>5</v>
      </c>
      <c r="F8" s="2">
        <f t="shared" si="6"/>
        <v>142612800</v>
      </c>
      <c r="G8" s="2">
        <f t="shared" si="7"/>
        <v>19600000</v>
      </c>
      <c r="H8" s="2">
        <f t="shared" si="0"/>
        <v>123012800</v>
      </c>
      <c r="I8" s="2">
        <f t="shared" si="8"/>
        <v>-234677088</v>
      </c>
      <c r="J8" s="2">
        <f t="shared" si="1"/>
        <v>123012800</v>
      </c>
      <c r="K8" s="2">
        <f t="shared" si="2"/>
        <v>105700795.19911334</v>
      </c>
      <c r="L8" s="2"/>
      <c r="M8">
        <v>5</v>
      </c>
      <c r="N8" s="7">
        <v>0</v>
      </c>
      <c r="O8" s="7">
        <v>0</v>
      </c>
      <c r="P8" s="7">
        <f t="shared" si="3"/>
        <v>0</v>
      </c>
      <c r="Q8" s="7">
        <f>Q7</f>
        <v>-99036000</v>
      </c>
      <c r="R8" s="7">
        <f t="shared" si="4"/>
        <v>0</v>
      </c>
      <c r="S8" s="7">
        <f t="shared" si="5"/>
        <v>0</v>
      </c>
    </row>
    <row r="9" spans="1:19">
      <c r="A9" t="s">
        <v>16</v>
      </c>
      <c r="B9" s="1">
        <v>110</v>
      </c>
      <c r="C9" s="1">
        <v>110</v>
      </c>
      <c r="E9">
        <v>6</v>
      </c>
      <c r="F9" s="2">
        <f t="shared" si="6"/>
        <v>142612800</v>
      </c>
      <c r="G9" s="2">
        <f t="shared" si="7"/>
        <v>19600000</v>
      </c>
      <c r="H9" s="2">
        <f t="shared" si="0"/>
        <v>123012800</v>
      </c>
      <c r="I9" s="2">
        <f t="shared" si="8"/>
        <v>-201463632</v>
      </c>
      <c r="J9" s="2">
        <f t="shared" si="1"/>
        <v>123012800</v>
      </c>
      <c r="K9" s="2">
        <f t="shared" si="2"/>
        <v>102542486.61147976</v>
      </c>
      <c r="L9" s="2"/>
      <c r="M9">
        <v>6</v>
      </c>
      <c r="N9" s="7">
        <f t="shared" ref="N9:N40" si="9">$C$11</f>
        <v>335332800</v>
      </c>
      <c r="O9" s="7">
        <f t="shared" ref="O9:O40" si="10">$C$13+$C$6*$A$17*$C$10</f>
        <v>64168108.867200002</v>
      </c>
      <c r="P9" s="7">
        <f t="shared" si="3"/>
        <v>271164691.13279998</v>
      </c>
      <c r="Q9" s="7">
        <f>P9*$B$14+Q8</f>
        <v>-25821533.394143999</v>
      </c>
      <c r="R9" s="7">
        <f t="shared" si="4"/>
        <v>271164691.13279998</v>
      </c>
      <c r="S9" s="7">
        <f t="shared" si="5"/>
        <v>226040718.6080732</v>
      </c>
    </row>
    <row r="10" spans="1:19">
      <c r="A10" t="s">
        <v>17</v>
      </c>
      <c r="B10">
        <f>365*24*B8*B7</f>
        <v>1296480</v>
      </c>
      <c r="C10">
        <f>365*24*C8*C7</f>
        <v>3048480</v>
      </c>
      <c r="E10">
        <v>7</v>
      </c>
      <c r="F10" s="2">
        <f t="shared" si="6"/>
        <v>142612800</v>
      </c>
      <c r="G10" s="2">
        <f t="shared" si="7"/>
        <v>19600000</v>
      </c>
      <c r="H10" s="2">
        <f t="shared" si="0"/>
        <v>123012800</v>
      </c>
      <c r="I10" s="2">
        <f t="shared" si="8"/>
        <v>-168250176</v>
      </c>
      <c r="J10" s="2">
        <f t="shared" si="1"/>
        <v>123012800</v>
      </c>
      <c r="K10" s="2">
        <f t="shared" si="2"/>
        <v>99478547.353007168</v>
      </c>
      <c r="L10" s="2"/>
      <c r="M10">
        <v>7</v>
      </c>
      <c r="N10" s="7">
        <f t="shared" si="9"/>
        <v>335332800</v>
      </c>
      <c r="O10" s="7">
        <f t="shared" si="10"/>
        <v>64168108.867200002</v>
      </c>
      <c r="P10" s="7">
        <f t="shared" si="3"/>
        <v>271164691.13279998</v>
      </c>
      <c r="Q10" s="7">
        <f>P10*$B$14+Q9</f>
        <v>47392933.211712003</v>
      </c>
      <c r="R10" s="7">
        <f t="shared" ref="R10:R41" si="11">P10-Q10</f>
        <v>223771757.92108798</v>
      </c>
      <c r="S10" s="7">
        <f t="shared" si="5"/>
        <v>180960757.06445676</v>
      </c>
    </row>
    <row r="11" spans="1:19">
      <c r="A11" t="s">
        <v>18</v>
      </c>
      <c r="B11" s="1">
        <f>B10*B9</f>
        <v>142612800</v>
      </c>
      <c r="C11" s="3">
        <f>C10*C9</f>
        <v>335332800</v>
      </c>
      <c r="E11">
        <v>8</v>
      </c>
      <c r="F11" s="2">
        <f t="shared" si="6"/>
        <v>142612800</v>
      </c>
      <c r="G11" s="2">
        <f t="shared" si="7"/>
        <v>19600000</v>
      </c>
      <c r="H11" s="2">
        <f t="shared" si="0"/>
        <v>123012800</v>
      </c>
      <c r="I11" s="2">
        <f t="shared" si="8"/>
        <v>-135036720</v>
      </c>
      <c r="J11" s="2">
        <f t="shared" si="1"/>
        <v>123012800</v>
      </c>
      <c r="K11" s="2">
        <f t="shared" si="2"/>
        <v>96506157.695971236</v>
      </c>
      <c r="L11" s="2"/>
      <c r="M11">
        <v>8</v>
      </c>
      <c r="N11" s="7">
        <f t="shared" si="9"/>
        <v>335332800</v>
      </c>
      <c r="O11" s="7">
        <f t="shared" si="10"/>
        <v>64168108.867200002</v>
      </c>
      <c r="P11" s="7">
        <f t="shared" si="3"/>
        <v>271164691.13279998</v>
      </c>
      <c r="Q11" s="7">
        <f t="shared" ref="Q11:Q58" si="12">P11*$B$14</f>
        <v>73214466.605856001</v>
      </c>
      <c r="R11" s="7">
        <f t="shared" si="11"/>
        <v>197950224.52694398</v>
      </c>
      <c r="S11" s="7">
        <f t="shared" si="5"/>
        <v>155296160.92106</v>
      </c>
    </row>
    <row r="12" spans="1:19">
      <c r="A12" t="s">
        <v>19</v>
      </c>
      <c r="B12" s="2">
        <f>B4*B8</f>
        <v>1115200000</v>
      </c>
      <c r="C12" s="3">
        <f>C4*C8</f>
        <v>366800000</v>
      </c>
      <c r="E12">
        <v>9</v>
      </c>
      <c r="F12" s="2">
        <f t="shared" si="6"/>
        <v>142612800</v>
      </c>
      <c r="G12" s="2">
        <f t="shared" si="7"/>
        <v>19600000</v>
      </c>
      <c r="H12" s="2">
        <f t="shared" si="0"/>
        <v>123012800</v>
      </c>
      <c r="I12" s="2">
        <f t="shared" si="8"/>
        <v>-101823264</v>
      </c>
      <c r="J12" s="2">
        <f t="shared" si="1"/>
        <v>123012800</v>
      </c>
      <c r="K12" s="2">
        <f t="shared" si="2"/>
        <v>93622582.165280595</v>
      </c>
      <c r="L12" s="2"/>
      <c r="M12">
        <v>9</v>
      </c>
      <c r="N12" s="7">
        <f t="shared" si="9"/>
        <v>335332800</v>
      </c>
      <c r="O12" s="7">
        <f t="shared" si="10"/>
        <v>64168108.867200002</v>
      </c>
      <c r="P12" s="7">
        <f t="shared" si="3"/>
        <v>271164691.13279998</v>
      </c>
      <c r="Q12" s="7">
        <f t="shared" si="12"/>
        <v>73214466.605856001</v>
      </c>
      <c r="R12" s="7">
        <f t="shared" si="11"/>
        <v>197950224.52694398</v>
      </c>
      <c r="S12" s="7">
        <f t="shared" si="5"/>
        <v>150655957.43214977</v>
      </c>
    </row>
    <row r="13" spans="1:19">
      <c r="A13" t="s">
        <v>20</v>
      </c>
      <c r="B13" s="1">
        <f>B5*B8</f>
        <v>19600000</v>
      </c>
      <c r="C13" s="1">
        <f>C5*C8</f>
        <v>5268000</v>
      </c>
      <c r="E13">
        <v>10</v>
      </c>
      <c r="F13" s="2">
        <f t="shared" si="6"/>
        <v>142612800</v>
      </c>
      <c r="G13" s="2">
        <f t="shared" si="7"/>
        <v>19600000</v>
      </c>
      <c r="H13" s="2">
        <f t="shared" si="0"/>
        <v>123012800</v>
      </c>
      <c r="I13" s="2">
        <f t="shared" si="8"/>
        <v>-68609808</v>
      </c>
      <c r="J13" s="2">
        <f t="shared" si="1"/>
        <v>123012800</v>
      </c>
      <c r="K13" s="2">
        <f t="shared" si="2"/>
        <v>90825167.02103278</v>
      </c>
      <c r="L13" s="2"/>
      <c r="M13">
        <v>10</v>
      </c>
      <c r="N13" s="7">
        <f t="shared" si="9"/>
        <v>335332800</v>
      </c>
      <c r="O13" s="7">
        <f t="shared" si="10"/>
        <v>64168108.867200002</v>
      </c>
      <c r="P13" s="7">
        <f t="shared" si="3"/>
        <v>271164691.13279998</v>
      </c>
      <c r="Q13" s="7">
        <f t="shared" si="12"/>
        <v>73214466.605856001</v>
      </c>
      <c r="R13" s="7">
        <f t="shared" si="11"/>
        <v>197950224.52694398</v>
      </c>
      <c r="S13" s="7">
        <f t="shared" si="5"/>
        <v>146154401.85501531</v>
      </c>
    </row>
    <row r="14" spans="1:19">
      <c r="A14" t="s">
        <v>21</v>
      </c>
      <c r="B14">
        <v>0.27</v>
      </c>
      <c r="E14">
        <v>11</v>
      </c>
      <c r="F14" s="2">
        <f t="shared" si="6"/>
        <v>142612800</v>
      </c>
      <c r="G14" s="2">
        <f t="shared" si="7"/>
        <v>19600000</v>
      </c>
      <c r="H14" s="2">
        <f t="shared" si="0"/>
        <v>123012800</v>
      </c>
      <c r="I14" s="2">
        <f t="shared" si="8"/>
        <v>-35396352</v>
      </c>
      <c r="J14" s="2">
        <f t="shared" si="1"/>
        <v>123012800</v>
      </c>
      <c r="K14" s="2">
        <f t="shared" si="2"/>
        <v>88111337.816291034</v>
      </c>
      <c r="L14" s="2"/>
      <c r="M14">
        <v>11</v>
      </c>
      <c r="N14" s="7">
        <f t="shared" si="9"/>
        <v>335332800</v>
      </c>
      <c r="O14" s="7">
        <f t="shared" si="10"/>
        <v>64168108.867200002</v>
      </c>
      <c r="P14" s="7">
        <f t="shared" si="3"/>
        <v>271164691.13279998</v>
      </c>
      <c r="Q14" s="7">
        <f t="shared" si="12"/>
        <v>73214466.605856001</v>
      </c>
      <c r="R14" s="7">
        <f t="shared" si="11"/>
        <v>197950224.52694398</v>
      </c>
      <c r="S14" s="7">
        <f t="shared" si="5"/>
        <v>141787351.4309423</v>
      </c>
    </row>
    <row r="15" spans="1:19">
      <c r="A15" t="s">
        <v>22</v>
      </c>
      <c r="B15">
        <v>3.0800000000000001E-2</v>
      </c>
      <c r="C15" t="s">
        <v>23</v>
      </c>
      <c r="E15">
        <v>12</v>
      </c>
      <c r="F15" s="2">
        <f t="shared" si="6"/>
        <v>142612800</v>
      </c>
      <c r="G15" s="2">
        <f t="shared" si="7"/>
        <v>19600000</v>
      </c>
      <c r="H15" s="2">
        <f t="shared" si="0"/>
        <v>123012800</v>
      </c>
      <c r="I15" s="2">
        <f t="shared" si="8"/>
        <v>-2182895.9999999963</v>
      </c>
      <c r="J15" s="2">
        <f t="shared" si="1"/>
        <v>123012800</v>
      </c>
      <c r="K15" s="2">
        <f t="shared" si="2"/>
        <v>85478597.027833745</v>
      </c>
      <c r="L15" s="2"/>
      <c r="M15">
        <v>12</v>
      </c>
      <c r="N15" s="7">
        <f t="shared" si="9"/>
        <v>335332800</v>
      </c>
      <c r="O15" s="7">
        <f t="shared" si="10"/>
        <v>64168108.867200002</v>
      </c>
      <c r="P15" s="7">
        <f t="shared" si="3"/>
        <v>271164691.13279998</v>
      </c>
      <c r="Q15" s="7">
        <f t="shared" si="12"/>
        <v>73214466.605856001</v>
      </c>
      <c r="R15" s="7">
        <f t="shared" si="11"/>
        <v>197950224.52694398</v>
      </c>
      <c r="S15" s="7">
        <f t="shared" si="5"/>
        <v>137550787.18562505</v>
      </c>
    </row>
    <row r="16" spans="1:19">
      <c r="A16" t="s">
        <v>24</v>
      </c>
      <c r="B16" t="s">
        <v>25</v>
      </c>
      <c r="E16">
        <v>13</v>
      </c>
      <c r="F16" s="2">
        <f t="shared" si="6"/>
        <v>142612800</v>
      </c>
      <c r="G16" s="2">
        <f t="shared" si="7"/>
        <v>19600000</v>
      </c>
      <c r="H16" s="2">
        <f t="shared" si="0"/>
        <v>123012800</v>
      </c>
      <c r="I16" s="2">
        <f t="shared" si="8"/>
        <v>31030560.000000007</v>
      </c>
      <c r="J16" s="2">
        <f t="shared" ref="J16:J36" si="13">H16-I16</f>
        <v>91982240</v>
      </c>
      <c r="K16" s="2">
        <f t="shared" si="2"/>
        <v>62006419.349869922</v>
      </c>
      <c r="L16" s="2"/>
      <c r="M16">
        <v>13</v>
      </c>
      <c r="N16" s="7">
        <f t="shared" si="9"/>
        <v>335332800</v>
      </c>
      <c r="O16" s="7">
        <f t="shared" si="10"/>
        <v>64168108.867200002</v>
      </c>
      <c r="P16" s="7">
        <f t="shared" si="3"/>
        <v>271164691.13279998</v>
      </c>
      <c r="Q16" s="7">
        <f t="shared" si="12"/>
        <v>73214466.605856001</v>
      </c>
      <c r="R16" s="7">
        <f t="shared" si="11"/>
        <v>197950224.52694398</v>
      </c>
      <c r="S16" s="7">
        <f t="shared" si="5"/>
        <v>133440810.23052487</v>
      </c>
    </row>
    <row r="17" spans="1:19">
      <c r="A17">
        <f>10.558/100</f>
        <v>0.10557999999999999</v>
      </c>
      <c r="B17" t="s">
        <v>26</v>
      </c>
      <c r="C17" t="s">
        <v>27</v>
      </c>
      <c r="E17">
        <v>14</v>
      </c>
      <c r="F17" s="2">
        <f t="shared" si="6"/>
        <v>142612800</v>
      </c>
      <c r="G17" s="2">
        <f t="shared" si="7"/>
        <v>19600000</v>
      </c>
      <c r="H17" s="2">
        <f t="shared" si="0"/>
        <v>123012800</v>
      </c>
      <c r="I17" s="2">
        <f t="shared" ref="I17:I36" si="14">H17*$B$14</f>
        <v>33213456.000000004</v>
      </c>
      <c r="J17" s="2">
        <f t="shared" si="13"/>
        <v>89799344</v>
      </c>
      <c r="K17" s="2">
        <f t="shared" si="2"/>
        <v>58726135.897476315</v>
      </c>
      <c r="L17" s="2"/>
      <c r="M17">
        <v>14</v>
      </c>
      <c r="N17" s="7">
        <f t="shared" si="9"/>
        <v>335332800</v>
      </c>
      <c r="O17" s="7">
        <f t="shared" si="10"/>
        <v>64168108.867200002</v>
      </c>
      <c r="P17" s="7">
        <f t="shared" si="3"/>
        <v>271164691.13279998</v>
      </c>
      <c r="Q17" s="7">
        <f t="shared" si="12"/>
        <v>73214466.605856001</v>
      </c>
      <c r="R17" s="7">
        <f t="shared" si="11"/>
        <v>197950224.52694398</v>
      </c>
      <c r="S17" s="7">
        <f t="shared" si="5"/>
        <v>129453638.1747428</v>
      </c>
    </row>
    <row r="18" spans="1:19">
      <c r="A18">
        <f>17.7694/100</f>
        <v>0.17769400000000002</v>
      </c>
      <c r="B18" t="s">
        <v>26</v>
      </c>
      <c r="C18" t="s">
        <v>28</v>
      </c>
      <c r="E18">
        <v>15</v>
      </c>
      <c r="F18" s="2">
        <f t="shared" si="6"/>
        <v>142612800</v>
      </c>
      <c r="G18" s="2">
        <f t="shared" si="7"/>
        <v>19600000</v>
      </c>
      <c r="H18" s="2">
        <f t="shared" si="0"/>
        <v>123012800</v>
      </c>
      <c r="I18" s="2">
        <f t="shared" si="14"/>
        <v>33213456.000000004</v>
      </c>
      <c r="J18" s="2">
        <f t="shared" si="13"/>
        <v>89799344</v>
      </c>
      <c r="K18" s="2">
        <f t="shared" si="2"/>
        <v>56971416.276170276</v>
      </c>
      <c r="L18" s="2"/>
      <c r="M18">
        <v>15</v>
      </c>
      <c r="N18" s="7">
        <f t="shared" si="9"/>
        <v>335332800</v>
      </c>
      <c r="O18" s="7">
        <f t="shared" si="10"/>
        <v>64168108.867200002</v>
      </c>
      <c r="P18" s="7">
        <f t="shared" si="3"/>
        <v>271164691.13279998</v>
      </c>
      <c r="Q18" s="7">
        <f t="shared" si="12"/>
        <v>73214466.605856001</v>
      </c>
      <c r="R18" s="7">
        <f t="shared" si="11"/>
        <v>197950224.52694398</v>
      </c>
      <c r="S18" s="7">
        <f t="shared" si="5"/>
        <v>125585601.64410441</v>
      </c>
    </row>
    <row r="19" spans="1:19">
      <c r="E19">
        <v>16</v>
      </c>
      <c r="F19" s="2">
        <f t="shared" si="6"/>
        <v>142612800</v>
      </c>
      <c r="G19" s="2">
        <f t="shared" si="7"/>
        <v>19600000</v>
      </c>
      <c r="H19" s="2">
        <f t="shared" si="0"/>
        <v>123012800</v>
      </c>
      <c r="I19" s="2">
        <f t="shared" si="14"/>
        <v>33213456.000000004</v>
      </c>
      <c r="J19" s="2">
        <f t="shared" si="13"/>
        <v>89799344</v>
      </c>
      <c r="K19" s="2">
        <f t="shared" si="2"/>
        <v>55269127.159652956</v>
      </c>
      <c r="L19" s="2"/>
      <c r="M19">
        <v>16</v>
      </c>
      <c r="N19" s="7">
        <f t="shared" si="9"/>
        <v>335332800</v>
      </c>
      <c r="O19" s="7">
        <f t="shared" si="10"/>
        <v>64168108.867200002</v>
      </c>
      <c r="P19" s="7">
        <f t="shared" si="3"/>
        <v>271164691.13279998</v>
      </c>
      <c r="Q19" s="7">
        <f t="shared" si="12"/>
        <v>73214466.605856001</v>
      </c>
      <c r="R19" s="7">
        <f t="shared" si="11"/>
        <v>197950224.52694398</v>
      </c>
      <c r="S19" s="7">
        <f t="shared" si="5"/>
        <v>121833140.90425338</v>
      </c>
    </row>
    <row r="20" spans="1:19">
      <c r="A20" t="s">
        <v>29</v>
      </c>
      <c r="B20">
        <v>33</v>
      </c>
      <c r="C20">
        <v>55</v>
      </c>
      <c r="E20">
        <v>17</v>
      </c>
      <c r="F20" s="2">
        <f t="shared" si="6"/>
        <v>142612800</v>
      </c>
      <c r="G20" s="2">
        <f t="shared" si="7"/>
        <v>19600000</v>
      </c>
      <c r="H20" s="2">
        <f t="shared" si="0"/>
        <v>123012800</v>
      </c>
      <c r="I20" s="2">
        <f t="shared" si="14"/>
        <v>33213456.000000004</v>
      </c>
      <c r="J20" s="2">
        <f t="shared" si="13"/>
        <v>89799344</v>
      </c>
      <c r="K20" s="2">
        <f t="shared" si="2"/>
        <v>53617701.939903915</v>
      </c>
      <c r="L20" s="2"/>
      <c r="M20">
        <v>17</v>
      </c>
      <c r="N20" s="7">
        <f t="shared" si="9"/>
        <v>335332800</v>
      </c>
      <c r="O20" s="7">
        <f t="shared" si="10"/>
        <v>64168108.867200002</v>
      </c>
      <c r="P20" s="7">
        <f t="shared" si="3"/>
        <v>271164691.13279998</v>
      </c>
      <c r="Q20" s="7">
        <f t="shared" si="12"/>
        <v>73214466.605856001</v>
      </c>
      <c r="R20" s="7">
        <f t="shared" si="11"/>
        <v>197950224.52694398</v>
      </c>
      <c r="S20" s="7">
        <f t="shared" si="5"/>
        <v>118192802.58464627</v>
      </c>
    </row>
    <row r="21" spans="1:19">
      <c r="A21" t="s">
        <v>30</v>
      </c>
      <c r="B21">
        <v>165</v>
      </c>
      <c r="E21">
        <v>18</v>
      </c>
      <c r="F21" s="2">
        <f t="shared" si="6"/>
        <v>142612800</v>
      </c>
      <c r="G21" s="2">
        <f t="shared" si="7"/>
        <v>19600000</v>
      </c>
      <c r="H21" s="2">
        <f t="shared" si="0"/>
        <v>123012800</v>
      </c>
      <c r="I21" s="2">
        <f t="shared" si="14"/>
        <v>33213456.000000004</v>
      </c>
      <c r="J21" s="2">
        <f t="shared" si="13"/>
        <v>89799344</v>
      </c>
      <c r="K21" s="2">
        <f t="shared" si="2"/>
        <v>52015620.818688318</v>
      </c>
      <c r="L21" s="2"/>
      <c r="M21">
        <v>18</v>
      </c>
      <c r="N21" s="7">
        <f t="shared" si="9"/>
        <v>335332800</v>
      </c>
      <c r="O21" s="7">
        <f t="shared" si="10"/>
        <v>64168108.867200002</v>
      </c>
      <c r="P21" s="7">
        <f t="shared" si="3"/>
        <v>271164691.13279998</v>
      </c>
      <c r="Q21" s="7">
        <f t="shared" si="12"/>
        <v>73214466.605856001</v>
      </c>
      <c r="R21" s="7">
        <f t="shared" si="11"/>
        <v>197950224.52694398</v>
      </c>
      <c r="S21" s="7">
        <f t="shared" si="5"/>
        <v>114661236.50043294</v>
      </c>
    </row>
    <row r="22" spans="1:19">
      <c r="A22" t="s">
        <v>31</v>
      </c>
      <c r="B22">
        <v>5</v>
      </c>
      <c r="C22">
        <v>3</v>
      </c>
      <c r="E22">
        <v>19</v>
      </c>
      <c r="F22" s="2">
        <f t="shared" si="6"/>
        <v>142612800</v>
      </c>
      <c r="G22" s="2">
        <f t="shared" si="7"/>
        <v>19600000</v>
      </c>
      <c r="H22" s="2">
        <f t="shared" si="0"/>
        <v>123012800</v>
      </c>
      <c r="I22" s="2">
        <f t="shared" si="14"/>
        <v>33213456.000000004</v>
      </c>
      <c r="J22" s="2">
        <f t="shared" si="13"/>
        <v>89799344</v>
      </c>
      <c r="K22" s="2">
        <f t="shared" si="2"/>
        <v>50461409.408894375</v>
      </c>
      <c r="L22" s="2"/>
      <c r="M22">
        <v>19</v>
      </c>
      <c r="N22" s="7">
        <f t="shared" si="9"/>
        <v>335332800</v>
      </c>
      <c r="O22" s="7">
        <f t="shared" si="10"/>
        <v>64168108.867200002</v>
      </c>
      <c r="P22" s="7">
        <f t="shared" si="3"/>
        <v>271164691.13279998</v>
      </c>
      <c r="Q22" s="7">
        <f t="shared" si="12"/>
        <v>73214466.605856001</v>
      </c>
      <c r="R22" s="7">
        <f t="shared" si="11"/>
        <v>197950224.52694398</v>
      </c>
      <c r="S22" s="7">
        <f t="shared" si="5"/>
        <v>111235192.56929855</v>
      </c>
    </row>
    <row r="23" spans="1:19">
      <c r="A23" t="s">
        <v>9</v>
      </c>
      <c r="B23" s="2">
        <f>K37</f>
        <v>712009634.63869607</v>
      </c>
      <c r="C23" s="2">
        <f>S59</f>
        <v>4025831591.2480426</v>
      </c>
      <c r="E23">
        <v>20</v>
      </c>
      <c r="F23" s="2">
        <f t="shared" si="6"/>
        <v>142612800</v>
      </c>
      <c r="G23" s="2">
        <f t="shared" si="7"/>
        <v>19600000</v>
      </c>
      <c r="H23" s="2">
        <f t="shared" si="0"/>
        <v>123012800</v>
      </c>
      <c r="I23" s="2">
        <f t="shared" si="14"/>
        <v>33213456.000000004</v>
      </c>
      <c r="J23" s="2">
        <f t="shared" si="13"/>
        <v>89799344</v>
      </c>
      <c r="K23" s="2">
        <f t="shared" si="2"/>
        <v>48953637.377662368</v>
      </c>
      <c r="L23" s="2"/>
      <c r="M23">
        <v>20</v>
      </c>
      <c r="N23" s="7">
        <f t="shared" si="9"/>
        <v>335332800</v>
      </c>
      <c r="O23" s="7">
        <f t="shared" si="10"/>
        <v>64168108.867200002</v>
      </c>
      <c r="P23" s="7">
        <f t="shared" si="3"/>
        <v>271164691.13279998</v>
      </c>
      <c r="Q23" s="7">
        <f t="shared" si="12"/>
        <v>73214466.605856001</v>
      </c>
      <c r="R23" s="7">
        <f t="shared" si="11"/>
        <v>197950224.52694398</v>
      </c>
      <c r="S23" s="7">
        <f t="shared" si="5"/>
        <v>107911517.82042933</v>
      </c>
    </row>
    <row r="24" spans="1:19">
      <c r="A24" t="s">
        <v>32</v>
      </c>
      <c r="B24" s="2">
        <f>B23+B23/(1+B15)^33+B23/(1+B15)^(33*2)+B23/(1+B15)^(33*3)+B23/(1+B15)^(33*4)</f>
        <v>1118142881.2001121</v>
      </c>
      <c r="C24" s="2">
        <f>C23+C23/(1+B15)^55+C23/(1+B15)^110</f>
        <v>4927978966.2119007</v>
      </c>
      <c r="E24">
        <v>21</v>
      </c>
      <c r="F24" s="2">
        <f t="shared" si="6"/>
        <v>142612800</v>
      </c>
      <c r="G24" s="2">
        <f t="shared" si="7"/>
        <v>19600000</v>
      </c>
      <c r="H24" s="2">
        <f t="shared" si="0"/>
        <v>123012800</v>
      </c>
      <c r="I24" s="2">
        <f t="shared" si="14"/>
        <v>33213456.000000004</v>
      </c>
      <c r="J24" s="2">
        <f t="shared" si="13"/>
        <v>89799344</v>
      </c>
      <c r="K24" s="2">
        <f t="shared" si="2"/>
        <v>47490917.130056627</v>
      </c>
      <c r="L24" s="2"/>
      <c r="M24">
        <v>21</v>
      </c>
      <c r="N24" s="7">
        <f t="shared" si="9"/>
        <v>335332800</v>
      </c>
      <c r="O24" s="7">
        <f t="shared" si="10"/>
        <v>64168108.867200002</v>
      </c>
      <c r="P24" s="7">
        <f t="shared" si="3"/>
        <v>271164691.13279998</v>
      </c>
      <c r="Q24" s="7">
        <f t="shared" si="12"/>
        <v>73214466.605856001</v>
      </c>
      <c r="R24" s="7">
        <f t="shared" si="11"/>
        <v>197950224.52694398</v>
      </c>
      <c r="S24" s="7">
        <f t="shared" si="5"/>
        <v>104687153.49284956</v>
      </c>
    </row>
    <row r="25" spans="1:19">
      <c r="A25" t="s">
        <v>33</v>
      </c>
      <c r="B25" s="8">
        <f>MIRR(J3:J36,B15,B15)</f>
        <v>4.6339110449962195E-2</v>
      </c>
      <c r="C25" s="8">
        <f>MIRR(R3:R58,B15,B15)</f>
        <v>7.8399758075816006E-2</v>
      </c>
      <c r="E25">
        <v>22</v>
      </c>
      <c r="F25" s="2">
        <f t="shared" si="6"/>
        <v>142612800</v>
      </c>
      <c r="G25" s="2">
        <f t="shared" si="7"/>
        <v>19600000</v>
      </c>
      <c r="H25" s="2">
        <f t="shared" si="0"/>
        <v>123012800</v>
      </c>
      <c r="I25" s="2">
        <f t="shared" si="14"/>
        <v>33213456.000000004</v>
      </c>
      <c r="J25" s="2">
        <f t="shared" si="13"/>
        <v>89799344</v>
      </c>
      <c r="K25" s="2">
        <f t="shared" si="2"/>
        <v>46071902.532068901</v>
      </c>
      <c r="L25" s="2"/>
      <c r="M25">
        <v>22</v>
      </c>
      <c r="N25" s="7">
        <f t="shared" si="9"/>
        <v>335332800</v>
      </c>
      <c r="O25" s="7">
        <f t="shared" si="10"/>
        <v>64168108.867200002</v>
      </c>
      <c r="P25" s="7">
        <f t="shared" si="3"/>
        <v>271164691.13279998</v>
      </c>
      <c r="Q25" s="7">
        <f t="shared" si="12"/>
        <v>73214466.605856001</v>
      </c>
      <c r="R25" s="7">
        <f t="shared" si="11"/>
        <v>197950224.52694398</v>
      </c>
      <c r="S25" s="7">
        <f t="shared" si="5"/>
        <v>101559132.2204594</v>
      </c>
    </row>
    <row r="26" spans="1:19">
      <c r="E26">
        <v>23</v>
      </c>
      <c r="F26" s="2">
        <f t="shared" si="6"/>
        <v>142612800</v>
      </c>
      <c r="G26" s="2">
        <f t="shared" si="7"/>
        <v>19600000</v>
      </c>
      <c r="H26" s="2">
        <f t="shared" si="0"/>
        <v>123012800</v>
      </c>
      <c r="I26" s="2">
        <f t="shared" si="14"/>
        <v>33213456.000000004</v>
      </c>
      <c r="J26" s="2">
        <f t="shared" si="13"/>
        <v>89799344</v>
      </c>
      <c r="K26" s="2">
        <f t="shared" si="2"/>
        <v>44695287.67177815</v>
      </c>
      <c r="L26" s="2"/>
      <c r="M26">
        <v>23</v>
      </c>
      <c r="N26" s="7">
        <f t="shared" si="9"/>
        <v>335332800</v>
      </c>
      <c r="O26" s="7">
        <f t="shared" si="10"/>
        <v>64168108.867200002</v>
      </c>
      <c r="P26" s="7">
        <f t="shared" si="3"/>
        <v>271164691.13279998</v>
      </c>
      <c r="Q26" s="7">
        <f t="shared" si="12"/>
        <v>73214466.605856001</v>
      </c>
      <c r="R26" s="7">
        <f t="shared" si="11"/>
        <v>197950224.52694398</v>
      </c>
      <c r="S26" s="7">
        <f t="shared" si="5"/>
        <v>98524575.301183</v>
      </c>
    </row>
    <row r="27" spans="1:19">
      <c r="E27">
        <v>24</v>
      </c>
      <c r="F27" s="2">
        <f t="shared" si="6"/>
        <v>142612800</v>
      </c>
      <c r="G27" s="2">
        <f t="shared" si="7"/>
        <v>19600000</v>
      </c>
      <c r="H27" s="2">
        <f t="shared" si="0"/>
        <v>123012800</v>
      </c>
      <c r="I27" s="2">
        <f t="shared" si="14"/>
        <v>33213456.000000004</v>
      </c>
      <c r="J27" s="2">
        <f t="shared" si="13"/>
        <v>89799344</v>
      </c>
      <c r="K27" s="2">
        <f t="shared" si="2"/>
        <v>43359805.657526329</v>
      </c>
      <c r="L27" s="2"/>
      <c r="M27">
        <v>24</v>
      </c>
      <c r="N27" s="7">
        <f t="shared" si="9"/>
        <v>335332800</v>
      </c>
      <c r="O27" s="7">
        <f t="shared" si="10"/>
        <v>64168108.867200002</v>
      </c>
      <c r="P27" s="7">
        <f t="shared" si="3"/>
        <v>271164691.13279998</v>
      </c>
      <c r="Q27" s="7">
        <f t="shared" si="12"/>
        <v>73214466.605856001</v>
      </c>
      <c r="R27" s="7">
        <f t="shared" si="11"/>
        <v>197950224.52694398</v>
      </c>
      <c r="S27" s="7">
        <f t="shared" si="5"/>
        <v>95580690.047713399</v>
      </c>
    </row>
    <row r="28" spans="1:19">
      <c r="E28">
        <v>25</v>
      </c>
      <c r="F28" s="2">
        <f t="shared" si="6"/>
        <v>142612800</v>
      </c>
      <c r="G28" s="2">
        <f t="shared" si="7"/>
        <v>19600000</v>
      </c>
      <c r="H28" s="2">
        <f t="shared" si="0"/>
        <v>123012800</v>
      </c>
      <c r="I28" s="2">
        <f t="shared" si="14"/>
        <v>33213456.000000004</v>
      </c>
      <c r="J28" s="2">
        <f t="shared" si="13"/>
        <v>89799344</v>
      </c>
      <c r="K28" s="2">
        <f t="shared" si="2"/>
        <v>42064227.452004589</v>
      </c>
      <c r="L28" s="2"/>
      <c r="M28">
        <v>25</v>
      </c>
      <c r="N28" s="7">
        <f t="shared" si="9"/>
        <v>335332800</v>
      </c>
      <c r="O28" s="7">
        <f t="shared" si="10"/>
        <v>64168108.867200002</v>
      </c>
      <c r="P28" s="7">
        <f t="shared" si="3"/>
        <v>271164691.13279998</v>
      </c>
      <c r="Q28" s="7">
        <f t="shared" si="12"/>
        <v>73214466.605856001</v>
      </c>
      <c r="R28" s="7">
        <f t="shared" si="11"/>
        <v>197950224.52694398</v>
      </c>
      <c r="S28" s="7">
        <f t="shared" si="5"/>
        <v>92724767.217416972</v>
      </c>
    </row>
    <row r="29" spans="1:19">
      <c r="E29">
        <v>26</v>
      </c>
      <c r="F29" s="2">
        <f t="shared" si="6"/>
        <v>142612800</v>
      </c>
      <c r="G29" s="2">
        <f t="shared" si="7"/>
        <v>19600000</v>
      </c>
      <c r="H29" s="2">
        <f t="shared" si="0"/>
        <v>123012800</v>
      </c>
      <c r="I29" s="2">
        <f t="shared" si="14"/>
        <v>33213456.000000004</v>
      </c>
      <c r="J29" s="2">
        <f t="shared" si="13"/>
        <v>89799344</v>
      </c>
      <c r="K29" s="2">
        <f t="shared" si="2"/>
        <v>40807360.741176359</v>
      </c>
      <c r="L29" s="2"/>
      <c r="M29">
        <v>26</v>
      </c>
      <c r="N29" s="7">
        <f t="shared" si="9"/>
        <v>335332800</v>
      </c>
      <c r="O29" s="7">
        <f t="shared" si="10"/>
        <v>64168108.867200002</v>
      </c>
      <c r="P29" s="7">
        <f t="shared" si="3"/>
        <v>271164691.13279998</v>
      </c>
      <c r="Q29" s="7">
        <f t="shared" si="12"/>
        <v>73214466.605856001</v>
      </c>
      <c r="R29" s="7">
        <f t="shared" si="11"/>
        <v>197950224.52694398</v>
      </c>
      <c r="S29" s="7">
        <f t="shared" si="5"/>
        <v>89954178.519030824</v>
      </c>
    </row>
    <row r="30" spans="1:19">
      <c r="E30">
        <v>27</v>
      </c>
      <c r="F30" s="2">
        <f t="shared" si="6"/>
        <v>142612800</v>
      </c>
      <c r="G30" s="2">
        <f t="shared" si="7"/>
        <v>19600000</v>
      </c>
      <c r="H30" s="2">
        <f t="shared" si="0"/>
        <v>123012800</v>
      </c>
      <c r="I30" s="2">
        <f t="shared" si="14"/>
        <v>33213456.000000004</v>
      </c>
      <c r="J30" s="2">
        <f t="shared" si="13"/>
        <v>89799344</v>
      </c>
      <c r="K30" s="2">
        <f t="shared" si="2"/>
        <v>39588048.836996861</v>
      </c>
      <c r="L30" s="2"/>
      <c r="M30">
        <v>27</v>
      </c>
      <c r="N30" s="7">
        <f t="shared" si="9"/>
        <v>335332800</v>
      </c>
      <c r="O30" s="7">
        <f t="shared" si="10"/>
        <v>64168108.867200002</v>
      </c>
      <c r="P30" s="7">
        <f t="shared" si="3"/>
        <v>271164691.13279998</v>
      </c>
      <c r="Q30" s="7">
        <f t="shared" si="12"/>
        <v>73214466.605856001</v>
      </c>
      <c r="R30" s="7">
        <f t="shared" si="11"/>
        <v>197950224.52694398</v>
      </c>
      <c r="S30" s="7">
        <f t="shared" si="5"/>
        <v>87266374.19385995</v>
      </c>
    </row>
    <row r="31" spans="1:19">
      <c r="E31">
        <v>28</v>
      </c>
      <c r="F31" s="2">
        <f t="shared" si="6"/>
        <v>142612800</v>
      </c>
      <c r="G31" s="2">
        <f t="shared" si="7"/>
        <v>19600000</v>
      </c>
      <c r="H31" s="2">
        <f t="shared" si="0"/>
        <v>123012800</v>
      </c>
      <c r="I31" s="2">
        <f t="shared" si="14"/>
        <v>33213456.000000004</v>
      </c>
      <c r="J31" s="2">
        <f t="shared" si="13"/>
        <v>89799344</v>
      </c>
      <c r="K31" s="2">
        <f t="shared" si="2"/>
        <v>38405169.612918951</v>
      </c>
      <c r="L31" s="2"/>
      <c r="M31">
        <v>28</v>
      </c>
      <c r="N31" s="7">
        <f t="shared" si="9"/>
        <v>335332800</v>
      </c>
      <c r="O31" s="7">
        <f t="shared" si="10"/>
        <v>64168108.867200002</v>
      </c>
      <c r="P31" s="7">
        <f t="shared" si="3"/>
        <v>271164691.13279998</v>
      </c>
      <c r="Q31" s="7">
        <f t="shared" si="12"/>
        <v>73214466.605856001</v>
      </c>
      <c r="R31" s="7">
        <f t="shared" si="11"/>
        <v>197950224.52694398</v>
      </c>
      <c r="S31" s="7">
        <f t="shared" si="5"/>
        <v>84658880.669247121</v>
      </c>
    </row>
    <row r="32" spans="1:19">
      <c r="E32">
        <v>29</v>
      </c>
      <c r="F32" s="2">
        <f t="shared" si="6"/>
        <v>142612800</v>
      </c>
      <c r="G32" s="2">
        <f t="shared" si="7"/>
        <v>19600000</v>
      </c>
      <c r="H32" s="2">
        <f t="shared" si="0"/>
        <v>123012800</v>
      </c>
      <c r="I32" s="2">
        <f t="shared" si="14"/>
        <v>33213456.000000004</v>
      </c>
      <c r="J32" s="2">
        <f t="shared" si="13"/>
        <v>89799344</v>
      </c>
      <c r="K32" s="2">
        <f t="shared" si="2"/>
        <v>37257634.471205816</v>
      </c>
      <c r="L32" s="2"/>
      <c r="M32">
        <v>29</v>
      </c>
      <c r="N32" s="7">
        <f t="shared" si="9"/>
        <v>335332800</v>
      </c>
      <c r="O32" s="7">
        <f t="shared" si="10"/>
        <v>64168108.867200002</v>
      </c>
      <c r="P32" s="7">
        <f t="shared" si="3"/>
        <v>271164691.13279998</v>
      </c>
      <c r="Q32" s="7">
        <f t="shared" si="12"/>
        <v>73214466.605856001</v>
      </c>
      <c r="R32" s="7">
        <f t="shared" si="11"/>
        <v>197950224.52694398</v>
      </c>
      <c r="S32" s="7">
        <f t="shared" si="5"/>
        <v>82129298.282156691</v>
      </c>
    </row>
    <row r="33" spans="5:19">
      <c r="E33">
        <v>30</v>
      </c>
      <c r="F33" s="2">
        <f t="shared" si="6"/>
        <v>142612800</v>
      </c>
      <c r="G33" s="2">
        <f t="shared" si="7"/>
        <v>19600000</v>
      </c>
      <c r="H33" s="2">
        <f t="shared" si="0"/>
        <v>123012800</v>
      </c>
      <c r="I33" s="2">
        <f t="shared" si="14"/>
        <v>33213456.000000004</v>
      </c>
      <c r="J33" s="2">
        <f t="shared" si="13"/>
        <v>89799344</v>
      </c>
      <c r="K33" s="2">
        <f t="shared" si="2"/>
        <v>36144387.341099933</v>
      </c>
      <c r="L33" s="2"/>
      <c r="M33">
        <v>30</v>
      </c>
      <c r="N33" s="7">
        <f t="shared" si="9"/>
        <v>335332800</v>
      </c>
      <c r="O33" s="7">
        <f t="shared" si="10"/>
        <v>64168108.867200002</v>
      </c>
      <c r="P33" s="7">
        <f t="shared" si="3"/>
        <v>271164691.13279998</v>
      </c>
      <c r="Q33" s="7">
        <f t="shared" si="12"/>
        <v>73214466.605856001</v>
      </c>
      <c r="R33" s="7">
        <f t="shared" si="11"/>
        <v>197950224.52694398</v>
      </c>
      <c r="S33" s="7">
        <f t="shared" si="5"/>
        <v>79675299.070776775</v>
      </c>
    </row>
    <row r="34" spans="5:19">
      <c r="E34">
        <v>31</v>
      </c>
      <c r="F34" s="2">
        <f t="shared" si="6"/>
        <v>142612800</v>
      </c>
      <c r="G34" s="2">
        <f t="shared" si="7"/>
        <v>19600000</v>
      </c>
      <c r="H34" s="2">
        <f t="shared" si="0"/>
        <v>123012800</v>
      </c>
      <c r="I34" s="2">
        <f t="shared" si="14"/>
        <v>33213456.000000004</v>
      </c>
      <c r="J34" s="2">
        <f t="shared" si="13"/>
        <v>89799344</v>
      </c>
      <c r="K34" s="2">
        <f t="shared" si="2"/>
        <v>35064403.706926599</v>
      </c>
      <c r="L34" s="2"/>
      <c r="M34">
        <v>31</v>
      </c>
      <c r="N34" s="7">
        <f t="shared" si="9"/>
        <v>335332800</v>
      </c>
      <c r="O34" s="7">
        <f t="shared" si="10"/>
        <v>64168108.867200002</v>
      </c>
      <c r="P34" s="7">
        <f t="shared" si="3"/>
        <v>271164691.13279998</v>
      </c>
      <c r="Q34" s="7">
        <f t="shared" si="12"/>
        <v>73214466.605856001</v>
      </c>
      <c r="R34" s="7">
        <f t="shared" si="11"/>
        <v>197950224.52694398</v>
      </c>
      <c r="S34" s="7">
        <f t="shared" si="5"/>
        <v>77294624.632107869</v>
      </c>
    </row>
    <row r="35" spans="5:19">
      <c r="E35">
        <v>32</v>
      </c>
      <c r="F35" s="2">
        <f t="shared" si="6"/>
        <v>142612800</v>
      </c>
      <c r="G35" s="2">
        <f t="shared" si="7"/>
        <v>19600000</v>
      </c>
      <c r="H35" s="2">
        <f t="shared" si="0"/>
        <v>123012800</v>
      </c>
      <c r="I35" s="2">
        <f t="shared" si="14"/>
        <v>33213456.000000004</v>
      </c>
      <c r="J35" s="2">
        <f t="shared" si="13"/>
        <v>89799344</v>
      </c>
      <c r="K35" s="2">
        <f t="shared" si="2"/>
        <v>34016689.665237285</v>
      </c>
      <c r="L35" s="2"/>
      <c r="M35">
        <v>32</v>
      </c>
      <c r="N35" s="7">
        <f t="shared" si="9"/>
        <v>335332800</v>
      </c>
      <c r="O35" s="7">
        <f t="shared" si="10"/>
        <v>64168108.867200002</v>
      </c>
      <c r="P35" s="7">
        <f t="shared" ref="P35:P58" si="15">N35-O35</f>
        <v>271164691.13279998</v>
      </c>
      <c r="Q35" s="7">
        <f t="shared" si="12"/>
        <v>73214466.605856001</v>
      </c>
      <c r="R35" s="7">
        <f t="shared" si="11"/>
        <v>197950224.52694398</v>
      </c>
      <c r="S35" s="7">
        <f t="shared" ref="S35:S58" si="16">R35/(1+$B$15)^M35</f>
        <v>74985084.043566003</v>
      </c>
    </row>
    <row r="36" spans="5:19">
      <c r="E36">
        <v>33</v>
      </c>
      <c r="F36" s="2">
        <f t="shared" si="6"/>
        <v>142612800</v>
      </c>
      <c r="G36" s="2">
        <f t="shared" si="7"/>
        <v>19600000</v>
      </c>
      <c r="H36" s="2">
        <f t="shared" si="0"/>
        <v>123012800</v>
      </c>
      <c r="I36" s="2">
        <f t="shared" si="14"/>
        <v>33213456.000000004</v>
      </c>
      <c r="J36" s="2">
        <f t="shared" si="13"/>
        <v>89799344</v>
      </c>
      <c r="K36" s="2">
        <f t="shared" si="2"/>
        <v>33000281.010125425</v>
      </c>
      <c r="L36" s="2"/>
      <c r="M36">
        <v>33</v>
      </c>
      <c r="N36" s="7">
        <f t="shared" si="9"/>
        <v>335332800</v>
      </c>
      <c r="O36" s="7">
        <f t="shared" si="10"/>
        <v>64168108.867200002</v>
      </c>
      <c r="P36" s="7">
        <f t="shared" si="15"/>
        <v>271164691.13279998</v>
      </c>
      <c r="Q36" s="7">
        <f t="shared" si="12"/>
        <v>73214466.605856001</v>
      </c>
      <c r="R36" s="7">
        <f t="shared" si="11"/>
        <v>197950224.52694398</v>
      </c>
      <c r="S36" s="7">
        <f t="shared" si="16"/>
        <v>72744551.846688032</v>
      </c>
    </row>
    <row r="37" spans="5:19">
      <c r="G37" s="2"/>
      <c r="H37" s="2"/>
      <c r="I37" s="2"/>
      <c r="J37" s="2"/>
      <c r="K37" s="2">
        <f>SUM(K3:K36)</f>
        <v>712009634.63869607</v>
      </c>
      <c r="M37">
        <v>34</v>
      </c>
      <c r="N37" s="7">
        <f t="shared" si="9"/>
        <v>335332800</v>
      </c>
      <c r="O37" s="7">
        <f t="shared" si="10"/>
        <v>64168108.867200002</v>
      </c>
      <c r="P37" s="7">
        <f t="shared" si="15"/>
        <v>271164691.13279998</v>
      </c>
      <c r="Q37" s="7">
        <f t="shared" si="12"/>
        <v>73214466.605856001</v>
      </c>
      <c r="R37" s="7">
        <f t="shared" si="11"/>
        <v>197950224.52694398</v>
      </c>
      <c r="S37" s="7">
        <f t="shared" si="16"/>
        <v>70570966.091082677</v>
      </c>
    </row>
    <row r="38" spans="5:19">
      <c r="G38" s="2"/>
      <c r="H38" s="2"/>
      <c r="I38" s="2"/>
      <c r="J38" s="2"/>
      <c r="K38" s="2"/>
      <c r="M38">
        <v>35</v>
      </c>
      <c r="N38" s="7">
        <f t="shared" si="9"/>
        <v>335332800</v>
      </c>
      <c r="O38" s="7">
        <f t="shared" si="10"/>
        <v>64168108.867200002</v>
      </c>
      <c r="P38" s="7">
        <f t="shared" si="15"/>
        <v>271164691.13279998</v>
      </c>
      <c r="Q38" s="7">
        <f t="shared" si="12"/>
        <v>73214466.605856001</v>
      </c>
      <c r="R38" s="7">
        <f t="shared" si="11"/>
        <v>197950224.52694398</v>
      </c>
      <c r="S38" s="7">
        <f t="shared" si="16"/>
        <v>68462326.436828375</v>
      </c>
    </row>
    <row r="39" spans="5:19">
      <c r="G39" s="2"/>
      <c r="H39" s="2"/>
      <c r="I39" s="2"/>
      <c r="J39" s="2"/>
      <c r="K39" s="2"/>
      <c r="M39">
        <v>36</v>
      </c>
      <c r="N39" s="7">
        <f t="shared" si="9"/>
        <v>335332800</v>
      </c>
      <c r="O39" s="7">
        <f t="shared" si="10"/>
        <v>64168108.867200002</v>
      </c>
      <c r="P39" s="7">
        <f t="shared" si="15"/>
        <v>271164691.13279998</v>
      </c>
      <c r="Q39" s="7">
        <f t="shared" si="12"/>
        <v>73214466.605856001</v>
      </c>
      <c r="R39" s="7">
        <f t="shared" si="11"/>
        <v>197950224.52694398</v>
      </c>
      <c r="S39" s="7">
        <f t="shared" si="16"/>
        <v>66416692.313570395</v>
      </c>
    </row>
    <row r="40" spans="5:19">
      <c r="G40" s="2"/>
      <c r="H40" s="2"/>
      <c r="I40" s="2"/>
      <c r="J40" s="2"/>
      <c r="K40" s="2"/>
      <c r="M40">
        <v>37</v>
      </c>
      <c r="N40" s="7">
        <f t="shared" si="9"/>
        <v>335332800</v>
      </c>
      <c r="O40" s="7">
        <f t="shared" si="10"/>
        <v>64168108.867200002</v>
      </c>
      <c r="P40" s="7">
        <f t="shared" si="15"/>
        <v>271164691.13279998</v>
      </c>
      <c r="Q40" s="7">
        <f t="shared" si="12"/>
        <v>73214466.605856001</v>
      </c>
      <c r="R40" s="7">
        <f t="shared" si="11"/>
        <v>197950224.52694398</v>
      </c>
      <c r="S40" s="7">
        <f t="shared" si="16"/>
        <v>64432181.134623982</v>
      </c>
    </row>
    <row r="41" spans="5:19">
      <c r="G41" s="2"/>
      <c r="H41" s="2"/>
      <c r="I41" s="2"/>
      <c r="J41" s="2"/>
      <c r="K41" s="2"/>
      <c r="M41">
        <v>38</v>
      </c>
      <c r="N41" s="7">
        <f t="shared" ref="N41:N58" si="17">$C$11</f>
        <v>335332800</v>
      </c>
      <c r="O41" s="7">
        <f t="shared" ref="O41:O58" si="18">$C$13+$C$6*$A$17*$C$10</f>
        <v>64168108.867200002</v>
      </c>
      <c r="P41" s="7">
        <f t="shared" si="15"/>
        <v>271164691.13279998</v>
      </c>
      <c r="Q41" s="7">
        <f t="shared" si="12"/>
        <v>73214466.605856001</v>
      </c>
      <c r="R41" s="7">
        <f t="shared" si="11"/>
        <v>197950224.52694398</v>
      </c>
      <c r="S41" s="7">
        <f t="shared" si="16"/>
        <v>62506966.564439252</v>
      </c>
    </row>
    <row r="42" spans="5:19">
      <c r="G42" s="2"/>
      <c r="H42" s="2"/>
      <c r="I42" s="2"/>
      <c r="J42" s="2"/>
      <c r="K42" s="2"/>
      <c r="M42">
        <v>39</v>
      </c>
      <c r="N42" s="7">
        <f t="shared" si="17"/>
        <v>335332800</v>
      </c>
      <c r="O42" s="7">
        <f t="shared" si="18"/>
        <v>64168108.867200002</v>
      </c>
      <c r="P42" s="7">
        <f t="shared" si="15"/>
        <v>271164691.13279998</v>
      </c>
      <c r="Q42" s="7">
        <f t="shared" si="12"/>
        <v>73214466.605856001</v>
      </c>
      <c r="R42" s="7">
        <f t="shared" ref="R42:R58" si="19">P42-Q42</f>
        <v>197950224.52694398</v>
      </c>
      <c r="S42" s="7">
        <f t="shared" si="16"/>
        <v>60639276.837833971</v>
      </c>
    </row>
    <row r="43" spans="5:19">
      <c r="G43" s="2"/>
      <c r="H43" s="2"/>
      <c r="I43" s="2"/>
      <c r="J43" s="2"/>
      <c r="K43" s="2"/>
      <c r="M43">
        <v>40</v>
      </c>
      <c r="N43" s="7">
        <f t="shared" si="17"/>
        <v>335332800</v>
      </c>
      <c r="O43" s="7">
        <f t="shared" si="18"/>
        <v>64168108.867200002</v>
      </c>
      <c r="P43" s="7">
        <f t="shared" si="15"/>
        <v>271164691.13279998</v>
      </c>
      <c r="Q43" s="7">
        <f t="shared" si="12"/>
        <v>73214466.605856001</v>
      </c>
      <c r="R43" s="7">
        <f t="shared" si="19"/>
        <v>197950224.52694398</v>
      </c>
      <c r="S43" s="7">
        <f t="shared" si="16"/>
        <v>58827393.129446991</v>
      </c>
    </row>
    <row r="44" spans="5:19">
      <c r="G44" s="2"/>
      <c r="H44" s="2"/>
      <c r="I44" s="2"/>
      <c r="J44" s="2"/>
      <c r="K44" s="2"/>
      <c r="M44">
        <v>41</v>
      </c>
      <c r="N44" s="7">
        <f t="shared" si="17"/>
        <v>335332800</v>
      </c>
      <c r="O44" s="7">
        <f t="shared" si="18"/>
        <v>64168108.867200002</v>
      </c>
      <c r="P44" s="7">
        <f t="shared" si="15"/>
        <v>271164691.13279998</v>
      </c>
      <c r="Q44" s="7">
        <f t="shared" si="12"/>
        <v>73214466.605856001</v>
      </c>
      <c r="R44" s="7">
        <f t="shared" si="19"/>
        <v>197950224.52694398</v>
      </c>
      <c r="S44" s="7">
        <f t="shared" si="16"/>
        <v>57069647.971912108</v>
      </c>
    </row>
    <row r="45" spans="5:19">
      <c r="G45" s="2"/>
      <c r="H45" s="2"/>
      <c r="I45" s="2"/>
      <c r="J45" s="2"/>
      <c r="K45" s="2"/>
      <c r="M45">
        <v>42</v>
      </c>
      <c r="N45" s="7">
        <f t="shared" si="17"/>
        <v>335332800</v>
      </c>
      <c r="O45" s="7">
        <f t="shared" si="18"/>
        <v>64168108.867200002</v>
      </c>
      <c r="P45" s="7">
        <f t="shared" si="15"/>
        <v>271164691.13279998</v>
      </c>
      <c r="Q45" s="7">
        <f t="shared" si="12"/>
        <v>73214466.605856001</v>
      </c>
      <c r="R45" s="7">
        <f t="shared" si="19"/>
        <v>197950224.52694398</v>
      </c>
      <c r="S45" s="7">
        <f t="shared" si="16"/>
        <v>55364423.721296184</v>
      </c>
    </row>
    <row r="46" spans="5:19">
      <c r="G46" s="2"/>
      <c r="H46" s="2"/>
      <c r="I46" s="2"/>
      <c r="J46" s="2"/>
      <c r="K46" s="2"/>
      <c r="M46">
        <v>43</v>
      </c>
      <c r="N46" s="7">
        <f t="shared" si="17"/>
        <v>335332800</v>
      </c>
      <c r="O46" s="7">
        <f t="shared" si="18"/>
        <v>64168108.867200002</v>
      </c>
      <c r="P46" s="7">
        <f t="shared" si="15"/>
        <v>271164691.13279998</v>
      </c>
      <c r="Q46" s="7">
        <f t="shared" si="12"/>
        <v>73214466.605856001</v>
      </c>
      <c r="R46" s="7">
        <f t="shared" si="19"/>
        <v>197950224.52694398</v>
      </c>
      <c r="S46" s="7">
        <f t="shared" si="16"/>
        <v>53710151.068389788</v>
      </c>
    </row>
    <row r="47" spans="5:19">
      <c r="G47" s="2"/>
      <c r="H47" s="2"/>
      <c r="I47" s="2"/>
      <c r="J47" s="2"/>
      <c r="K47" s="2"/>
      <c r="M47">
        <v>44</v>
      </c>
      <c r="N47" s="7">
        <f t="shared" si="17"/>
        <v>335332800</v>
      </c>
      <c r="O47" s="7">
        <f t="shared" si="18"/>
        <v>64168108.867200002</v>
      </c>
      <c r="P47" s="7">
        <f t="shared" si="15"/>
        <v>271164691.13279998</v>
      </c>
      <c r="Q47" s="7">
        <f t="shared" si="12"/>
        <v>73214466.605856001</v>
      </c>
      <c r="R47" s="7">
        <f t="shared" si="19"/>
        <v>197950224.52694398</v>
      </c>
      <c r="S47" s="7">
        <f t="shared" si="16"/>
        <v>52105307.594479799</v>
      </c>
    </row>
    <row r="48" spans="5:19">
      <c r="G48" s="2"/>
      <c r="H48" s="2"/>
      <c r="I48" s="2"/>
      <c r="J48" s="2"/>
      <c r="K48" s="2"/>
      <c r="M48">
        <v>45</v>
      </c>
      <c r="N48" s="7">
        <f t="shared" si="17"/>
        <v>335332800</v>
      </c>
      <c r="O48" s="7">
        <f t="shared" si="18"/>
        <v>64168108.867200002</v>
      </c>
      <c r="P48" s="7">
        <f t="shared" si="15"/>
        <v>271164691.13279998</v>
      </c>
      <c r="Q48" s="7">
        <f t="shared" si="12"/>
        <v>73214466.605856001</v>
      </c>
      <c r="R48" s="7">
        <f t="shared" si="19"/>
        <v>197950224.52694398</v>
      </c>
      <c r="S48" s="7">
        <f t="shared" si="16"/>
        <v>50548416.370275326</v>
      </c>
    </row>
    <row r="49" spans="7:19">
      <c r="G49" s="2"/>
      <c r="H49" s="2"/>
      <c r="I49" s="2"/>
      <c r="J49" s="2"/>
      <c r="K49" s="2"/>
      <c r="M49">
        <v>46</v>
      </c>
      <c r="N49" s="7">
        <f t="shared" si="17"/>
        <v>335332800</v>
      </c>
      <c r="O49" s="7">
        <f t="shared" si="18"/>
        <v>64168108.867200002</v>
      </c>
      <c r="P49" s="7">
        <f t="shared" si="15"/>
        <v>271164691.13279998</v>
      </c>
      <c r="Q49" s="7">
        <f t="shared" si="12"/>
        <v>73214466.605856001</v>
      </c>
      <c r="R49" s="7">
        <f t="shared" si="19"/>
        <v>197950224.52694398</v>
      </c>
      <c r="S49" s="7">
        <f t="shared" si="16"/>
        <v>49038044.596697047</v>
      </c>
    </row>
    <row r="50" spans="7:19">
      <c r="G50" s="2"/>
      <c r="H50" s="2"/>
      <c r="I50" s="2"/>
      <c r="J50" s="2"/>
      <c r="K50" s="2"/>
      <c r="M50">
        <v>47</v>
      </c>
      <c r="N50" s="7">
        <f t="shared" si="17"/>
        <v>335332800</v>
      </c>
      <c r="O50" s="7">
        <f t="shared" si="18"/>
        <v>64168108.867200002</v>
      </c>
      <c r="P50" s="7">
        <f t="shared" si="15"/>
        <v>271164691.13279998</v>
      </c>
      <c r="Q50" s="7">
        <f t="shared" si="12"/>
        <v>73214466.605856001</v>
      </c>
      <c r="R50" s="7">
        <f t="shared" si="19"/>
        <v>197950224.52694398</v>
      </c>
      <c r="S50" s="7">
        <f t="shared" si="16"/>
        <v>47572802.286279656</v>
      </c>
    </row>
    <row r="51" spans="7:19">
      <c r="G51" s="2"/>
      <c r="H51" s="2"/>
      <c r="I51" s="2"/>
      <c r="J51" s="2"/>
      <c r="K51" s="2"/>
      <c r="M51">
        <v>48</v>
      </c>
      <c r="N51" s="7">
        <f t="shared" si="17"/>
        <v>335332800</v>
      </c>
      <c r="O51" s="7">
        <f t="shared" si="18"/>
        <v>64168108.867200002</v>
      </c>
      <c r="P51" s="7">
        <f t="shared" si="15"/>
        <v>271164691.13279998</v>
      </c>
      <c r="Q51" s="7">
        <f t="shared" si="12"/>
        <v>73214466.605856001</v>
      </c>
      <c r="R51" s="7">
        <f t="shared" si="19"/>
        <v>197950224.52694398</v>
      </c>
      <c r="S51" s="7">
        <f t="shared" si="16"/>
        <v>46151340.983973257</v>
      </c>
    </row>
    <row r="52" spans="7:19">
      <c r="G52" s="2"/>
      <c r="H52" s="2"/>
      <c r="I52" s="2"/>
      <c r="J52" s="2"/>
      <c r="K52" s="2"/>
      <c r="M52">
        <v>49</v>
      </c>
      <c r="N52" s="7">
        <f t="shared" si="17"/>
        <v>335332800</v>
      </c>
      <c r="O52" s="7">
        <f t="shared" si="18"/>
        <v>64168108.867200002</v>
      </c>
      <c r="P52" s="7">
        <f t="shared" si="15"/>
        <v>271164691.13279998</v>
      </c>
      <c r="Q52" s="7">
        <f t="shared" si="12"/>
        <v>73214466.605856001</v>
      </c>
      <c r="R52" s="7">
        <f t="shared" si="19"/>
        <v>197950224.52694398</v>
      </c>
      <c r="S52" s="7">
        <f t="shared" si="16"/>
        <v>44772352.526167311</v>
      </c>
    </row>
    <row r="53" spans="7:19">
      <c r="G53" s="2"/>
      <c r="H53" s="2"/>
      <c r="I53" s="2"/>
      <c r="J53" s="2"/>
      <c r="K53" s="2"/>
      <c r="M53">
        <v>50</v>
      </c>
      <c r="N53" s="7">
        <f t="shared" si="17"/>
        <v>335332800</v>
      </c>
      <c r="O53" s="7">
        <f t="shared" si="18"/>
        <v>64168108.867200002</v>
      </c>
      <c r="P53" s="7">
        <f t="shared" si="15"/>
        <v>271164691.13279998</v>
      </c>
      <c r="Q53" s="7">
        <f t="shared" si="12"/>
        <v>73214466.605856001</v>
      </c>
      <c r="R53" s="7">
        <f t="shared" si="19"/>
        <v>197950224.52694398</v>
      </c>
      <c r="S53" s="7">
        <f t="shared" si="16"/>
        <v>43434567.836794049</v>
      </c>
    </row>
    <row r="54" spans="7:19">
      <c r="G54" s="2"/>
      <c r="H54" s="2"/>
      <c r="I54" s="2"/>
      <c r="J54" s="2"/>
      <c r="K54" s="2"/>
      <c r="M54">
        <v>51</v>
      </c>
      <c r="N54" s="7">
        <f t="shared" si="17"/>
        <v>335332800</v>
      </c>
      <c r="O54" s="7">
        <f t="shared" si="18"/>
        <v>64168108.867200002</v>
      </c>
      <c r="P54" s="7">
        <f t="shared" si="15"/>
        <v>271164691.13279998</v>
      </c>
      <c r="Q54" s="7">
        <f t="shared" si="12"/>
        <v>73214466.605856001</v>
      </c>
      <c r="R54" s="7">
        <f t="shared" si="19"/>
        <v>197950224.52694398</v>
      </c>
      <c r="S54" s="7">
        <f t="shared" si="16"/>
        <v>42136755.759404406</v>
      </c>
    </row>
    <row r="55" spans="7:19">
      <c r="G55" s="2"/>
      <c r="H55" s="2"/>
      <c r="I55" s="2"/>
      <c r="J55" s="2"/>
      <c r="K55" s="2"/>
      <c r="M55">
        <v>52</v>
      </c>
      <c r="N55" s="7">
        <f t="shared" si="17"/>
        <v>335332800</v>
      </c>
      <c r="O55" s="7">
        <f t="shared" si="18"/>
        <v>64168108.867200002</v>
      </c>
      <c r="P55" s="7">
        <f t="shared" si="15"/>
        <v>271164691.13279998</v>
      </c>
      <c r="Q55" s="7">
        <f t="shared" si="12"/>
        <v>73214466.605856001</v>
      </c>
      <c r="R55" s="7">
        <f t="shared" si="19"/>
        <v>197950224.52694398</v>
      </c>
      <c r="S55" s="7">
        <f t="shared" si="16"/>
        <v>40877721.924140863</v>
      </c>
    </row>
    <row r="56" spans="7:19">
      <c r="G56" s="2"/>
      <c r="H56" s="2"/>
      <c r="I56" s="2"/>
      <c r="J56" s="2"/>
      <c r="K56" s="2"/>
      <c r="M56">
        <v>53</v>
      </c>
      <c r="N56" s="7">
        <f t="shared" si="17"/>
        <v>335332800</v>
      </c>
      <c r="O56" s="7">
        <f t="shared" si="18"/>
        <v>64168108.867200002</v>
      </c>
      <c r="P56" s="7">
        <f t="shared" si="15"/>
        <v>271164691.13279998</v>
      </c>
      <c r="Q56" s="7">
        <f t="shared" si="12"/>
        <v>73214466.605856001</v>
      </c>
      <c r="R56" s="7">
        <f t="shared" si="19"/>
        <v>197950224.52694398</v>
      </c>
      <c r="S56" s="7">
        <f t="shared" si="16"/>
        <v>39656307.648565061</v>
      </c>
    </row>
    <row r="57" spans="7:19">
      <c r="G57" s="2"/>
      <c r="H57" s="2"/>
      <c r="I57" s="2"/>
      <c r="J57" s="2"/>
      <c r="K57" s="2"/>
      <c r="M57">
        <v>54</v>
      </c>
      <c r="N57" s="7">
        <f t="shared" si="17"/>
        <v>335332800</v>
      </c>
      <c r="O57" s="7">
        <f t="shared" si="18"/>
        <v>64168108.867200002</v>
      </c>
      <c r="P57" s="7">
        <f t="shared" si="15"/>
        <v>271164691.13279998</v>
      </c>
      <c r="Q57" s="7">
        <f t="shared" si="12"/>
        <v>73214466.605856001</v>
      </c>
      <c r="R57" s="7">
        <f t="shared" si="19"/>
        <v>197950224.52694398</v>
      </c>
      <c r="S57" s="7">
        <f t="shared" si="16"/>
        <v>38471388.871328145</v>
      </c>
    </row>
    <row r="58" spans="7:19">
      <c r="G58" s="2"/>
      <c r="H58" s="2"/>
      <c r="I58" s="2"/>
      <c r="J58" s="2"/>
      <c r="K58" s="2"/>
      <c r="M58">
        <v>55</v>
      </c>
      <c r="N58" s="7">
        <f t="shared" si="17"/>
        <v>335332800</v>
      </c>
      <c r="O58" s="7">
        <f t="shared" si="18"/>
        <v>64168108.867200002</v>
      </c>
      <c r="P58" s="7">
        <f t="shared" si="15"/>
        <v>271164691.13279998</v>
      </c>
      <c r="Q58" s="7">
        <f t="shared" si="12"/>
        <v>73214466.605856001</v>
      </c>
      <c r="R58" s="7">
        <f t="shared" si="19"/>
        <v>197950224.52694398</v>
      </c>
      <c r="S58" s="7">
        <f t="shared" si="16"/>
        <v>37321875.117702909</v>
      </c>
    </row>
    <row r="59" spans="7:19">
      <c r="G59" s="2"/>
      <c r="H59" s="2"/>
      <c r="I59" s="2"/>
      <c r="J59" s="2"/>
      <c r="K59" s="2"/>
      <c r="N59" s="7"/>
      <c r="O59" s="7"/>
      <c r="P59" s="7"/>
      <c r="Q59" s="7"/>
      <c r="R59" s="7"/>
      <c r="S59" s="7">
        <f>SUM(S3:S58)</f>
        <v>4025831591.2480426</v>
      </c>
    </row>
    <row r="60" spans="7:19">
      <c r="G60" s="2"/>
      <c r="H60" s="2"/>
      <c r="I60" s="2"/>
      <c r="J60" s="2"/>
      <c r="K60" s="2"/>
    </row>
    <row r="61" spans="7:19">
      <c r="G61" s="2"/>
      <c r="H61" s="2"/>
      <c r="I61" s="2"/>
      <c r="J61" s="2"/>
      <c r="K61" s="2"/>
    </row>
    <row r="62" spans="7:19">
      <c r="G62" s="2"/>
      <c r="H62" s="2"/>
      <c r="I62" s="2"/>
      <c r="J62" s="2"/>
      <c r="K62" s="2"/>
    </row>
    <row r="63" spans="7:19">
      <c r="G63" s="2"/>
      <c r="H63" s="2"/>
      <c r="I63" s="2"/>
      <c r="J63" s="2"/>
      <c r="K63" s="2"/>
    </row>
    <row r="64" spans="7:19">
      <c r="G64" s="2"/>
      <c r="H64" s="2"/>
      <c r="I64" s="2"/>
      <c r="J64" s="2"/>
      <c r="K64" s="2"/>
    </row>
    <row r="65" spans="7:11">
      <c r="G65" s="2"/>
      <c r="H65" s="2"/>
      <c r="I65" s="2"/>
      <c r="J65" s="2"/>
      <c r="K65" s="2"/>
    </row>
    <row r="66" spans="7:11">
      <c r="G66" s="2"/>
      <c r="H66" s="2"/>
      <c r="I66" s="2"/>
      <c r="J66" s="2"/>
      <c r="K66" s="2"/>
    </row>
    <row r="67" spans="7:11">
      <c r="G67" s="2"/>
      <c r="H67" s="2"/>
      <c r="I67" s="2"/>
      <c r="J67" s="2"/>
      <c r="K67" s="2"/>
    </row>
    <row r="68" spans="7:11">
      <c r="G68" s="2"/>
      <c r="H68" s="2"/>
      <c r="I68" s="2"/>
      <c r="J68" s="2"/>
      <c r="K68" s="2"/>
    </row>
    <row r="69" spans="7:11">
      <c r="G69" s="2"/>
      <c r="H69" s="2"/>
      <c r="I69" s="2"/>
      <c r="J69" s="2"/>
      <c r="K69" s="2"/>
    </row>
    <row r="70" spans="7:11">
      <c r="G70" s="2"/>
      <c r="H70" s="2"/>
      <c r="I70" s="2"/>
      <c r="J70" s="2"/>
      <c r="K7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E4C1-734B-4C45-BE22-E407205E418F}">
  <dimension ref="A1:O70"/>
  <sheetViews>
    <sheetView workbookViewId="0" xr3:uid="{4C95CDFB-2953-5ECD-9383-79391E9F1C9F}">
      <selection activeCell="A45" sqref="A45"/>
    </sheetView>
  </sheetViews>
  <sheetFormatPr defaultRowHeight="15"/>
  <cols>
    <col min="1" max="1" width="19.140625" customWidth="1"/>
    <col min="2" max="2" width="18" customWidth="1"/>
    <col min="3" max="3" width="18.28515625" customWidth="1"/>
    <col min="4" max="5" width="9.140625" bestFit="1" customWidth="1"/>
    <col min="6" max="6" width="15.85546875" style="2" bestFit="1" customWidth="1"/>
    <col min="7" max="7" width="17.5703125" bestFit="1" customWidth="1"/>
    <col min="8" max="9" width="18.5703125" bestFit="1" customWidth="1"/>
    <col min="10" max="11" width="9.140625" bestFit="1" customWidth="1"/>
    <col min="12" max="12" width="15.140625" bestFit="1" customWidth="1"/>
    <col min="13" max="13" width="16.28515625" bestFit="1" customWidth="1"/>
    <col min="14" max="14" width="20.85546875" customWidth="1"/>
    <col min="15" max="15" width="17.5703125" customWidth="1"/>
    <col min="16384" max="16384" width="9.140625" bestFit="1" customWidth="1"/>
  </cols>
  <sheetData>
    <row r="1" spans="1:15">
      <c r="A1" t="s">
        <v>0</v>
      </c>
      <c r="B1" t="s">
        <v>1</v>
      </c>
      <c r="C1" t="s">
        <v>2</v>
      </c>
      <c r="E1" t="s">
        <v>3</v>
      </c>
    </row>
    <row r="2" spans="1:15">
      <c r="A2" t="s">
        <v>4</v>
      </c>
      <c r="B2">
        <v>3</v>
      </c>
      <c r="C2">
        <v>5</v>
      </c>
      <c r="E2" t="s">
        <v>5</v>
      </c>
      <c r="F2" s="2" t="s">
        <v>6</v>
      </c>
      <c r="G2" t="s">
        <v>7</v>
      </c>
      <c r="H2" t="s">
        <v>8</v>
      </c>
      <c r="I2" t="s">
        <v>9</v>
      </c>
      <c r="K2" t="s">
        <v>5</v>
      </c>
      <c r="L2" t="s">
        <v>6</v>
      </c>
      <c r="M2" t="s">
        <v>7</v>
      </c>
      <c r="N2" t="s">
        <v>8</v>
      </c>
      <c r="O2" t="s">
        <v>9</v>
      </c>
    </row>
    <row r="3" spans="1:15">
      <c r="A3" t="s">
        <v>10</v>
      </c>
      <c r="B3">
        <v>30</v>
      </c>
      <c r="C3">
        <v>50</v>
      </c>
      <c r="E3">
        <v>0</v>
      </c>
      <c r="F3" s="2">
        <v>0</v>
      </c>
      <c r="G3" s="2">
        <f>B12</f>
        <v>1115200000</v>
      </c>
      <c r="H3" s="2">
        <f t="shared" ref="H3:H36" si="0">$F3-$G3</f>
        <v>-1115200000</v>
      </c>
      <c r="I3" s="2">
        <f t="shared" ref="I3:I36" si="1">H3/(1+$B$15)^E3</f>
        <v>-1115200000</v>
      </c>
      <c r="J3" s="2"/>
      <c r="K3">
        <v>0</v>
      </c>
      <c r="L3" s="7">
        <v>0</v>
      </c>
      <c r="M3" s="7">
        <f>C12</f>
        <v>366800000</v>
      </c>
      <c r="N3" s="7">
        <f t="shared" ref="N3:N34" si="2">L3-M3</f>
        <v>-366800000</v>
      </c>
      <c r="O3" s="7">
        <f t="shared" ref="O3:O34" si="3">N3/(1+$B$15)^K3</f>
        <v>-366800000</v>
      </c>
    </row>
    <row r="4" spans="1:15">
      <c r="A4" t="s">
        <v>11</v>
      </c>
      <c r="B4" s="1">
        <v>2788000</v>
      </c>
      <c r="C4" s="1">
        <v>917000</v>
      </c>
      <c r="E4">
        <v>1</v>
      </c>
      <c r="F4" s="2">
        <v>0</v>
      </c>
      <c r="G4" s="2">
        <v>0</v>
      </c>
      <c r="H4" s="2">
        <f t="shared" si="0"/>
        <v>0</v>
      </c>
      <c r="I4" s="2">
        <f t="shared" si="1"/>
        <v>0</v>
      </c>
      <c r="J4" s="2"/>
      <c r="K4">
        <v>1</v>
      </c>
      <c r="L4" s="7">
        <v>0</v>
      </c>
      <c r="M4" s="7">
        <v>0</v>
      </c>
      <c r="N4" s="7">
        <f t="shared" si="2"/>
        <v>0</v>
      </c>
      <c r="O4" s="7">
        <f t="shared" si="3"/>
        <v>0</v>
      </c>
    </row>
    <row r="5" spans="1:15">
      <c r="A5" t="s">
        <v>12</v>
      </c>
      <c r="B5" s="1">
        <v>49000</v>
      </c>
      <c r="C5" s="1">
        <v>13170</v>
      </c>
      <c r="E5">
        <v>2</v>
      </c>
      <c r="F5" s="2">
        <v>0</v>
      </c>
      <c r="G5" s="2">
        <v>0</v>
      </c>
      <c r="H5" s="2">
        <f t="shared" si="0"/>
        <v>0</v>
      </c>
      <c r="I5" s="2">
        <f t="shared" si="1"/>
        <v>0</v>
      </c>
      <c r="J5" s="2"/>
      <c r="K5">
        <v>2</v>
      </c>
      <c r="L5" s="7">
        <v>0</v>
      </c>
      <c r="M5" s="7">
        <v>0</v>
      </c>
      <c r="N5" s="7">
        <f t="shared" si="2"/>
        <v>0</v>
      </c>
      <c r="O5" s="7">
        <f t="shared" si="3"/>
        <v>0</v>
      </c>
    </row>
    <row r="6" spans="1:15">
      <c r="A6" t="s">
        <v>13</v>
      </c>
      <c r="B6">
        <v>0</v>
      </c>
      <c r="C6">
        <v>183</v>
      </c>
      <c r="E6">
        <v>3</v>
      </c>
      <c r="F6" s="2">
        <v>0</v>
      </c>
      <c r="G6" s="2">
        <v>0</v>
      </c>
      <c r="H6" s="2">
        <f t="shared" si="0"/>
        <v>0</v>
      </c>
      <c r="I6" s="2">
        <f t="shared" si="1"/>
        <v>0</v>
      </c>
      <c r="J6" s="2"/>
      <c r="K6">
        <v>3</v>
      </c>
      <c r="L6" s="7">
        <v>0</v>
      </c>
      <c r="M6" s="7">
        <v>0</v>
      </c>
      <c r="N6" s="7">
        <f t="shared" si="2"/>
        <v>0</v>
      </c>
      <c r="O6" s="7">
        <f t="shared" si="3"/>
        <v>0</v>
      </c>
    </row>
    <row r="7" spans="1:15">
      <c r="A7" t="s">
        <v>14</v>
      </c>
      <c r="B7">
        <v>0.37</v>
      </c>
      <c r="C7">
        <v>0.87</v>
      </c>
      <c r="E7">
        <v>4</v>
      </c>
      <c r="F7" s="2">
        <f t="shared" ref="F7:F36" si="4">$B$11</f>
        <v>142612800</v>
      </c>
      <c r="G7" s="2">
        <f t="shared" ref="G7:G36" si="5">$B$13</f>
        <v>19600000</v>
      </c>
      <c r="H7" s="2">
        <f t="shared" si="0"/>
        <v>123012800</v>
      </c>
      <c r="I7" s="2">
        <f t="shared" si="1"/>
        <v>108956379.69124603</v>
      </c>
      <c r="J7" s="2"/>
      <c r="K7">
        <v>4</v>
      </c>
      <c r="L7" s="7">
        <v>0</v>
      </c>
      <c r="M7" s="7">
        <v>0</v>
      </c>
      <c r="N7" s="7">
        <f t="shared" si="2"/>
        <v>0</v>
      </c>
      <c r="O7" s="7">
        <f t="shared" si="3"/>
        <v>0</v>
      </c>
    </row>
    <row r="8" spans="1:15">
      <c r="A8" t="s">
        <v>15</v>
      </c>
      <c r="B8">
        <v>400</v>
      </c>
      <c r="C8">
        <v>400</v>
      </c>
      <c r="E8">
        <v>5</v>
      </c>
      <c r="F8" s="2">
        <f t="shared" si="4"/>
        <v>142612800</v>
      </c>
      <c r="G8" s="2">
        <f t="shared" si="5"/>
        <v>19600000</v>
      </c>
      <c r="H8" s="2">
        <f t="shared" si="0"/>
        <v>123012800</v>
      </c>
      <c r="I8" s="2">
        <f t="shared" si="1"/>
        <v>105700795.19911334</v>
      </c>
      <c r="J8" s="2"/>
      <c r="K8">
        <v>5</v>
      </c>
      <c r="L8" s="7">
        <v>0</v>
      </c>
      <c r="M8" s="7">
        <v>0</v>
      </c>
      <c r="N8" s="7">
        <f t="shared" si="2"/>
        <v>0</v>
      </c>
      <c r="O8" s="7">
        <f t="shared" si="3"/>
        <v>0</v>
      </c>
    </row>
    <row r="9" spans="1:15">
      <c r="A9" t="s">
        <v>16</v>
      </c>
      <c r="B9" s="1">
        <v>110</v>
      </c>
      <c r="C9" s="1">
        <v>110</v>
      </c>
      <c r="E9">
        <v>6</v>
      </c>
      <c r="F9" s="2">
        <f t="shared" si="4"/>
        <v>142612800</v>
      </c>
      <c r="G9" s="2">
        <f t="shared" si="5"/>
        <v>19600000</v>
      </c>
      <c r="H9" s="2">
        <f t="shared" si="0"/>
        <v>123012800</v>
      </c>
      <c r="I9" s="2">
        <f t="shared" si="1"/>
        <v>102542486.61147976</v>
      </c>
      <c r="J9" s="2"/>
      <c r="K9">
        <v>6</v>
      </c>
      <c r="L9" s="3">
        <f t="shared" ref="L9:L40" si="6">$C$11</f>
        <v>335332800</v>
      </c>
      <c r="M9" s="6">
        <f>$C$13+$C$6*$A$17*$C$10+50*'Carbon Tax'!$B$6</f>
        <v>91769412.578587338</v>
      </c>
      <c r="N9" s="3">
        <f t="shared" si="2"/>
        <v>243563387.42141265</v>
      </c>
      <c r="O9" s="2">
        <f t="shared" si="3"/>
        <v>203032492.50246206</v>
      </c>
    </row>
    <row r="10" spans="1:15">
      <c r="A10" t="s">
        <v>17</v>
      </c>
      <c r="B10">
        <f>365*24*B8*B7</f>
        <v>1296480</v>
      </c>
      <c r="C10">
        <f>365*24*C8*C7</f>
        <v>3048480</v>
      </c>
      <c r="E10">
        <v>7</v>
      </c>
      <c r="F10" s="2">
        <f t="shared" si="4"/>
        <v>142612800</v>
      </c>
      <c r="G10" s="2">
        <f t="shared" si="5"/>
        <v>19600000</v>
      </c>
      <c r="H10" s="2">
        <f t="shared" si="0"/>
        <v>123012800</v>
      </c>
      <c r="I10" s="2">
        <f t="shared" si="1"/>
        <v>99478547.353007168</v>
      </c>
      <c r="J10" s="2"/>
      <c r="K10">
        <v>7</v>
      </c>
      <c r="L10" s="3">
        <f t="shared" si="6"/>
        <v>335332800</v>
      </c>
      <c r="M10" s="6">
        <f>$C$13+$C$6*$A$17*$C$10+50*'Carbon Tax'!$B$6</f>
        <v>91769412.578587338</v>
      </c>
      <c r="N10" s="3">
        <f t="shared" si="2"/>
        <v>243563387.42141265</v>
      </c>
      <c r="O10" s="2">
        <f t="shared" si="3"/>
        <v>196965941.50413474</v>
      </c>
    </row>
    <row r="11" spans="1:15">
      <c r="A11" t="s">
        <v>18</v>
      </c>
      <c r="B11" s="1">
        <f>B10*B9</f>
        <v>142612800</v>
      </c>
      <c r="C11" s="3">
        <f>C10*C9</f>
        <v>335332800</v>
      </c>
      <c r="E11">
        <v>8</v>
      </c>
      <c r="F11" s="2">
        <f t="shared" si="4"/>
        <v>142612800</v>
      </c>
      <c r="G11" s="2">
        <f t="shared" si="5"/>
        <v>19600000</v>
      </c>
      <c r="H11" s="2">
        <f t="shared" si="0"/>
        <v>123012800</v>
      </c>
      <c r="I11" s="2">
        <f t="shared" si="1"/>
        <v>96506157.695971236</v>
      </c>
      <c r="J11" s="2"/>
      <c r="K11">
        <v>8</v>
      </c>
      <c r="L11" s="3">
        <f t="shared" si="6"/>
        <v>335332800</v>
      </c>
      <c r="M11" s="6">
        <f>$C$13+$C$6*$A$17*$C$10+50*'Carbon Tax'!$B$6</f>
        <v>91769412.578587338</v>
      </c>
      <c r="N11" s="3">
        <f t="shared" si="2"/>
        <v>243563387.42141265</v>
      </c>
      <c r="O11" s="2">
        <f t="shared" si="3"/>
        <v>191080657.26051098</v>
      </c>
    </row>
    <row r="12" spans="1:15">
      <c r="A12" t="s">
        <v>19</v>
      </c>
      <c r="B12" s="2">
        <f>B4*B8</f>
        <v>1115200000</v>
      </c>
      <c r="C12" s="3">
        <f>C4*C8</f>
        <v>366800000</v>
      </c>
      <c r="E12">
        <v>9</v>
      </c>
      <c r="F12" s="2">
        <f t="shared" si="4"/>
        <v>142612800</v>
      </c>
      <c r="G12" s="2">
        <f t="shared" si="5"/>
        <v>19600000</v>
      </c>
      <c r="H12" s="2">
        <f t="shared" si="0"/>
        <v>123012800</v>
      </c>
      <c r="I12" s="2">
        <f t="shared" si="1"/>
        <v>93622582.165280595</v>
      </c>
      <c r="J12" s="2"/>
      <c r="K12">
        <v>9</v>
      </c>
      <c r="L12" s="3">
        <f t="shared" si="6"/>
        <v>335332800</v>
      </c>
      <c r="M12" s="6">
        <f>$C$13+$C$6*$A$17*$C$10+50*'Carbon Tax'!$B$6</f>
        <v>91769412.578587338</v>
      </c>
      <c r="N12" s="3">
        <f t="shared" si="2"/>
        <v>243563387.42141265</v>
      </c>
      <c r="O12" s="2">
        <f t="shared" si="3"/>
        <v>185371223.57441887</v>
      </c>
    </row>
    <row r="13" spans="1:15">
      <c r="A13" t="s">
        <v>20</v>
      </c>
      <c r="B13" s="1">
        <f>B5*B8</f>
        <v>19600000</v>
      </c>
      <c r="C13" s="1">
        <f>C5*C8</f>
        <v>5268000</v>
      </c>
      <c r="E13">
        <v>10</v>
      </c>
      <c r="F13" s="2">
        <f t="shared" si="4"/>
        <v>142612800</v>
      </c>
      <c r="G13" s="2">
        <f t="shared" si="5"/>
        <v>19600000</v>
      </c>
      <c r="H13" s="2">
        <f t="shared" si="0"/>
        <v>123012800</v>
      </c>
      <c r="I13" s="2">
        <f t="shared" si="1"/>
        <v>90825167.02103278</v>
      </c>
      <c r="J13" s="2"/>
      <c r="K13">
        <v>10</v>
      </c>
      <c r="L13" s="3">
        <f t="shared" si="6"/>
        <v>335332800</v>
      </c>
      <c r="M13" s="6">
        <f>$C$13+$C$6*$A$17*$C$10+50*'Carbon Tax'!$B$6</f>
        <v>91769412.578587338</v>
      </c>
      <c r="N13" s="3">
        <f t="shared" si="2"/>
        <v>243563387.42141265</v>
      </c>
      <c r="O13" s="2">
        <f t="shared" si="3"/>
        <v>179832386.08306062</v>
      </c>
    </row>
    <row r="14" spans="1:15">
      <c r="A14" t="s">
        <v>21</v>
      </c>
      <c r="B14">
        <v>0.27</v>
      </c>
      <c r="C14">
        <v>0.27</v>
      </c>
      <c r="E14">
        <v>11</v>
      </c>
      <c r="F14" s="2">
        <f t="shared" si="4"/>
        <v>142612800</v>
      </c>
      <c r="G14" s="2">
        <f t="shared" si="5"/>
        <v>19600000</v>
      </c>
      <c r="H14" s="2">
        <f t="shared" si="0"/>
        <v>123012800</v>
      </c>
      <c r="I14" s="2">
        <f t="shared" si="1"/>
        <v>88111337.816291034</v>
      </c>
      <c r="J14" s="2"/>
      <c r="K14">
        <v>11</v>
      </c>
      <c r="L14" s="3">
        <f t="shared" si="6"/>
        <v>335332800</v>
      </c>
      <c r="M14" s="6">
        <f>$C$13+$C$6*$A$17*$C$10+50*'Carbon Tax'!$B$6</f>
        <v>91769412.578587338</v>
      </c>
      <c r="N14" s="3">
        <f t="shared" si="2"/>
        <v>243563387.42141265</v>
      </c>
      <c r="O14" s="2">
        <f t="shared" si="3"/>
        <v>174459047.4224492</v>
      </c>
    </row>
    <row r="15" spans="1:15">
      <c r="A15" t="s">
        <v>22</v>
      </c>
      <c r="B15">
        <v>3.0800000000000001E-2</v>
      </c>
      <c r="E15">
        <v>12</v>
      </c>
      <c r="F15" s="2">
        <f t="shared" si="4"/>
        <v>142612800</v>
      </c>
      <c r="G15" s="2">
        <f t="shared" si="5"/>
        <v>19600000</v>
      </c>
      <c r="H15" s="2">
        <f t="shared" si="0"/>
        <v>123012800</v>
      </c>
      <c r="I15" s="2">
        <f t="shared" si="1"/>
        <v>85478597.027833745</v>
      </c>
      <c r="J15" s="2"/>
      <c r="K15">
        <v>12</v>
      </c>
      <c r="L15" s="3">
        <f t="shared" si="6"/>
        <v>335332800</v>
      </c>
      <c r="M15" s="6">
        <f>$C$13+$C$6*$A$17*$C$10+50*'Carbon Tax'!$B$6</f>
        <v>91769412.578587338</v>
      </c>
      <c r="N15" s="3">
        <f t="shared" si="2"/>
        <v>243563387.42141265</v>
      </c>
      <c r="O15" s="2">
        <f t="shared" si="3"/>
        <v>169246262.53633022</v>
      </c>
    </row>
    <row r="16" spans="1:15">
      <c r="A16" t="s">
        <v>24</v>
      </c>
      <c r="B16" t="s">
        <v>25</v>
      </c>
      <c r="E16">
        <v>13</v>
      </c>
      <c r="F16" s="2">
        <f t="shared" si="4"/>
        <v>142612800</v>
      </c>
      <c r="G16" s="2">
        <f t="shared" si="5"/>
        <v>19600000</v>
      </c>
      <c r="H16" s="2">
        <f t="shared" si="0"/>
        <v>123012800</v>
      </c>
      <c r="I16" s="2">
        <f t="shared" si="1"/>
        <v>82924521.757696688</v>
      </c>
      <c r="J16" s="2"/>
      <c r="K16">
        <v>13</v>
      </c>
      <c r="L16" s="3">
        <f t="shared" si="6"/>
        <v>335332800</v>
      </c>
      <c r="M16" s="6">
        <f>$C$13+$C$6*$A$17*$C$10+50*'Carbon Tax'!$B$6</f>
        <v>91769412.578587338</v>
      </c>
      <c r="N16" s="3">
        <f t="shared" si="2"/>
        <v>243563387.42141265</v>
      </c>
      <c r="O16" s="2">
        <f t="shared" si="3"/>
        <v>164189234.12527186</v>
      </c>
    </row>
    <row r="17" spans="1:15">
      <c r="A17">
        <f>10.558/100</f>
        <v>0.10557999999999999</v>
      </c>
      <c r="B17" t="s">
        <v>26</v>
      </c>
      <c r="C17" t="s">
        <v>27</v>
      </c>
      <c r="E17">
        <v>14</v>
      </c>
      <c r="F17" s="2">
        <f t="shared" si="4"/>
        <v>142612800</v>
      </c>
      <c r="G17" s="2">
        <f t="shared" si="5"/>
        <v>19600000</v>
      </c>
      <c r="H17" s="2">
        <f t="shared" si="0"/>
        <v>123012800</v>
      </c>
      <c r="I17" s="2">
        <f t="shared" si="1"/>
        <v>80446761.503392205</v>
      </c>
      <c r="J17" s="2"/>
      <c r="K17">
        <v>14</v>
      </c>
      <c r="L17" s="3">
        <f t="shared" si="6"/>
        <v>335332800</v>
      </c>
      <c r="M17" s="6">
        <f>$C$13+$C$6*$A$17*$C$10+50*'Carbon Tax'!$B$6</f>
        <v>91769412.578587338</v>
      </c>
      <c r="N17" s="3">
        <f t="shared" si="2"/>
        <v>243563387.42141265</v>
      </c>
      <c r="O17" s="2">
        <f t="shared" si="3"/>
        <v>159283308.23173442</v>
      </c>
    </row>
    <row r="18" spans="1:15">
      <c r="A18">
        <f>17.7694/100</f>
        <v>0.17769400000000002</v>
      </c>
      <c r="B18" t="s">
        <v>26</v>
      </c>
      <c r="C18" t="s">
        <v>28</v>
      </c>
      <c r="E18">
        <v>15</v>
      </c>
      <c r="F18" s="2">
        <f t="shared" si="4"/>
        <v>142612800</v>
      </c>
      <c r="G18" s="2">
        <f t="shared" si="5"/>
        <v>19600000</v>
      </c>
      <c r="H18" s="2">
        <f t="shared" si="0"/>
        <v>123012800</v>
      </c>
      <c r="I18" s="2">
        <f t="shared" si="1"/>
        <v>78043035.994753808</v>
      </c>
      <c r="J18" s="2"/>
      <c r="K18">
        <v>15</v>
      </c>
      <c r="L18" s="3">
        <f t="shared" si="6"/>
        <v>335332800</v>
      </c>
      <c r="M18" s="6">
        <f>$C$13+$C$6*$A$17*$C$10+50*'Carbon Tax'!$B$6</f>
        <v>91769412.578587338</v>
      </c>
      <c r="N18" s="3">
        <f t="shared" si="2"/>
        <v>243563387.42141265</v>
      </c>
      <c r="O18" s="2">
        <f t="shared" si="3"/>
        <v>154523969.95705709</v>
      </c>
    </row>
    <row r="19" spans="1:15">
      <c r="E19">
        <v>16</v>
      </c>
      <c r="F19" s="2">
        <f t="shared" si="4"/>
        <v>142612800</v>
      </c>
      <c r="G19" s="2">
        <f t="shared" si="5"/>
        <v>19600000</v>
      </c>
      <c r="H19" s="2">
        <f t="shared" si="0"/>
        <v>123012800</v>
      </c>
      <c r="I19" s="2">
        <f t="shared" si="1"/>
        <v>75711133.095415011</v>
      </c>
      <c r="J19" s="2"/>
      <c r="K19">
        <v>16</v>
      </c>
      <c r="L19" s="3">
        <f t="shared" si="6"/>
        <v>335332800</v>
      </c>
      <c r="M19" s="6">
        <f>$C$13+$C$6*$A$17*$C$10+50*'Carbon Tax'!$B$6</f>
        <v>91769412.578587338</v>
      </c>
      <c r="N19" s="3">
        <f t="shared" si="2"/>
        <v>243563387.42141265</v>
      </c>
      <c r="O19" s="2">
        <f t="shared" si="3"/>
        <v>149906839.30641934</v>
      </c>
    </row>
    <row r="20" spans="1:15">
      <c r="A20" t="s">
        <v>29</v>
      </c>
      <c r="B20">
        <v>33</v>
      </c>
      <c r="C20">
        <v>55</v>
      </c>
      <c r="E20">
        <v>17</v>
      </c>
      <c r="F20" s="2">
        <f t="shared" si="4"/>
        <v>142612800</v>
      </c>
      <c r="G20" s="2">
        <f t="shared" si="5"/>
        <v>19600000</v>
      </c>
      <c r="H20" s="2">
        <f t="shared" si="0"/>
        <v>123012800</v>
      </c>
      <c r="I20" s="2">
        <f t="shared" si="1"/>
        <v>73448906.76699166</v>
      </c>
      <c r="J20" s="2"/>
      <c r="K20">
        <v>17</v>
      </c>
      <c r="L20" s="3">
        <f t="shared" si="6"/>
        <v>335332800</v>
      </c>
      <c r="M20" s="6">
        <f>$C$13+$C$6*$A$17*$C$10+50*'Carbon Tax'!$B$6</f>
        <v>91769412.578587338</v>
      </c>
      <c r="N20" s="3">
        <f t="shared" si="2"/>
        <v>243563387.42141265</v>
      </c>
      <c r="O20" s="2">
        <f t="shared" si="3"/>
        <v>145427667.15795437</v>
      </c>
    </row>
    <row r="21" spans="1:15">
      <c r="A21" t="s">
        <v>30</v>
      </c>
      <c r="B21">
        <v>165</v>
      </c>
      <c r="E21">
        <v>18</v>
      </c>
      <c r="F21" s="2">
        <f t="shared" si="4"/>
        <v>142612800</v>
      </c>
      <c r="G21" s="2">
        <f t="shared" si="5"/>
        <v>19600000</v>
      </c>
      <c r="H21" s="2">
        <f t="shared" si="0"/>
        <v>123012800</v>
      </c>
      <c r="I21" s="2">
        <f t="shared" si="1"/>
        <v>71254275.094093591</v>
      </c>
      <c r="J21" s="2"/>
      <c r="K21">
        <v>18</v>
      </c>
      <c r="L21" s="3">
        <f t="shared" si="6"/>
        <v>335332800</v>
      </c>
      <c r="M21" s="6">
        <f>$C$13+$C$6*$A$17*$C$10+50*'Carbon Tax'!$B$6</f>
        <v>91769412.578587338</v>
      </c>
      <c r="N21" s="3">
        <f t="shared" si="2"/>
        <v>243563387.42141265</v>
      </c>
      <c r="O21" s="2">
        <f t="shared" si="3"/>
        <v>141082331.35230342</v>
      </c>
    </row>
    <row r="22" spans="1:15">
      <c r="A22" t="s">
        <v>31</v>
      </c>
      <c r="B22">
        <v>5</v>
      </c>
      <c r="C22">
        <v>3</v>
      </c>
      <c r="E22">
        <v>19</v>
      </c>
      <c r="F22" s="2">
        <f t="shared" si="4"/>
        <v>142612800</v>
      </c>
      <c r="G22" s="2">
        <f t="shared" si="5"/>
        <v>19600000</v>
      </c>
      <c r="H22" s="2">
        <f t="shared" si="0"/>
        <v>123012800</v>
      </c>
      <c r="I22" s="2">
        <f t="shared" si="1"/>
        <v>69125218.368348464</v>
      </c>
      <c r="J22" s="2"/>
      <c r="K22">
        <v>19</v>
      </c>
      <c r="L22" s="3">
        <f t="shared" si="6"/>
        <v>335332800</v>
      </c>
      <c r="M22" s="6">
        <f>$C$13+$C$6*$A$17*$C$10+50*'Carbon Tax'!$B$6</f>
        <v>91769412.578587338</v>
      </c>
      <c r="N22" s="3">
        <f t="shared" si="2"/>
        <v>243563387.42141265</v>
      </c>
      <c r="O22" s="2">
        <f t="shared" si="3"/>
        <v>136866832.89901382</v>
      </c>
    </row>
    <row r="23" spans="1:15">
      <c r="A23" t="s">
        <v>9</v>
      </c>
      <c r="B23" s="2">
        <f>I37</f>
        <v>1063578304.815076</v>
      </c>
      <c r="C23" s="2">
        <f>O59</f>
        <v>4937227082.0076208</v>
      </c>
      <c r="E23">
        <v>20</v>
      </c>
      <c r="F23" s="2">
        <f t="shared" si="4"/>
        <v>142612800</v>
      </c>
      <c r="G23" s="2">
        <f t="shared" si="5"/>
        <v>19600000</v>
      </c>
      <c r="H23" s="2">
        <f t="shared" si="0"/>
        <v>123012800</v>
      </c>
      <c r="I23" s="2">
        <f t="shared" si="1"/>
        <v>67059777.229674481</v>
      </c>
      <c r="J23" s="2"/>
      <c r="K23">
        <v>20</v>
      </c>
      <c r="L23" s="3">
        <f t="shared" si="6"/>
        <v>335332800</v>
      </c>
      <c r="M23" s="6">
        <f>$C$13+$C$6*$A$17*$C$10+50*'Carbon Tax'!$B$6</f>
        <v>91769412.578587338</v>
      </c>
      <c r="N23" s="3">
        <f t="shared" si="2"/>
        <v>243563387.42141265</v>
      </c>
      <c r="O23" s="2">
        <f t="shared" si="3"/>
        <v>132777292.29628812</v>
      </c>
    </row>
    <row r="24" spans="1:15">
      <c r="A24" t="s">
        <v>32</v>
      </c>
      <c r="B24" s="2">
        <f>B23+B23/(1+B15)^33+B23/(1+B15)^(33*2)+B23/(1+B15)^(33*3)+B23/(1+B15)^(33*4)</f>
        <v>1670247777.9409926</v>
      </c>
      <c r="C24" s="2">
        <f>C23+C23/(1+B15)^55+C23/(1+B15)^110</f>
        <v>6043608794.8732681</v>
      </c>
      <c r="E24">
        <v>21</v>
      </c>
      <c r="F24" s="2">
        <f t="shared" si="4"/>
        <v>142612800</v>
      </c>
      <c r="G24" s="2">
        <f t="shared" si="5"/>
        <v>19600000</v>
      </c>
      <c r="H24" s="2">
        <f t="shared" si="0"/>
        <v>123012800</v>
      </c>
      <c r="I24" s="2">
        <f t="shared" si="1"/>
        <v>65056050.863091268</v>
      </c>
      <c r="J24" s="2"/>
      <c r="K24">
        <v>21</v>
      </c>
      <c r="L24" s="3">
        <f t="shared" si="6"/>
        <v>335332800</v>
      </c>
      <c r="M24" s="6">
        <f>$C$13+$C$6*$A$17*$C$10+50*'Carbon Tax'!$B$6</f>
        <v>91769412.578587338</v>
      </c>
      <c r="N24" s="3">
        <f t="shared" si="2"/>
        <v>243563387.42141265</v>
      </c>
      <c r="O24" s="2">
        <f t="shared" si="3"/>
        <v>128809945.9606986</v>
      </c>
    </row>
    <row r="25" spans="1:15">
      <c r="A25" t="s">
        <v>33</v>
      </c>
      <c r="B25" s="8">
        <f>MIRR(H3:H36,B15,B15)</f>
        <v>5.1933674093792126E-2</v>
      </c>
      <c r="C25" s="8">
        <f>MIRR(N3:N58,B15,B15)</f>
        <v>8.2102813826908427E-2</v>
      </c>
      <c r="E25">
        <v>22</v>
      </c>
      <c r="F25" s="2">
        <f t="shared" si="4"/>
        <v>142612800</v>
      </c>
      <c r="G25" s="2">
        <f t="shared" si="5"/>
        <v>19600000</v>
      </c>
      <c r="H25" s="2">
        <f t="shared" si="0"/>
        <v>123012800</v>
      </c>
      <c r="I25" s="2">
        <f t="shared" si="1"/>
        <v>63112195.249409452</v>
      </c>
      <c r="J25" s="2"/>
      <c r="K25">
        <v>22</v>
      </c>
      <c r="L25" s="3">
        <f t="shared" si="6"/>
        <v>335332800</v>
      </c>
      <c r="M25" s="6">
        <f>$C$13+$C$6*$A$17*$C$10+50*'Carbon Tax'!$B$6</f>
        <v>91769412.578587338</v>
      </c>
      <c r="N25" s="3">
        <f t="shared" si="2"/>
        <v>243563387.42141265</v>
      </c>
      <c r="O25" s="2">
        <f t="shared" si="3"/>
        <v>124961142.76358032</v>
      </c>
    </row>
    <row r="26" spans="1:15">
      <c r="E26">
        <v>23</v>
      </c>
      <c r="F26" s="2">
        <f t="shared" si="4"/>
        <v>142612800</v>
      </c>
      <c r="G26" s="2">
        <f t="shared" si="5"/>
        <v>19600000</v>
      </c>
      <c r="H26" s="2">
        <f t="shared" si="0"/>
        <v>123012800</v>
      </c>
      <c r="I26" s="2">
        <f t="shared" si="1"/>
        <v>61226421.46818924</v>
      </c>
      <c r="J26" s="2"/>
      <c r="K26">
        <v>23</v>
      </c>
      <c r="L26" s="3">
        <f t="shared" si="6"/>
        <v>335332800</v>
      </c>
      <c r="M26" s="6">
        <f>$C$13+$C$6*$A$17*$C$10+50*'Carbon Tax'!$B$6</f>
        <v>91769412.578587338</v>
      </c>
      <c r="N26" s="3">
        <f t="shared" si="2"/>
        <v>243563387.42141265</v>
      </c>
      <c r="O26" s="2">
        <f t="shared" si="3"/>
        <v>121227340.67091614</v>
      </c>
    </row>
    <row r="27" spans="1:15">
      <c r="E27">
        <v>24</v>
      </c>
      <c r="F27" s="2">
        <f t="shared" si="4"/>
        <v>142612800</v>
      </c>
      <c r="G27" s="2">
        <f t="shared" si="5"/>
        <v>19600000</v>
      </c>
      <c r="H27" s="2">
        <f t="shared" si="0"/>
        <v>123012800</v>
      </c>
      <c r="I27" s="2">
        <f t="shared" si="1"/>
        <v>59396994.051405929</v>
      </c>
      <c r="J27" s="2"/>
      <c r="K27">
        <v>24</v>
      </c>
      <c r="L27" s="3">
        <f t="shared" si="6"/>
        <v>335332800</v>
      </c>
      <c r="M27" s="6">
        <f>$C$13+$C$6*$A$17*$C$10+50*'Carbon Tax'!$B$6</f>
        <v>91769412.578587338</v>
      </c>
      <c r="N27" s="3">
        <f t="shared" si="2"/>
        <v>243563387.42141265</v>
      </c>
      <c r="O27" s="2">
        <f t="shared" si="3"/>
        <v>117605103.4836206</v>
      </c>
    </row>
    <row r="28" spans="1:15">
      <c r="E28">
        <v>25</v>
      </c>
      <c r="F28" s="2">
        <f t="shared" si="4"/>
        <v>142612800</v>
      </c>
      <c r="G28" s="2">
        <f t="shared" si="5"/>
        <v>19600000</v>
      </c>
      <c r="H28" s="2">
        <f t="shared" si="0"/>
        <v>123012800</v>
      </c>
      <c r="I28" s="2">
        <f t="shared" si="1"/>
        <v>57622229.386307657</v>
      </c>
      <c r="J28" s="2"/>
      <c r="K28">
        <v>25</v>
      </c>
      <c r="L28" s="3">
        <f t="shared" si="6"/>
        <v>335332800</v>
      </c>
      <c r="M28" s="6">
        <f>$C$13+$C$6*$A$17*$C$10+50*'Carbon Tax'!$B$6</f>
        <v>91769412.578587338</v>
      </c>
      <c r="N28" s="3">
        <f t="shared" si="2"/>
        <v>243563387.42141265</v>
      </c>
      <c r="O28" s="2">
        <f t="shared" si="3"/>
        <v>114091097.67522372</v>
      </c>
    </row>
    <row r="29" spans="1:15">
      <c r="E29">
        <v>26</v>
      </c>
      <c r="F29" s="2">
        <f t="shared" si="4"/>
        <v>142612800</v>
      </c>
      <c r="G29" s="2">
        <f t="shared" si="5"/>
        <v>19600000</v>
      </c>
      <c r="H29" s="2">
        <f t="shared" si="0"/>
        <v>123012800</v>
      </c>
      <c r="I29" s="2">
        <f t="shared" si="1"/>
        <v>55900494.165995009</v>
      </c>
      <c r="J29" s="2"/>
      <c r="K29">
        <v>26</v>
      </c>
      <c r="L29" s="3">
        <f t="shared" si="6"/>
        <v>335332800</v>
      </c>
      <c r="M29" s="6">
        <f>$C$13+$C$6*$A$17*$C$10+50*'Carbon Tax'!$B$6</f>
        <v>91769412.578587338</v>
      </c>
      <c r="N29" s="3">
        <f t="shared" si="2"/>
        <v>243563387.42141265</v>
      </c>
      <c r="O29" s="2">
        <f t="shared" si="3"/>
        <v>110682089.32404318</v>
      </c>
    </row>
    <row r="30" spans="1:15">
      <c r="E30">
        <v>27</v>
      </c>
      <c r="F30" s="2">
        <f t="shared" si="4"/>
        <v>142612800</v>
      </c>
      <c r="G30" s="2">
        <f t="shared" si="5"/>
        <v>19600000</v>
      </c>
      <c r="H30" s="2">
        <f t="shared" si="0"/>
        <v>123012800</v>
      </c>
      <c r="I30" s="2">
        <f t="shared" si="1"/>
        <v>54230203.886297069</v>
      </c>
      <c r="J30" s="2"/>
      <c r="K30">
        <v>27</v>
      </c>
      <c r="L30" s="3">
        <f t="shared" si="6"/>
        <v>335332800</v>
      </c>
      <c r="M30" s="6">
        <f>$C$13+$C$6*$A$17*$C$10+50*'Carbon Tax'!$B$6</f>
        <v>91769412.578587338</v>
      </c>
      <c r="N30" s="3">
        <f t="shared" si="2"/>
        <v>243563387.42141265</v>
      </c>
      <c r="O30" s="2">
        <f t="shared" si="3"/>
        <v>107374941.1370229</v>
      </c>
    </row>
    <row r="31" spans="1:15">
      <c r="E31">
        <v>28</v>
      </c>
      <c r="F31" s="2">
        <f t="shared" si="4"/>
        <v>142612800</v>
      </c>
      <c r="G31" s="2">
        <f t="shared" si="5"/>
        <v>19600000</v>
      </c>
      <c r="H31" s="2">
        <f t="shared" si="0"/>
        <v>123012800</v>
      </c>
      <c r="I31" s="2">
        <f t="shared" si="1"/>
        <v>52609821.387560204</v>
      </c>
      <c r="J31" s="2"/>
      <c r="K31">
        <v>28</v>
      </c>
      <c r="L31" s="3">
        <f t="shared" si="6"/>
        <v>335332800</v>
      </c>
      <c r="M31" s="6">
        <f>$C$13+$C$6*$A$17*$C$10+50*'Carbon Tax'!$B$6</f>
        <v>91769412.578587338</v>
      </c>
      <c r="N31" s="3">
        <f t="shared" si="2"/>
        <v>243563387.42141265</v>
      </c>
      <c r="O31" s="2">
        <f t="shared" si="3"/>
        <v>104166609.56249794</v>
      </c>
    </row>
    <row r="32" spans="1:15">
      <c r="E32">
        <v>29</v>
      </c>
      <c r="F32" s="2">
        <f t="shared" si="4"/>
        <v>142612800</v>
      </c>
      <c r="G32" s="2">
        <f t="shared" si="5"/>
        <v>19600000</v>
      </c>
      <c r="H32" s="2">
        <f t="shared" si="0"/>
        <v>123012800</v>
      </c>
      <c r="I32" s="2">
        <f t="shared" si="1"/>
        <v>51037855.440007962</v>
      </c>
      <c r="J32" s="2"/>
      <c r="K32">
        <v>29</v>
      </c>
      <c r="L32" s="3">
        <f t="shared" si="6"/>
        <v>335332800</v>
      </c>
      <c r="M32" s="6">
        <f>$C$13+$C$6*$A$17*$C$10+50*'Carbon Tax'!$B$6</f>
        <v>91769412.578587338</v>
      </c>
      <c r="N32" s="3">
        <f t="shared" si="2"/>
        <v>243563387.42141265</v>
      </c>
      <c r="O32" s="2">
        <f t="shared" si="3"/>
        <v>101054141.98922968</v>
      </c>
    </row>
    <row r="33" spans="5:15">
      <c r="E33">
        <v>30</v>
      </c>
      <c r="F33" s="2">
        <f t="shared" si="4"/>
        <v>142612800</v>
      </c>
      <c r="G33" s="2">
        <f t="shared" si="5"/>
        <v>19600000</v>
      </c>
      <c r="H33" s="2">
        <f t="shared" si="0"/>
        <v>123012800</v>
      </c>
      <c r="I33" s="2">
        <f t="shared" si="1"/>
        <v>49512859.371369772</v>
      </c>
      <c r="J33" s="2"/>
      <c r="K33">
        <v>30</v>
      </c>
      <c r="L33" s="3">
        <f t="shared" si="6"/>
        <v>335332800</v>
      </c>
      <c r="M33" s="6">
        <f>$C$13+$C$6*$A$17*$C$10+50*'Carbon Tax'!$B$6</f>
        <v>91769412.578587338</v>
      </c>
      <c r="N33" s="3">
        <f t="shared" si="2"/>
        <v>243563387.42141265</v>
      </c>
      <c r="O33" s="2">
        <f t="shared" si="3"/>
        <v>98034674.029132396</v>
      </c>
    </row>
    <row r="34" spans="5:15">
      <c r="E34">
        <v>31</v>
      </c>
      <c r="F34" s="2">
        <f t="shared" si="4"/>
        <v>142612800</v>
      </c>
      <c r="G34" s="2">
        <f t="shared" si="5"/>
        <v>19600000</v>
      </c>
      <c r="H34" s="2">
        <f t="shared" si="0"/>
        <v>123012800</v>
      </c>
      <c r="I34" s="2">
        <f t="shared" si="1"/>
        <v>48033429.735515893</v>
      </c>
      <c r="J34" s="2"/>
      <c r="K34">
        <v>31</v>
      </c>
      <c r="L34" s="3">
        <f t="shared" si="6"/>
        <v>335332800</v>
      </c>
      <c r="M34" s="6">
        <f>$C$13+$C$6*$A$17*$C$10+50*'Carbon Tax'!$B$6</f>
        <v>91769412.578587338</v>
      </c>
      <c r="N34" s="3">
        <f t="shared" si="2"/>
        <v>243563387.42141265</v>
      </c>
      <c r="O34" s="2">
        <f t="shared" si="3"/>
        <v>95105426.881191716</v>
      </c>
    </row>
    <row r="35" spans="5:15">
      <c r="E35">
        <v>32</v>
      </c>
      <c r="F35" s="2">
        <f t="shared" si="4"/>
        <v>142612800</v>
      </c>
      <c r="G35" s="2">
        <f t="shared" si="5"/>
        <v>19600000</v>
      </c>
      <c r="H35" s="2">
        <f t="shared" si="0"/>
        <v>123012800</v>
      </c>
      <c r="I35" s="2">
        <f t="shared" si="1"/>
        <v>46598205.020872988</v>
      </c>
      <c r="J35" s="2"/>
      <c r="K35">
        <v>32</v>
      </c>
      <c r="L35" s="3">
        <f t="shared" si="6"/>
        <v>335332800</v>
      </c>
      <c r="M35" s="6">
        <f>$C$13+$C$6*$A$17*$C$10+50*'Carbon Tax'!$B$6</f>
        <v>91769412.578587338</v>
      </c>
      <c r="N35" s="3">
        <f t="shared" ref="N35:N58" si="7">L35-M35</f>
        <v>243563387.42141265</v>
      </c>
      <c r="O35" s="2">
        <f t="shared" ref="O35:O58" si="8">N35/(1+$B$15)^K35</f>
        <v>92263704.774147928</v>
      </c>
    </row>
    <row r="36" spans="5:15">
      <c r="E36">
        <v>33</v>
      </c>
      <c r="F36" s="2">
        <f t="shared" si="4"/>
        <v>142612800</v>
      </c>
      <c r="G36" s="2">
        <f t="shared" si="5"/>
        <v>19600000</v>
      </c>
      <c r="H36" s="2">
        <f t="shared" si="0"/>
        <v>123012800</v>
      </c>
      <c r="I36" s="2">
        <f t="shared" si="1"/>
        <v>45205864.397432089</v>
      </c>
      <c r="J36" s="2"/>
      <c r="K36">
        <v>33</v>
      </c>
      <c r="L36" s="3">
        <f t="shared" si="6"/>
        <v>335332800</v>
      </c>
      <c r="M36" s="6">
        <f>$C$13+$C$6*$A$17*$C$10+50*'Carbon Tax'!$B$6</f>
        <v>91769412.578587338</v>
      </c>
      <c r="N36" s="3">
        <f t="shared" si="7"/>
        <v>243563387.42141265</v>
      </c>
      <c r="O36" s="2">
        <f t="shared" si="8"/>
        <v>89506892.48559171</v>
      </c>
    </row>
    <row r="37" spans="5:15">
      <c r="G37" s="2"/>
      <c r="H37" s="2"/>
      <c r="I37" s="2">
        <f>SUM(I3:I36)</f>
        <v>1063578304.815076</v>
      </c>
      <c r="K37">
        <v>34</v>
      </c>
      <c r="L37" s="3">
        <f t="shared" si="6"/>
        <v>335332800</v>
      </c>
      <c r="M37" s="6">
        <f>$C$13+$C$6*$A$17*$C$10+50*'Carbon Tax'!$B$6</f>
        <v>91769412.578587338</v>
      </c>
      <c r="N37" s="3">
        <f t="shared" si="7"/>
        <v>243563387.42141265</v>
      </c>
      <c r="O37" s="2">
        <f t="shared" si="8"/>
        <v>86832452.935187921</v>
      </c>
    </row>
    <row r="38" spans="5:15">
      <c r="G38" s="2"/>
      <c r="H38" s="2"/>
      <c r="I38" s="2"/>
      <c r="K38">
        <v>35</v>
      </c>
      <c r="L38" s="3">
        <f t="shared" si="6"/>
        <v>335332800</v>
      </c>
      <c r="M38" s="6">
        <f>$C$13+$C$6*$A$17*$C$10+50*'Carbon Tax'!$B$6</f>
        <v>91769412.578587338</v>
      </c>
      <c r="N38" s="3">
        <f t="shared" si="7"/>
        <v>243563387.42141265</v>
      </c>
      <c r="O38" s="2">
        <f t="shared" si="8"/>
        <v>84237924.84981367</v>
      </c>
    </row>
    <row r="39" spans="5:15">
      <c r="G39" s="2"/>
      <c r="H39" s="2"/>
      <c r="I39" s="2"/>
      <c r="K39">
        <v>36</v>
      </c>
      <c r="L39" s="3">
        <f t="shared" si="6"/>
        <v>335332800</v>
      </c>
      <c r="M39" s="6">
        <f>$C$13+$C$6*$A$17*$C$10+50*'Carbon Tax'!$B$6</f>
        <v>91769412.578587338</v>
      </c>
      <c r="N39" s="3">
        <f t="shared" si="7"/>
        <v>243563387.42141265</v>
      </c>
      <c r="O39" s="2">
        <f t="shared" si="8"/>
        <v>81720920.498461068</v>
      </c>
    </row>
    <row r="40" spans="5:15">
      <c r="G40" s="2"/>
      <c r="H40" s="2"/>
      <c r="I40" s="2"/>
      <c r="K40">
        <v>37</v>
      </c>
      <c r="L40" s="3">
        <f t="shared" si="6"/>
        <v>335332800</v>
      </c>
      <c r="M40" s="6">
        <f>$C$13+$C$6*$A$17*$C$10+50*'Carbon Tax'!$B$6</f>
        <v>91769412.578587338</v>
      </c>
      <c r="N40" s="3">
        <f t="shared" si="7"/>
        <v>243563387.42141265</v>
      </c>
      <c r="O40" s="2">
        <f t="shared" si="8"/>
        <v>79279123.494820595</v>
      </c>
    </row>
    <row r="41" spans="5:15">
      <c r="G41" s="2"/>
      <c r="H41" s="2"/>
      <c r="I41" s="2"/>
      <c r="K41">
        <v>38</v>
      </c>
      <c r="L41" s="3">
        <f t="shared" ref="L41:L58" si="9">$C$11</f>
        <v>335332800</v>
      </c>
      <c r="M41" s="6">
        <f>$C$13+$C$6*$A$17*$C$10+50*'Carbon Tax'!$B$6</f>
        <v>91769412.578587338</v>
      </c>
      <c r="N41" s="3">
        <f t="shared" si="7"/>
        <v>243563387.42141265</v>
      </c>
      <c r="O41" s="2">
        <f t="shared" si="8"/>
        <v>76910286.665522501</v>
      </c>
    </row>
    <row r="42" spans="5:15">
      <c r="G42" s="2"/>
      <c r="H42" s="2"/>
      <c r="I42" s="2"/>
      <c r="K42">
        <v>39</v>
      </c>
      <c r="L42" s="3">
        <f t="shared" si="9"/>
        <v>335332800</v>
      </c>
      <c r="M42" s="6">
        <f>$C$13+$C$6*$A$17*$C$10+50*'Carbon Tax'!$B$6</f>
        <v>91769412.578587338</v>
      </c>
      <c r="N42" s="3">
        <f t="shared" si="7"/>
        <v>243563387.42141265</v>
      </c>
      <c r="O42" s="2">
        <f t="shared" si="8"/>
        <v>74612229.982074603</v>
      </c>
    </row>
    <row r="43" spans="5:15">
      <c r="G43" s="2"/>
      <c r="H43" s="2"/>
      <c r="I43" s="2"/>
      <c r="K43">
        <v>40</v>
      </c>
      <c r="L43" s="3">
        <f t="shared" si="9"/>
        <v>335332800</v>
      </c>
      <c r="M43" s="6">
        <f>$C$13+$C$6*$A$17*$C$10+50*'Carbon Tax'!$B$6</f>
        <v>91769412.578587338</v>
      </c>
      <c r="N43" s="3">
        <f t="shared" si="7"/>
        <v>243563387.42141265</v>
      </c>
      <c r="O43" s="2">
        <f t="shared" si="8"/>
        <v>72382838.554593131</v>
      </c>
    </row>
    <row r="44" spans="5:15">
      <c r="G44" s="2"/>
      <c r="H44" s="2"/>
      <c r="I44" s="2"/>
      <c r="K44">
        <v>41</v>
      </c>
      <c r="L44" s="3">
        <f t="shared" si="9"/>
        <v>335332800</v>
      </c>
      <c r="M44" s="6">
        <f>$C$13+$C$6*$A$17*$C$10+50*'Carbon Tax'!$B$6</f>
        <v>91769412.578587338</v>
      </c>
      <c r="N44" s="3">
        <f t="shared" si="7"/>
        <v>243563387.42141265</v>
      </c>
      <c r="O44" s="2">
        <f t="shared" si="8"/>
        <v>70220060.685480341</v>
      </c>
    </row>
    <row r="45" spans="5:15">
      <c r="G45" s="2"/>
      <c r="H45" s="2"/>
      <c r="I45" s="2"/>
      <c r="K45">
        <v>42</v>
      </c>
      <c r="L45" s="3">
        <f t="shared" si="9"/>
        <v>335332800</v>
      </c>
      <c r="M45" s="6">
        <f>$C$13+$C$6*$A$17*$C$10+50*'Carbon Tax'!$B$6</f>
        <v>91769412.578587338</v>
      </c>
      <c r="N45" s="3">
        <f t="shared" si="7"/>
        <v>243563387.42141265</v>
      </c>
      <c r="O45" s="2">
        <f t="shared" si="8"/>
        <v>68121905.981257603</v>
      </c>
    </row>
    <row r="46" spans="5:15">
      <c r="G46" s="2"/>
      <c r="H46" s="2"/>
      <c r="I46" s="2"/>
      <c r="K46">
        <v>43</v>
      </c>
      <c r="L46" s="3">
        <f t="shared" si="9"/>
        <v>335332800</v>
      </c>
      <c r="M46" s="6">
        <f>$C$13+$C$6*$A$17*$C$10+50*'Carbon Tax'!$B$6</f>
        <v>91769412.578587338</v>
      </c>
      <c r="N46" s="3">
        <f t="shared" si="7"/>
        <v>243563387.42141265</v>
      </c>
      <c r="O46" s="2">
        <f t="shared" si="8"/>
        <v>66086443.520816468</v>
      </c>
    </row>
    <row r="47" spans="5:15">
      <c r="G47" s="2"/>
      <c r="H47" s="2"/>
      <c r="I47" s="2"/>
      <c r="K47">
        <v>44</v>
      </c>
      <c r="L47" s="3">
        <f t="shared" si="9"/>
        <v>335332800</v>
      </c>
      <c r="M47" s="6">
        <f>$C$13+$C$6*$A$17*$C$10+50*'Carbon Tax'!$B$6</f>
        <v>91769412.578587338</v>
      </c>
      <c r="N47" s="3">
        <f t="shared" si="7"/>
        <v>243563387.42141265</v>
      </c>
      <c r="O47" s="2">
        <f t="shared" si="8"/>
        <v>64111800.078401685</v>
      </c>
    </row>
    <row r="48" spans="5:15">
      <c r="G48" s="2"/>
      <c r="H48" s="2"/>
      <c r="I48" s="2"/>
      <c r="K48">
        <v>45</v>
      </c>
      <c r="L48" s="3">
        <f t="shared" si="9"/>
        <v>335332800</v>
      </c>
      <c r="M48" s="6">
        <f>$C$13+$C$6*$A$17*$C$10+50*'Carbon Tax'!$B$6</f>
        <v>91769412.578587338</v>
      </c>
      <c r="N48" s="3">
        <f t="shared" si="7"/>
        <v>243563387.42141265</v>
      </c>
      <c r="O48" s="2">
        <f t="shared" si="8"/>
        <v>62196158.399691202</v>
      </c>
    </row>
    <row r="49" spans="7:15">
      <c r="G49" s="2"/>
      <c r="H49" s="2"/>
      <c r="I49" s="2"/>
      <c r="K49">
        <v>46</v>
      </c>
      <c r="L49" s="3">
        <f t="shared" si="9"/>
        <v>335332800</v>
      </c>
      <c r="M49" s="6">
        <f>$C$13+$C$6*$A$17*$C$10+50*'Carbon Tax'!$B$6</f>
        <v>91769412.578587338</v>
      </c>
      <c r="N49" s="3">
        <f t="shared" si="7"/>
        <v>243563387.42141265</v>
      </c>
      <c r="O49" s="2">
        <f t="shared" si="8"/>
        <v>60337755.529386103</v>
      </c>
    </row>
    <row r="50" spans="7:15">
      <c r="G50" s="2"/>
      <c r="H50" s="2"/>
      <c r="I50" s="2"/>
      <c r="K50">
        <v>47</v>
      </c>
      <c r="L50" s="3">
        <f t="shared" si="9"/>
        <v>335332800</v>
      </c>
      <c r="M50" s="6">
        <f>$C$13+$C$6*$A$17*$C$10+50*'Carbon Tax'!$B$6</f>
        <v>91769412.578587338</v>
      </c>
      <c r="N50" s="3">
        <f t="shared" si="7"/>
        <v>243563387.42141265</v>
      </c>
      <c r="O50" s="2">
        <f t="shared" si="8"/>
        <v>58534881.188771948</v>
      </c>
    </row>
    <row r="51" spans="7:15">
      <c r="G51" s="2"/>
      <c r="H51" s="2"/>
      <c r="I51" s="2"/>
      <c r="K51">
        <v>48</v>
      </c>
      <c r="L51" s="3">
        <f t="shared" si="9"/>
        <v>335332800</v>
      </c>
      <c r="M51" s="6">
        <f>$C$13+$C$6*$A$17*$C$10+50*'Carbon Tax'!$B$6</f>
        <v>91769412.578587338</v>
      </c>
      <c r="N51" s="3">
        <f t="shared" si="7"/>
        <v>243563387.42141265</v>
      </c>
      <c r="O51" s="2">
        <f t="shared" si="8"/>
        <v>56785876.201757781</v>
      </c>
    </row>
    <row r="52" spans="7:15">
      <c r="G52" s="2"/>
      <c r="H52" s="2"/>
      <c r="I52" s="2"/>
      <c r="K52">
        <v>49</v>
      </c>
      <c r="L52" s="3">
        <f t="shared" si="9"/>
        <v>335332800</v>
      </c>
      <c r="M52" s="6">
        <f>$C$13+$C$6*$A$17*$C$10+50*'Carbon Tax'!$B$6</f>
        <v>91769412.578587338</v>
      </c>
      <c r="N52" s="3">
        <f t="shared" si="7"/>
        <v>243563387.42141265</v>
      </c>
      <c r="O52" s="2">
        <f t="shared" si="8"/>
        <v>55089130.967945084</v>
      </c>
    </row>
    <row r="53" spans="7:15">
      <c r="G53" s="2"/>
      <c r="H53" s="2"/>
      <c r="I53" s="2"/>
      <c r="K53">
        <v>50</v>
      </c>
      <c r="L53" s="3">
        <f t="shared" si="9"/>
        <v>335332800</v>
      </c>
      <c r="M53" s="6">
        <f>$C$13+$C$6*$A$17*$C$10+50*'Carbon Tax'!$B$6</f>
        <v>91769412.578587338</v>
      </c>
      <c r="N53" s="3">
        <f t="shared" si="7"/>
        <v>243563387.42141265</v>
      </c>
      <c r="O53" s="2">
        <f t="shared" si="8"/>
        <v>53443083.981320411</v>
      </c>
    </row>
    <row r="54" spans="7:15">
      <c r="G54" s="2"/>
      <c r="H54" s="2"/>
      <c r="I54" s="2"/>
      <c r="K54">
        <v>51</v>
      </c>
      <c r="L54" s="3">
        <f t="shared" si="9"/>
        <v>335332800</v>
      </c>
      <c r="M54" s="6">
        <f>$C$13+$C$6*$A$17*$C$10+50*'Carbon Tax'!$B$6</f>
        <v>91769412.578587338</v>
      </c>
      <c r="N54" s="3">
        <f t="shared" si="7"/>
        <v>243563387.42141265</v>
      </c>
      <c r="O54" s="2">
        <f t="shared" si="8"/>
        <v>51846220.393209569</v>
      </c>
    </row>
    <row r="55" spans="7:15">
      <c r="G55" s="2"/>
      <c r="H55" s="2"/>
      <c r="I55" s="2"/>
      <c r="K55">
        <v>52</v>
      </c>
      <c r="L55" s="3">
        <f t="shared" si="9"/>
        <v>335332800</v>
      </c>
      <c r="M55" s="6">
        <f>$C$13+$C$6*$A$17*$C$10+50*'Carbon Tax'!$B$6</f>
        <v>91769412.578587338</v>
      </c>
      <c r="N55" s="3">
        <f t="shared" si="7"/>
        <v>243563387.42141265</v>
      </c>
      <c r="O55" s="2">
        <f t="shared" si="8"/>
        <v>50297070.618169934</v>
      </c>
    </row>
    <row r="56" spans="7:15">
      <c r="G56" s="2"/>
      <c r="H56" s="2"/>
      <c r="I56" s="2"/>
      <c r="K56">
        <v>53</v>
      </c>
      <c r="L56" s="3">
        <f t="shared" si="9"/>
        <v>335332800</v>
      </c>
      <c r="M56" s="6">
        <f>$C$13+$C$6*$A$17*$C$10+50*'Carbon Tax'!$B$6</f>
        <v>91769412.578587338</v>
      </c>
      <c r="N56" s="3">
        <f t="shared" si="7"/>
        <v>243563387.42141265</v>
      </c>
      <c r="O56" s="2">
        <f t="shared" si="8"/>
        <v>48794208.981538549</v>
      </c>
    </row>
    <row r="57" spans="7:15">
      <c r="G57" s="2"/>
      <c r="H57" s="2"/>
      <c r="I57" s="2"/>
      <c r="K57">
        <v>54</v>
      </c>
      <c r="L57" s="3">
        <f t="shared" si="9"/>
        <v>335332800</v>
      </c>
      <c r="M57" s="6">
        <f>$C$13+$C$6*$A$17*$C$10+50*'Carbon Tax'!$B$6</f>
        <v>91769412.578587338</v>
      </c>
      <c r="N57" s="3">
        <f t="shared" si="7"/>
        <v>243563387.42141265</v>
      </c>
      <c r="O57" s="2">
        <f t="shared" si="8"/>
        <v>47336252.4073909</v>
      </c>
    </row>
    <row r="58" spans="7:15">
      <c r="G58" s="2"/>
      <c r="H58" s="2"/>
      <c r="I58" s="2"/>
      <c r="K58">
        <v>55</v>
      </c>
      <c r="L58" s="3">
        <f t="shared" si="9"/>
        <v>335332800</v>
      </c>
      <c r="M58" s="6">
        <f>$C$13+$C$6*$A$17*$C$10+50*'Carbon Tax'!$B$6</f>
        <v>91769412.578587338</v>
      </c>
      <c r="N58" s="3">
        <f t="shared" si="7"/>
        <v>243563387.42141265</v>
      </c>
      <c r="O58" s="2">
        <f t="shared" si="8"/>
        <v>45921859.145703249</v>
      </c>
    </row>
    <row r="59" spans="7:15">
      <c r="G59" s="2"/>
      <c r="H59" s="2"/>
      <c r="I59" s="2"/>
      <c r="O59" s="2">
        <f>SUM(O3:O58)</f>
        <v>4937227082.0076208</v>
      </c>
    </row>
    <row r="60" spans="7:15">
      <c r="G60" s="2"/>
      <c r="H60" s="2"/>
      <c r="I60" s="2"/>
    </row>
    <row r="61" spans="7:15">
      <c r="G61" s="2"/>
      <c r="H61" s="2"/>
      <c r="I61" s="2"/>
    </row>
    <row r="62" spans="7:15">
      <c r="G62" s="2"/>
      <c r="H62" s="2"/>
      <c r="I62" s="2"/>
    </row>
    <row r="63" spans="7:15">
      <c r="G63" s="2"/>
      <c r="H63" s="2"/>
      <c r="I63" s="2"/>
    </row>
    <row r="64" spans="7:15">
      <c r="G64" s="2"/>
      <c r="H64" s="2"/>
      <c r="I64" s="2"/>
    </row>
    <row r="65" spans="7:9">
      <c r="G65" s="2"/>
      <c r="H65" s="2"/>
      <c r="I65" s="2"/>
    </row>
    <row r="66" spans="7:9">
      <c r="G66" s="2"/>
      <c r="H66" s="2"/>
      <c r="I66" s="2"/>
    </row>
    <row r="67" spans="7:9">
      <c r="G67" s="2"/>
      <c r="H67" s="2"/>
      <c r="I67" s="2"/>
    </row>
    <row r="68" spans="7:9">
      <c r="G68" s="2"/>
      <c r="H68" s="2"/>
      <c r="I68" s="2"/>
    </row>
    <row r="69" spans="7:9">
      <c r="G69" s="2"/>
      <c r="H69" s="2"/>
      <c r="I69" s="2"/>
    </row>
    <row r="70" spans="7:9">
      <c r="G70" s="2"/>
      <c r="H70" s="2"/>
      <c r="I7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0901-64DA-40CE-96AD-BC1C99F0271F}">
  <dimension ref="A1:S70"/>
  <sheetViews>
    <sheetView topLeftCell="A11" workbookViewId="0" xr3:uid="{E7C08511-DFAB-5CF7-A34A-D460300032C2}">
      <selection activeCell="C33" sqref="C33"/>
    </sheetView>
  </sheetViews>
  <sheetFormatPr defaultRowHeight="15"/>
  <cols>
    <col min="1" max="1" width="19.140625" customWidth="1"/>
    <col min="2" max="2" width="18" customWidth="1"/>
    <col min="3" max="3" width="18.28515625" customWidth="1"/>
    <col min="4" max="5" width="9.140625" bestFit="1" customWidth="1"/>
    <col min="6" max="6" width="15.85546875" style="2" bestFit="1" customWidth="1"/>
    <col min="7" max="7" width="17.5703125" bestFit="1" customWidth="1"/>
    <col min="8" max="8" width="18.5703125" bestFit="1" customWidth="1"/>
    <col min="9" max="10" width="18.5703125" customWidth="1"/>
    <col min="11" max="11" width="18.5703125" bestFit="1" customWidth="1"/>
    <col min="12" max="13" width="9.140625" bestFit="1" customWidth="1"/>
    <col min="14" max="14" width="15.140625" bestFit="1" customWidth="1"/>
    <col min="15" max="15" width="16.28515625" bestFit="1" customWidth="1"/>
    <col min="16" max="18" width="20.85546875" customWidth="1"/>
    <col min="19" max="19" width="17.5703125" customWidth="1"/>
    <col min="20" max="20" width="9.140625" bestFit="1" customWidth="1"/>
  </cols>
  <sheetData>
    <row r="1" spans="1:19">
      <c r="A1" t="s">
        <v>0</v>
      </c>
      <c r="B1" t="s">
        <v>1</v>
      </c>
      <c r="C1" t="s">
        <v>2</v>
      </c>
      <c r="E1" t="s">
        <v>3</v>
      </c>
    </row>
    <row r="2" spans="1:19">
      <c r="A2" t="s">
        <v>4</v>
      </c>
      <c r="B2">
        <v>3</v>
      </c>
      <c r="C2">
        <v>5</v>
      </c>
      <c r="E2" t="s">
        <v>5</v>
      </c>
      <c r="F2" s="2" t="s">
        <v>34</v>
      </c>
      <c r="G2" t="s">
        <v>7</v>
      </c>
      <c r="H2" t="s">
        <v>8</v>
      </c>
      <c r="I2" t="s">
        <v>35</v>
      </c>
      <c r="J2" t="s">
        <v>36</v>
      </c>
      <c r="K2" t="s">
        <v>9</v>
      </c>
      <c r="M2" t="s">
        <v>5</v>
      </c>
      <c r="N2" t="s">
        <v>6</v>
      </c>
      <c r="O2" t="s">
        <v>7</v>
      </c>
      <c r="P2" t="s">
        <v>8</v>
      </c>
      <c r="Q2" t="s">
        <v>35</v>
      </c>
      <c r="R2" t="s">
        <v>36</v>
      </c>
      <c r="S2" t="s">
        <v>9</v>
      </c>
    </row>
    <row r="3" spans="1:19">
      <c r="A3" t="s">
        <v>10</v>
      </c>
      <c r="B3">
        <v>30</v>
      </c>
      <c r="C3">
        <v>50</v>
      </c>
      <c r="E3">
        <v>0</v>
      </c>
      <c r="F3" s="2">
        <v>0</v>
      </c>
      <c r="G3" s="2">
        <f>B12</f>
        <v>1115200000</v>
      </c>
      <c r="H3" s="2">
        <f t="shared" ref="H3:H36" si="0">$F3-$G3</f>
        <v>-1115200000</v>
      </c>
      <c r="I3" s="2">
        <f>H3*$B$14</f>
        <v>-301104000</v>
      </c>
      <c r="J3" s="2">
        <f t="shared" ref="J3:J15" si="1">H3</f>
        <v>-1115200000</v>
      </c>
      <c r="K3" s="2">
        <f t="shared" ref="K3:K36" si="2">J3/(1+$B$15)^E3</f>
        <v>-1115200000</v>
      </c>
      <c r="L3" s="2"/>
      <c r="M3">
        <v>0</v>
      </c>
      <c r="N3" s="7">
        <v>0</v>
      </c>
      <c r="O3" s="7">
        <f>C12</f>
        <v>366800000</v>
      </c>
      <c r="P3" s="7">
        <f t="shared" ref="P3:P34" si="3">N3-O3</f>
        <v>-366800000</v>
      </c>
      <c r="Q3" s="7">
        <f>P3*B14</f>
        <v>-99036000</v>
      </c>
      <c r="R3" s="7">
        <f t="shared" ref="R3:R9" si="4">P3</f>
        <v>-366800000</v>
      </c>
      <c r="S3" s="7">
        <f t="shared" ref="S3:S34" si="5">R3/(1+$B$15)^M3</f>
        <v>-366800000</v>
      </c>
    </row>
    <row r="4" spans="1:19">
      <c r="A4" t="s">
        <v>11</v>
      </c>
      <c r="B4" s="1">
        <v>2788000</v>
      </c>
      <c r="C4" s="1">
        <v>917000</v>
      </c>
      <c r="E4">
        <v>1</v>
      </c>
      <c r="F4" s="2">
        <v>0</v>
      </c>
      <c r="G4" s="2">
        <v>0</v>
      </c>
      <c r="H4" s="2">
        <f t="shared" si="0"/>
        <v>0</v>
      </c>
      <c r="I4" s="2">
        <f>H4+I3</f>
        <v>-301104000</v>
      </c>
      <c r="J4" s="2">
        <f t="shared" si="1"/>
        <v>0</v>
      </c>
      <c r="K4" s="2">
        <f t="shared" si="2"/>
        <v>0</v>
      </c>
      <c r="L4" s="2"/>
      <c r="M4">
        <v>1</v>
      </c>
      <c r="N4" s="7">
        <v>0</v>
      </c>
      <c r="O4" s="7">
        <v>0</v>
      </c>
      <c r="P4" s="7">
        <f t="shared" si="3"/>
        <v>0</v>
      </c>
      <c r="Q4" s="7">
        <f>Q3</f>
        <v>-99036000</v>
      </c>
      <c r="R4" s="7">
        <f t="shared" si="4"/>
        <v>0</v>
      </c>
      <c r="S4" s="7">
        <f t="shared" si="5"/>
        <v>0</v>
      </c>
    </row>
    <row r="5" spans="1:19">
      <c r="A5" t="s">
        <v>12</v>
      </c>
      <c r="B5" s="1">
        <v>49000</v>
      </c>
      <c r="C5" s="1">
        <v>13170</v>
      </c>
      <c r="E5">
        <v>2</v>
      </c>
      <c r="F5" s="2">
        <v>0</v>
      </c>
      <c r="G5" s="2">
        <v>0</v>
      </c>
      <c r="H5" s="2">
        <f t="shared" si="0"/>
        <v>0</v>
      </c>
      <c r="I5" s="2">
        <f>H5+I4</f>
        <v>-301104000</v>
      </c>
      <c r="J5" s="2">
        <f t="shared" si="1"/>
        <v>0</v>
      </c>
      <c r="K5" s="2">
        <f t="shared" si="2"/>
        <v>0</v>
      </c>
      <c r="L5" s="2"/>
      <c r="M5">
        <v>2</v>
      </c>
      <c r="N5" s="7">
        <v>0</v>
      </c>
      <c r="O5" s="7">
        <v>0</v>
      </c>
      <c r="P5" s="7">
        <f t="shared" si="3"/>
        <v>0</v>
      </c>
      <c r="Q5" s="7">
        <f>Q4</f>
        <v>-99036000</v>
      </c>
      <c r="R5" s="7">
        <f t="shared" si="4"/>
        <v>0</v>
      </c>
      <c r="S5" s="7">
        <f t="shared" si="5"/>
        <v>0</v>
      </c>
    </row>
    <row r="6" spans="1:19">
      <c r="A6" t="s">
        <v>13</v>
      </c>
      <c r="B6">
        <v>0</v>
      </c>
      <c r="C6">
        <v>183</v>
      </c>
      <c r="E6">
        <v>3</v>
      </c>
      <c r="F6" s="2">
        <v>0</v>
      </c>
      <c r="G6" s="2">
        <v>0</v>
      </c>
      <c r="H6" s="2">
        <f t="shared" si="0"/>
        <v>0</v>
      </c>
      <c r="I6" s="2">
        <f>H6+I5</f>
        <v>-301104000</v>
      </c>
      <c r="J6" s="2">
        <f t="shared" si="1"/>
        <v>0</v>
      </c>
      <c r="K6" s="2">
        <f t="shared" si="2"/>
        <v>0</v>
      </c>
      <c r="L6" s="2"/>
      <c r="M6">
        <v>3</v>
      </c>
      <c r="N6" s="7">
        <v>0</v>
      </c>
      <c r="O6" s="7">
        <v>0</v>
      </c>
      <c r="P6" s="7">
        <f t="shared" si="3"/>
        <v>0</v>
      </c>
      <c r="Q6" s="7">
        <f>Q5</f>
        <v>-99036000</v>
      </c>
      <c r="R6" s="7">
        <f t="shared" si="4"/>
        <v>0</v>
      </c>
      <c r="S6" s="7">
        <f t="shared" si="5"/>
        <v>0</v>
      </c>
    </row>
    <row r="7" spans="1:19">
      <c r="A7" t="s">
        <v>14</v>
      </c>
      <c r="B7">
        <v>0.37</v>
      </c>
      <c r="C7">
        <v>0.87</v>
      </c>
      <c r="E7">
        <v>4</v>
      </c>
      <c r="F7" s="2">
        <f t="shared" ref="F7:F36" si="6">$B$11</f>
        <v>142612800</v>
      </c>
      <c r="G7" s="2">
        <f t="shared" ref="G7:G36" si="7">$B$13</f>
        <v>19600000</v>
      </c>
      <c r="H7" s="2">
        <f t="shared" si="0"/>
        <v>123012800</v>
      </c>
      <c r="I7" s="2">
        <f t="shared" ref="I7:I16" si="8">H7*$B$14+I6</f>
        <v>-267890544</v>
      </c>
      <c r="J7" s="2">
        <f t="shared" si="1"/>
        <v>123012800</v>
      </c>
      <c r="K7" s="2">
        <f t="shared" si="2"/>
        <v>108956379.69124603</v>
      </c>
      <c r="L7" s="2"/>
      <c r="M7">
        <v>4</v>
      </c>
      <c r="N7" s="7">
        <v>0</v>
      </c>
      <c r="O7" s="7">
        <v>0</v>
      </c>
      <c r="P7" s="7">
        <f t="shared" si="3"/>
        <v>0</v>
      </c>
      <c r="Q7" s="7">
        <f>Q6</f>
        <v>-99036000</v>
      </c>
      <c r="R7" s="7">
        <f t="shared" si="4"/>
        <v>0</v>
      </c>
      <c r="S7" s="7">
        <f t="shared" si="5"/>
        <v>0</v>
      </c>
    </row>
    <row r="8" spans="1:19">
      <c r="A8" t="s">
        <v>15</v>
      </c>
      <c r="B8">
        <v>400</v>
      </c>
      <c r="C8">
        <v>400</v>
      </c>
      <c r="E8">
        <v>5</v>
      </c>
      <c r="F8" s="2">
        <f t="shared" si="6"/>
        <v>142612800</v>
      </c>
      <c r="G8" s="2">
        <f t="shared" si="7"/>
        <v>19600000</v>
      </c>
      <c r="H8" s="2">
        <f t="shared" si="0"/>
        <v>123012800</v>
      </c>
      <c r="I8" s="2">
        <f t="shared" si="8"/>
        <v>-234677088</v>
      </c>
      <c r="J8" s="2">
        <f t="shared" si="1"/>
        <v>123012800</v>
      </c>
      <c r="K8" s="2">
        <f t="shared" si="2"/>
        <v>105700795.19911334</v>
      </c>
      <c r="L8" s="2"/>
      <c r="M8">
        <v>5</v>
      </c>
      <c r="N8" s="7">
        <v>0</v>
      </c>
      <c r="O8" s="7">
        <v>0</v>
      </c>
      <c r="P8" s="7">
        <f t="shared" si="3"/>
        <v>0</v>
      </c>
      <c r="Q8" s="7">
        <f>Q7</f>
        <v>-99036000</v>
      </c>
      <c r="R8" s="7">
        <f t="shared" si="4"/>
        <v>0</v>
      </c>
      <c r="S8" s="7">
        <f t="shared" si="5"/>
        <v>0</v>
      </c>
    </row>
    <row r="9" spans="1:19">
      <c r="A9" t="s">
        <v>16</v>
      </c>
      <c r="B9" s="1">
        <v>110</v>
      </c>
      <c r="C9" s="1">
        <v>110</v>
      </c>
      <c r="E9">
        <v>6</v>
      </c>
      <c r="F9" s="2">
        <f t="shared" si="6"/>
        <v>142612800</v>
      </c>
      <c r="G9" s="2">
        <f t="shared" si="7"/>
        <v>19600000</v>
      </c>
      <c r="H9" s="2">
        <f t="shared" si="0"/>
        <v>123012800</v>
      </c>
      <c r="I9" s="2">
        <f t="shared" si="8"/>
        <v>-201463632</v>
      </c>
      <c r="J9" s="2">
        <f t="shared" si="1"/>
        <v>123012800</v>
      </c>
      <c r="K9" s="2">
        <f t="shared" si="2"/>
        <v>102542486.61147976</v>
      </c>
      <c r="L9" s="2"/>
      <c r="M9">
        <v>6</v>
      </c>
      <c r="N9" s="3">
        <f t="shared" ref="N9:N40" si="9">$C$11</f>
        <v>335332800</v>
      </c>
      <c r="O9" s="6">
        <f>$C$13+$C$6*$A$17*$C$10+50*'Carbon Tax'!$B$6</f>
        <v>91769412.578587338</v>
      </c>
      <c r="P9" s="3">
        <f t="shared" si="3"/>
        <v>243563387.42141265</v>
      </c>
      <c r="Q9" s="7">
        <f>P9*$B$14+Q8</f>
        <v>-33273885.396218583</v>
      </c>
      <c r="R9" s="7">
        <f t="shared" si="4"/>
        <v>243563387.42141265</v>
      </c>
      <c r="S9" s="7">
        <f t="shared" si="5"/>
        <v>203032492.50246206</v>
      </c>
    </row>
    <row r="10" spans="1:19">
      <c r="A10" t="s">
        <v>17</v>
      </c>
      <c r="B10">
        <f>365*24*B8*B7</f>
        <v>1296480</v>
      </c>
      <c r="C10">
        <f>365*24*C8*C7</f>
        <v>3048480</v>
      </c>
      <c r="E10">
        <v>7</v>
      </c>
      <c r="F10" s="2">
        <f t="shared" si="6"/>
        <v>142612800</v>
      </c>
      <c r="G10" s="2">
        <f t="shared" si="7"/>
        <v>19600000</v>
      </c>
      <c r="H10" s="2">
        <f t="shared" si="0"/>
        <v>123012800</v>
      </c>
      <c r="I10" s="2">
        <f t="shared" si="8"/>
        <v>-168250176</v>
      </c>
      <c r="J10" s="2">
        <f t="shared" si="1"/>
        <v>123012800</v>
      </c>
      <c r="K10" s="2">
        <f t="shared" si="2"/>
        <v>99478547.353007168</v>
      </c>
      <c r="L10" s="2"/>
      <c r="M10">
        <v>7</v>
      </c>
      <c r="N10" s="3">
        <f t="shared" si="9"/>
        <v>335332800</v>
      </c>
      <c r="O10" s="6">
        <f>$C$13+$C$6*$A$17*$C$10+50*'Carbon Tax'!$B$6</f>
        <v>91769412.578587338</v>
      </c>
      <c r="P10" s="3">
        <f t="shared" si="3"/>
        <v>243563387.42141265</v>
      </c>
      <c r="Q10" s="7">
        <f>P10*$B$14+Q9</f>
        <v>32488229.207562834</v>
      </c>
      <c r="R10" s="3">
        <f t="shared" ref="R10:R41" si="10">P10-Q10</f>
        <v>211075158.21384981</v>
      </c>
      <c r="S10" s="7">
        <f t="shared" si="5"/>
        <v>170693213.40071878</v>
      </c>
    </row>
    <row r="11" spans="1:19">
      <c r="A11" t="s">
        <v>18</v>
      </c>
      <c r="B11" s="1">
        <f>B10*B9</f>
        <v>142612800</v>
      </c>
      <c r="C11" s="3">
        <f>C10*C9</f>
        <v>335332800</v>
      </c>
      <c r="E11">
        <v>8</v>
      </c>
      <c r="F11" s="2">
        <f t="shared" si="6"/>
        <v>142612800</v>
      </c>
      <c r="G11" s="2">
        <f t="shared" si="7"/>
        <v>19600000</v>
      </c>
      <c r="H11" s="2">
        <f t="shared" si="0"/>
        <v>123012800</v>
      </c>
      <c r="I11" s="2">
        <f t="shared" si="8"/>
        <v>-135036720</v>
      </c>
      <c r="J11" s="2">
        <f t="shared" si="1"/>
        <v>123012800</v>
      </c>
      <c r="K11" s="2">
        <f t="shared" si="2"/>
        <v>96506157.695971236</v>
      </c>
      <c r="L11" s="2"/>
      <c r="M11">
        <v>8</v>
      </c>
      <c r="N11" s="3">
        <f t="shared" si="9"/>
        <v>335332800</v>
      </c>
      <c r="O11" s="6">
        <f>$C$13+$C$6*$A$17*$C$10+50*'Carbon Tax'!$B$6</f>
        <v>91769412.578587338</v>
      </c>
      <c r="P11" s="3">
        <f t="shared" si="3"/>
        <v>243563387.42141265</v>
      </c>
      <c r="Q11" s="7">
        <f t="shared" ref="Q11:Q58" si="11">P11*$B$14</f>
        <v>65762114.603781417</v>
      </c>
      <c r="R11" s="3">
        <f t="shared" si="10"/>
        <v>177801272.81763124</v>
      </c>
      <c r="S11" s="7">
        <f t="shared" si="5"/>
        <v>139488879.80017301</v>
      </c>
    </row>
    <row r="12" spans="1:19">
      <c r="A12" t="s">
        <v>19</v>
      </c>
      <c r="B12" s="2">
        <f>B4*B8</f>
        <v>1115200000</v>
      </c>
      <c r="C12" s="3">
        <f>C4*C8</f>
        <v>366800000</v>
      </c>
      <c r="E12">
        <v>9</v>
      </c>
      <c r="F12" s="2">
        <f t="shared" si="6"/>
        <v>142612800</v>
      </c>
      <c r="G12" s="2">
        <f t="shared" si="7"/>
        <v>19600000</v>
      </c>
      <c r="H12" s="2">
        <f t="shared" si="0"/>
        <v>123012800</v>
      </c>
      <c r="I12" s="2">
        <f t="shared" si="8"/>
        <v>-101823264</v>
      </c>
      <c r="J12" s="2">
        <f t="shared" si="1"/>
        <v>123012800</v>
      </c>
      <c r="K12" s="2">
        <f t="shared" si="2"/>
        <v>93622582.165280595</v>
      </c>
      <c r="L12" s="2"/>
      <c r="M12">
        <v>9</v>
      </c>
      <c r="N12" s="3">
        <f t="shared" si="9"/>
        <v>335332800</v>
      </c>
      <c r="O12" s="6">
        <f>$C$13+$C$6*$A$17*$C$10+50*'Carbon Tax'!$B$6</f>
        <v>91769412.578587338</v>
      </c>
      <c r="P12" s="3">
        <f t="shared" si="3"/>
        <v>243563387.42141265</v>
      </c>
      <c r="Q12" s="7">
        <f t="shared" si="11"/>
        <v>65762114.603781417</v>
      </c>
      <c r="R12" s="3">
        <f t="shared" si="10"/>
        <v>177801272.81763124</v>
      </c>
      <c r="S12" s="7">
        <f t="shared" si="5"/>
        <v>135320993.20932579</v>
      </c>
    </row>
    <row r="13" spans="1:19">
      <c r="A13" t="s">
        <v>20</v>
      </c>
      <c r="B13" s="1">
        <f>B5*B8</f>
        <v>19600000</v>
      </c>
      <c r="C13" s="1">
        <f>C5*C8</f>
        <v>5268000</v>
      </c>
      <c r="E13">
        <v>10</v>
      </c>
      <c r="F13" s="2">
        <f t="shared" si="6"/>
        <v>142612800</v>
      </c>
      <c r="G13" s="2">
        <f t="shared" si="7"/>
        <v>19600000</v>
      </c>
      <c r="H13" s="2">
        <f t="shared" si="0"/>
        <v>123012800</v>
      </c>
      <c r="I13" s="2">
        <f t="shared" si="8"/>
        <v>-68609808</v>
      </c>
      <c r="J13" s="2">
        <f t="shared" si="1"/>
        <v>123012800</v>
      </c>
      <c r="K13" s="2">
        <f t="shared" si="2"/>
        <v>90825167.02103278</v>
      </c>
      <c r="L13" s="2"/>
      <c r="M13">
        <v>10</v>
      </c>
      <c r="N13" s="3">
        <f t="shared" si="9"/>
        <v>335332800</v>
      </c>
      <c r="O13" s="6">
        <f>$C$13+$C$6*$A$17*$C$10+50*'Carbon Tax'!$B$6</f>
        <v>91769412.578587338</v>
      </c>
      <c r="P13" s="3">
        <f t="shared" si="3"/>
        <v>243563387.42141265</v>
      </c>
      <c r="Q13" s="7">
        <f t="shared" si="11"/>
        <v>65762114.603781417</v>
      </c>
      <c r="R13" s="3">
        <f t="shared" si="10"/>
        <v>177801272.81763124</v>
      </c>
      <c r="S13" s="7">
        <f t="shared" si="5"/>
        <v>131277641.84063426</v>
      </c>
    </row>
    <row r="14" spans="1:19">
      <c r="A14" t="s">
        <v>21</v>
      </c>
      <c r="B14">
        <v>0.27</v>
      </c>
      <c r="C14">
        <v>0.27</v>
      </c>
      <c r="E14">
        <v>11</v>
      </c>
      <c r="F14" s="2">
        <f t="shared" si="6"/>
        <v>142612800</v>
      </c>
      <c r="G14" s="2">
        <f t="shared" si="7"/>
        <v>19600000</v>
      </c>
      <c r="H14" s="2">
        <f t="shared" si="0"/>
        <v>123012800</v>
      </c>
      <c r="I14" s="2">
        <f t="shared" si="8"/>
        <v>-35396352</v>
      </c>
      <c r="J14" s="2">
        <f t="shared" si="1"/>
        <v>123012800</v>
      </c>
      <c r="K14" s="2">
        <f t="shared" si="2"/>
        <v>88111337.816291034</v>
      </c>
      <c r="L14" s="2"/>
      <c r="M14">
        <v>11</v>
      </c>
      <c r="N14" s="3">
        <f t="shared" si="9"/>
        <v>335332800</v>
      </c>
      <c r="O14" s="6">
        <f>$C$13+$C$6*$A$17*$C$10+50*'Carbon Tax'!$B$6</f>
        <v>91769412.578587338</v>
      </c>
      <c r="P14" s="3">
        <f t="shared" si="3"/>
        <v>243563387.42141265</v>
      </c>
      <c r="Q14" s="7">
        <f t="shared" si="11"/>
        <v>65762114.603781417</v>
      </c>
      <c r="R14" s="3">
        <f t="shared" si="10"/>
        <v>177801272.81763124</v>
      </c>
      <c r="S14" s="7">
        <f t="shared" si="5"/>
        <v>127355104.61838794</v>
      </c>
    </row>
    <row r="15" spans="1:19">
      <c r="A15" t="s">
        <v>22</v>
      </c>
      <c r="B15">
        <v>3.0800000000000001E-2</v>
      </c>
      <c r="E15">
        <v>12</v>
      </c>
      <c r="F15" s="2">
        <f t="shared" si="6"/>
        <v>142612800</v>
      </c>
      <c r="G15" s="2">
        <f t="shared" si="7"/>
        <v>19600000</v>
      </c>
      <c r="H15" s="2">
        <f t="shared" si="0"/>
        <v>123012800</v>
      </c>
      <c r="I15" s="2">
        <f t="shared" si="8"/>
        <v>-2182895.9999999963</v>
      </c>
      <c r="J15" s="2">
        <f t="shared" si="1"/>
        <v>123012800</v>
      </c>
      <c r="K15" s="2">
        <f t="shared" si="2"/>
        <v>85478597.027833745</v>
      </c>
      <c r="L15" s="2"/>
      <c r="M15">
        <v>12</v>
      </c>
      <c r="N15" s="3">
        <f t="shared" si="9"/>
        <v>335332800</v>
      </c>
      <c r="O15" s="6">
        <f>$C$13+$C$6*$A$17*$C$10+50*'Carbon Tax'!$B$6</f>
        <v>91769412.578587338</v>
      </c>
      <c r="P15" s="3">
        <f t="shared" si="3"/>
        <v>243563387.42141265</v>
      </c>
      <c r="Q15" s="7">
        <f t="shared" si="11"/>
        <v>65762114.603781417</v>
      </c>
      <c r="R15" s="3">
        <f t="shared" si="10"/>
        <v>177801272.81763124</v>
      </c>
      <c r="S15" s="7">
        <f t="shared" si="5"/>
        <v>123549771.65152106</v>
      </c>
    </row>
    <row r="16" spans="1:19">
      <c r="A16" t="s">
        <v>24</v>
      </c>
      <c r="B16" t="s">
        <v>25</v>
      </c>
      <c r="E16">
        <v>13</v>
      </c>
      <c r="F16" s="2">
        <f t="shared" si="6"/>
        <v>142612800</v>
      </c>
      <c r="G16" s="2">
        <f t="shared" si="7"/>
        <v>19600000</v>
      </c>
      <c r="H16" s="2">
        <f t="shared" si="0"/>
        <v>123012800</v>
      </c>
      <c r="I16" s="2">
        <f t="shared" si="8"/>
        <v>31030560.000000007</v>
      </c>
      <c r="J16" s="2">
        <f t="shared" ref="J16:J36" si="12">H16-I16</f>
        <v>91982240</v>
      </c>
      <c r="K16" s="2">
        <f t="shared" si="2"/>
        <v>62006419.349869922</v>
      </c>
      <c r="L16" s="2"/>
      <c r="M16">
        <v>13</v>
      </c>
      <c r="N16" s="3">
        <f t="shared" si="9"/>
        <v>335332800</v>
      </c>
      <c r="O16" s="6">
        <f>$C$13+$C$6*$A$17*$C$10+50*'Carbon Tax'!$B$6</f>
        <v>91769412.578587338</v>
      </c>
      <c r="P16" s="3">
        <f t="shared" si="3"/>
        <v>243563387.42141265</v>
      </c>
      <c r="Q16" s="7">
        <f t="shared" si="11"/>
        <v>65762114.603781417</v>
      </c>
      <c r="R16" s="3">
        <f t="shared" si="10"/>
        <v>177801272.81763124</v>
      </c>
      <c r="S16" s="7">
        <f t="shared" si="5"/>
        <v>119858140.91144845</v>
      </c>
    </row>
    <row r="17" spans="1:19">
      <c r="A17">
        <f>10.558/100</f>
        <v>0.10557999999999999</v>
      </c>
      <c r="B17" t="s">
        <v>26</v>
      </c>
      <c r="C17" t="s">
        <v>27</v>
      </c>
      <c r="E17">
        <v>14</v>
      </c>
      <c r="F17" s="2">
        <f t="shared" si="6"/>
        <v>142612800</v>
      </c>
      <c r="G17" s="2">
        <f t="shared" si="7"/>
        <v>19600000</v>
      </c>
      <c r="H17" s="2">
        <f t="shared" si="0"/>
        <v>123012800</v>
      </c>
      <c r="I17" s="2">
        <f t="shared" ref="I17:I36" si="13">H17*$B$14</f>
        <v>33213456.000000004</v>
      </c>
      <c r="J17" s="2">
        <f t="shared" si="12"/>
        <v>89799344</v>
      </c>
      <c r="K17" s="2">
        <f t="shared" si="2"/>
        <v>58726135.897476315</v>
      </c>
      <c r="L17" s="2"/>
      <c r="M17">
        <v>14</v>
      </c>
      <c r="N17" s="3">
        <f t="shared" si="9"/>
        <v>335332800</v>
      </c>
      <c r="O17" s="6">
        <f>$C$13+$C$6*$A$17*$C$10+50*'Carbon Tax'!$B$6</f>
        <v>91769412.578587338</v>
      </c>
      <c r="P17" s="3">
        <f t="shared" si="3"/>
        <v>243563387.42141265</v>
      </c>
      <c r="Q17" s="7">
        <f t="shared" si="11"/>
        <v>65762114.603781417</v>
      </c>
      <c r="R17" s="3">
        <f t="shared" si="10"/>
        <v>177801272.81763124</v>
      </c>
      <c r="S17" s="7">
        <f t="shared" si="5"/>
        <v>116276815.00916614</v>
      </c>
    </row>
    <row r="18" spans="1:19">
      <c r="A18">
        <f>17.7694/100</f>
        <v>0.17769400000000002</v>
      </c>
      <c r="B18" t="s">
        <v>26</v>
      </c>
      <c r="C18" t="s">
        <v>28</v>
      </c>
      <c r="E18">
        <v>15</v>
      </c>
      <c r="F18" s="2">
        <f t="shared" si="6"/>
        <v>142612800</v>
      </c>
      <c r="G18" s="2">
        <f t="shared" si="7"/>
        <v>19600000</v>
      </c>
      <c r="H18" s="2">
        <f t="shared" si="0"/>
        <v>123012800</v>
      </c>
      <c r="I18" s="2">
        <f t="shared" si="13"/>
        <v>33213456.000000004</v>
      </c>
      <c r="J18" s="2">
        <f t="shared" si="12"/>
        <v>89799344</v>
      </c>
      <c r="K18" s="2">
        <f t="shared" si="2"/>
        <v>56971416.276170276</v>
      </c>
      <c r="L18" s="2"/>
      <c r="M18">
        <v>15</v>
      </c>
      <c r="N18" s="3">
        <f t="shared" si="9"/>
        <v>335332800</v>
      </c>
      <c r="O18" s="6">
        <f>$C$13+$C$6*$A$17*$C$10+50*'Carbon Tax'!$B$6</f>
        <v>91769412.578587338</v>
      </c>
      <c r="P18" s="3">
        <f t="shared" si="3"/>
        <v>243563387.42141265</v>
      </c>
      <c r="Q18" s="7">
        <f t="shared" si="11"/>
        <v>65762114.603781417</v>
      </c>
      <c r="R18" s="3">
        <f t="shared" si="10"/>
        <v>177801272.81763124</v>
      </c>
      <c r="S18" s="7">
        <f t="shared" si="5"/>
        <v>112802498.06865169</v>
      </c>
    </row>
    <row r="19" spans="1:19">
      <c r="E19">
        <v>16</v>
      </c>
      <c r="F19" s="2">
        <f t="shared" si="6"/>
        <v>142612800</v>
      </c>
      <c r="G19" s="2">
        <f t="shared" si="7"/>
        <v>19600000</v>
      </c>
      <c r="H19" s="2">
        <f t="shared" si="0"/>
        <v>123012800</v>
      </c>
      <c r="I19" s="2">
        <f t="shared" si="13"/>
        <v>33213456.000000004</v>
      </c>
      <c r="J19" s="2">
        <f t="shared" si="12"/>
        <v>89799344</v>
      </c>
      <c r="K19" s="2">
        <f t="shared" si="2"/>
        <v>55269127.159652956</v>
      </c>
      <c r="L19" s="2"/>
      <c r="M19">
        <v>16</v>
      </c>
      <c r="N19" s="3">
        <f t="shared" si="9"/>
        <v>335332800</v>
      </c>
      <c r="O19" s="6">
        <f>$C$13+$C$6*$A$17*$C$10+50*'Carbon Tax'!$B$6</f>
        <v>91769412.578587338</v>
      </c>
      <c r="P19" s="3">
        <f t="shared" si="3"/>
        <v>243563387.42141265</v>
      </c>
      <c r="Q19" s="7">
        <f t="shared" si="11"/>
        <v>65762114.603781417</v>
      </c>
      <c r="R19" s="3">
        <f t="shared" si="10"/>
        <v>177801272.81763124</v>
      </c>
      <c r="S19" s="7">
        <f t="shared" si="5"/>
        <v>109431992.69368613</v>
      </c>
    </row>
    <row r="20" spans="1:19">
      <c r="A20" t="s">
        <v>29</v>
      </c>
      <c r="B20">
        <v>33</v>
      </c>
      <c r="C20">
        <v>55</v>
      </c>
      <c r="E20">
        <v>17</v>
      </c>
      <c r="F20" s="2">
        <f t="shared" si="6"/>
        <v>142612800</v>
      </c>
      <c r="G20" s="2">
        <f t="shared" si="7"/>
        <v>19600000</v>
      </c>
      <c r="H20" s="2">
        <f t="shared" si="0"/>
        <v>123012800</v>
      </c>
      <c r="I20" s="2">
        <f t="shared" si="13"/>
        <v>33213456.000000004</v>
      </c>
      <c r="J20" s="2">
        <f t="shared" si="12"/>
        <v>89799344</v>
      </c>
      <c r="K20" s="2">
        <f t="shared" si="2"/>
        <v>53617701.939903915</v>
      </c>
      <c r="L20" s="2"/>
      <c r="M20">
        <v>17</v>
      </c>
      <c r="N20" s="3">
        <f t="shared" si="9"/>
        <v>335332800</v>
      </c>
      <c r="O20" s="6">
        <f>$C$13+$C$6*$A$17*$C$10+50*'Carbon Tax'!$B$6</f>
        <v>91769412.578587338</v>
      </c>
      <c r="P20" s="3">
        <f t="shared" si="3"/>
        <v>243563387.42141265</v>
      </c>
      <c r="Q20" s="7">
        <f t="shared" si="11"/>
        <v>65762114.603781417</v>
      </c>
      <c r="R20" s="3">
        <f t="shared" si="10"/>
        <v>177801272.81763124</v>
      </c>
      <c r="S20" s="7">
        <f t="shared" si="5"/>
        <v>106162197.02530669</v>
      </c>
    </row>
    <row r="21" spans="1:19">
      <c r="A21" t="s">
        <v>30</v>
      </c>
      <c r="B21">
        <v>165</v>
      </c>
      <c r="E21">
        <v>18</v>
      </c>
      <c r="F21" s="2">
        <f t="shared" si="6"/>
        <v>142612800</v>
      </c>
      <c r="G21" s="2">
        <f t="shared" si="7"/>
        <v>19600000</v>
      </c>
      <c r="H21" s="2">
        <f t="shared" si="0"/>
        <v>123012800</v>
      </c>
      <c r="I21" s="2">
        <f t="shared" si="13"/>
        <v>33213456.000000004</v>
      </c>
      <c r="J21" s="2">
        <f t="shared" si="12"/>
        <v>89799344</v>
      </c>
      <c r="K21" s="2">
        <f t="shared" si="2"/>
        <v>52015620.818688318</v>
      </c>
      <c r="L21" s="2"/>
      <c r="M21">
        <v>18</v>
      </c>
      <c r="N21" s="3">
        <f t="shared" si="9"/>
        <v>335332800</v>
      </c>
      <c r="O21" s="6">
        <f>$C$13+$C$6*$A$17*$C$10+50*'Carbon Tax'!$B$6</f>
        <v>91769412.578587338</v>
      </c>
      <c r="P21" s="3">
        <f t="shared" si="3"/>
        <v>243563387.42141265</v>
      </c>
      <c r="Q21" s="7">
        <f t="shared" si="11"/>
        <v>65762114.603781417</v>
      </c>
      <c r="R21" s="3">
        <f t="shared" si="10"/>
        <v>177801272.81763124</v>
      </c>
      <c r="S21" s="7">
        <f t="shared" si="5"/>
        <v>102990101.88718151</v>
      </c>
    </row>
    <row r="22" spans="1:19">
      <c r="A22" t="s">
        <v>31</v>
      </c>
      <c r="B22">
        <v>5</v>
      </c>
      <c r="C22">
        <v>3</v>
      </c>
      <c r="E22">
        <v>19</v>
      </c>
      <c r="F22" s="2">
        <f t="shared" si="6"/>
        <v>142612800</v>
      </c>
      <c r="G22" s="2">
        <f t="shared" si="7"/>
        <v>19600000</v>
      </c>
      <c r="H22" s="2">
        <f t="shared" si="0"/>
        <v>123012800</v>
      </c>
      <c r="I22" s="2">
        <f t="shared" si="13"/>
        <v>33213456.000000004</v>
      </c>
      <c r="J22" s="2">
        <f t="shared" si="12"/>
        <v>89799344</v>
      </c>
      <c r="K22" s="2">
        <f t="shared" si="2"/>
        <v>50461409.408894375</v>
      </c>
      <c r="L22" s="2"/>
      <c r="M22">
        <v>19</v>
      </c>
      <c r="N22" s="3">
        <f t="shared" si="9"/>
        <v>335332800</v>
      </c>
      <c r="O22" s="6">
        <f>$C$13+$C$6*$A$17*$C$10+50*'Carbon Tax'!$B$6</f>
        <v>91769412.578587338</v>
      </c>
      <c r="P22" s="3">
        <f t="shared" si="3"/>
        <v>243563387.42141265</v>
      </c>
      <c r="Q22" s="7">
        <f t="shared" si="11"/>
        <v>65762114.603781417</v>
      </c>
      <c r="R22" s="3">
        <f t="shared" si="10"/>
        <v>177801272.81763124</v>
      </c>
      <c r="S22" s="7">
        <f t="shared" si="5"/>
        <v>99912788.016280085</v>
      </c>
    </row>
    <row r="23" spans="1:19">
      <c r="A23" t="s">
        <v>9</v>
      </c>
      <c r="B23" s="2">
        <f>K37</f>
        <v>712009634.63869607</v>
      </c>
      <c r="C23" s="2">
        <f>S59</f>
        <v>3586866618.9439297</v>
      </c>
      <c r="E23">
        <v>20</v>
      </c>
      <c r="F23" s="2">
        <f t="shared" si="6"/>
        <v>142612800</v>
      </c>
      <c r="G23" s="2">
        <f t="shared" si="7"/>
        <v>19600000</v>
      </c>
      <c r="H23" s="2">
        <f t="shared" si="0"/>
        <v>123012800</v>
      </c>
      <c r="I23" s="2">
        <f t="shared" si="13"/>
        <v>33213456.000000004</v>
      </c>
      <c r="J23" s="2">
        <f t="shared" si="12"/>
        <v>89799344</v>
      </c>
      <c r="K23" s="2">
        <f t="shared" si="2"/>
        <v>48953637.377662368</v>
      </c>
      <c r="L23" s="2"/>
      <c r="M23">
        <v>20</v>
      </c>
      <c r="N23" s="3">
        <f t="shared" si="9"/>
        <v>335332800</v>
      </c>
      <c r="O23" s="6">
        <f>$C$13+$C$6*$A$17*$C$10+50*'Carbon Tax'!$B$6</f>
        <v>91769412.578587338</v>
      </c>
      <c r="P23" s="3">
        <f t="shared" si="3"/>
        <v>243563387.42141265</v>
      </c>
      <c r="Q23" s="7">
        <f t="shared" si="11"/>
        <v>65762114.603781417</v>
      </c>
      <c r="R23" s="3">
        <f t="shared" si="10"/>
        <v>177801272.81763124</v>
      </c>
      <c r="S23" s="7">
        <f t="shared" si="5"/>
        <v>96927423.376290336</v>
      </c>
    </row>
    <row r="24" spans="1:19">
      <c r="A24" t="s">
        <v>32</v>
      </c>
      <c r="B24" s="2">
        <f>B23+B23/(1+B15)^33+B23/(1+B15)^(33*2)+B23/(1+B15)^(33*3)+B23/(1+B15)^(33*4)</f>
        <v>1118142881.2001121</v>
      </c>
      <c r="C24" s="2">
        <f>C23+C23/(1+B15)^55+C23/(1+B15)^110</f>
        <v>4390646466.9784088</v>
      </c>
      <c r="E24">
        <v>21</v>
      </c>
      <c r="F24" s="2">
        <f t="shared" si="6"/>
        <v>142612800</v>
      </c>
      <c r="G24" s="2">
        <f t="shared" si="7"/>
        <v>19600000</v>
      </c>
      <c r="H24" s="2">
        <f t="shared" si="0"/>
        <v>123012800</v>
      </c>
      <c r="I24" s="2">
        <f t="shared" si="13"/>
        <v>33213456.000000004</v>
      </c>
      <c r="J24" s="2">
        <f t="shared" si="12"/>
        <v>89799344</v>
      </c>
      <c r="K24" s="2">
        <f t="shared" si="2"/>
        <v>47490917.130056627</v>
      </c>
      <c r="L24" s="2"/>
      <c r="M24">
        <v>21</v>
      </c>
      <c r="N24" s="3">
        <f t="shared" si="9"/>
        <v>335332800</v>
      </c>
      <c r="O24" s="6">
        <f>$C$13+$C$6*$A$17*$C$10+50*'Carbon Tax'!$B$6</f>
        <v>91769412.578587338</v>
      </c>
      <c r="P24" s="3">
        <f t="shared" si="3"/>
        <v>243563387.42141265</v>
      </c>
      <c r="Q24" s="7">
        <f t="shared" si="11"/>
        <v>65762114.603781417</v>
      </c>
      <c r="R24" s="3">
        <f t="shared" si="10"/>
        <v>177801272.81763124</v>
      </c>
      <c r="S24" s="7">
        <f t="shared" si="5"/>
        <v>94031260.551309988</v>
      </c>
    </row>
    <row r="25" spans="1:19">
      <c r="A25" t="s">
        <v>33</v>
      </c>
      <c r="B25" s="8">
        <f>MIRR(J3:J36,B15,B15)</f>
        <v>4.6339110449962195E-2</v>
      </c>
      <c r="C25" s="8">
        <f>MIRR(R3:R58,B15,B15)</f>
        <v>7.6337379625316615E-2</v>
      </c>
      <c r="E25">
        <v>22</v>
      </c>
      <c r="F25" s="2">
        <f t="shared" si="6"/>
        <v>142612800</v>
      </c>
      <c r="G25" s="2">
        <f t="shared" si="7"/>
        <v>19600000</v>
      </c>
      <c r="H25" s="2">
        <f t="shared" si="0"/>
        <v>123012800</v>
      </c>
      <c r="I25" s="2">
        <f t="shared" si="13"/>
        <v>33213456.000000004</v>
      </c>
      <c r="J25" s="2">
        <f t="shared" si="12"/>
        <v>89799344</v>
      </c>
      <c r="K25" s="2">
        <f t="shared" si="2"/>
        <v>46071902.532068901</v>
      </c>
      <c r="L25" s="2"/>
      <c r="M25">
        <v>22</v>
      </c>
      <c r="N25" s="3">
        <f t="shared" si="9"/>
        <v>335332800</v>
      </c>
      <c r="O25" s="6">
        <f>$C$13+$C$6*$A$17*$C$10+50*'Carbon Tax'!$B$6</f>
        <v>91769412.578587338</v>
      </c>
      <c r="P25" s="3">
        <f t="shared" si="3"/>
        <v>243563387.42141265</v>
      </c>
      <c r="Q25" s="7">
        <f t="shared" si="11"/>
        <v>65762114.603781417</v>
      </c>
      <c r="R25" s="3">
        <f t="shared" si="10"/>
        <v>177801272.81763124</v>
      </c>
      <c r="S25" s="7">
        <f t="shared" si="5"/>
        <v>91221634.217413649</v>
      </c>
    </row>
    <row r="26" spans="1:19">
      <c r="E26">
        <v>23</v>
      </c>
      <c r="F26" s="2">
        <f t="shared" si="6"/>
        <v>142612800</v>
      </c>
      <c r="G26" s="2">
        <f t="shared" si="7"/>
        <v>19600000</v>
      </c>
      <c r="H26" s="2">
        <f t="shared" si="0"/>
        <v>123012800</v>
      </c>
      <c r="I26" s="2">
        <f t="shared" si="13"/>
        <v>33213456.000000004</v>
      </c>
      <c r="J26" s="2">
        <f t="shared" si="12"/>
        <v>89799344</v>
      </c>
      <c r="K26" s="2">
        <f t="shared" si="2"/>
        <v>44695287.67177815</v>
      </c>
      <c r="L26" s="2"/>
      <c r="M26">
        <v>23</v>
      </c>
      <c r="N26" s="3">
        <f t="shared" si="9"/>
        <v>335332800</v>
      </c>
      <c r="O26" s="6">
        <f>$C$13+$C$6*$A$17*$C$10+50*'Carbon Tax'!$B$6</f>
        <v>91769412.578587338</v>
      </c>
      <c r="P26" s="3">
        <f t="shared" si="3"/>
        <v>243563387.42141265</v>
      </c>
      <c r="Q26" s="7">
        <f t="shared" si="11"/>
        <v>65762114.603781417</v>
      </c>
      <c r="R26" s="3">
        <f t="shared" si="10"/>
        <v>177801272.81763124</v>
      </c>
      <c r="S26" s="7">
        <f t="shared" si="5"/>
        <v>88495958.689768791</v>
      </c>
    </row>
    <row r="27" spans="1:19">
      <c r="E27">
        <v>24</v>
      </c>
      <c r="F27" s="2">
        <f t="shared" si="6"/>
        <v>142612800</v>
      </c>
      <c r="G27" s="2">
        <f t="shared" si="7"/>
        <v>19600000</v>
      </c>
      <c r="H27" s="2">
        <f t="shared" si="0"/>
        <v>123012800</v>
      </c>
      <c r="I27" s="2">
        <f t="shared" si="13"/>
        <v>33213456.000000004</v>
      </c>
      <c r="J27" s="2">
        <f t="shared" si="12"/>
        <v>89799344</v>
      </c>
      <c r="K27" s="2">
        <f t="shared" si="2"/>
        <v>43359805.657526329</v>
      </c>
      <c r="L27" s="2"/>
      <c r="M27">
        <v>24</v>
      </c>
      <c r="N27" s="3">
        <f t="shared" si="9"/>
        <v>335332800</v>
      </c>
      <c r="O27" s="6">
        <f>$C$13+$C$6*$A$17*$C$10+50*'Carbon Tax'!$B$6</f>
        <v>91769412.578587338</v>
      </c>
      <c r="P27" s="3">
        <f t="shared" si="3"/>
        <v>243563387.42141265</v>
      </c>
      <c r="Q27" s="7">
        <f t="shared" si="11"/>
        <v>65762114.603781417</v>
      </c>
      <c r="R27" s="3">
        <f t="shared" si="10"/>
        <v>177801272.81763124</v>
      </c>
      <c r="S27" s="7">
        <f t="shared" si="5"/>
        <v>85851725.543043047</v>
      </c>
    </row>
    <row r="28" spans="1:19">
      <c r="E28">
        <v>25</v>
      </c>
      <c r="F28" s="2">
        <f t="shared" si="6"/>
        <v>142612800</v>
      </c>
      <c r="G28" s="2">
        <f t="shared" si="7"/>
        <v>19600000</v>
      </c>
      <c r="H28" s="2">
        <f t="shared" si="0"/>
        <v>123012800</v>
      </c>
      <c r="I28" s="2">
        <f t="shared" si="13"/>
        <v>33213456.000000004</v>
      </c>
      <c r="J28" s="2">
        <f t="shared" si="12"/>
        <v>89799344</v>
      </c>
      <c r="K28" s="2">
        <f t="shared" si="2"/>
        <v>42064227.452004589</v>
      </c>
      <c r="L28" s="2"/>
      <c r="M28">
        <v>25</v>
      </c>
      <c r="N28" s="3">
        <f t="shared" si="9"/>
        <v>335332800</v>
      </c>
      <c r="O28" s="6">
        <f>$C$13+$C$6*$A$17*$C$10+50*'Carbon Tax'!$B$6</f>
        <v>91769412.578587338</v>
      </c>
      <c r="P28" s="3">
        <f t="shared" si="3"/>
        <v>243563387.42141265</v>
      </c>
      <c r="Q28" s="7">
        <f t="shared" si="11"/>
        <v>65762114.603781417</v>
      </c>
      <c r="R28" s="3">
        <f t="shared" si="10"/>
        <v>177801272.81763124</v>
      </c>
      <c r="S28" s="7">
        <f t="shared" si="5"/>
        <v>83286501.302913323</v>
      </c>
    </row>
    <row r="29" spans="1:19">
      <c r="E29">
        <v>26</v>
      </c>
      <c r="F29" s="2">
        <f t="shared" si="6"/>
        <v>142612800</v>
      </c>
      <c r="G29" s="2">
        <f t="shared" si="7"/>
        <v>19600000</v>
      </c>
      <c r="H29" s="2">
        <f t="shared" si="0"/>
        <v>123012800</v>
      </c>
      <c r="I29" s="2">
        <f t="shared" si="13"/>
        <v>33213456.000000004</v>
      </c>
      <c r="J29" s="2">
        <f t="shared" si="12"/>
        <v>89799344</v>
      </c>
      <c r="K29" s="2">
        <f t="shared" si="2"/>
        <v>40807360.741176359</v>
      </c>
      <c r="L29" s="2"/>
      <c r="M29">
        <v>26</v>
      </c>
      <c r="N29" s="3">
        <f t="shared" si="9"/>
        <v>335332800</v>
      </c>
      <c r="O29" s="6">
        <f>$C$13+$C$6*$A$17*$C$10+50*'Carbon Tax'!$B$6</f>
        <v>91769412.578587338</v>
      </c>
      <c r="P29" s="3">
        <f t="shared" si="3"/>
        <v>243563387.42141265</v>
      </c>
      <c r="Q29" s="7">
        <f t="shared" si="11"/>
        <v>65762114.603781417</v>
      </c>
      <c r="R29" s="3">
        <f t="shared" si="10"/>
        <v>177801272.81763124</v>
      </c>
      <c r="S29" s="7">
        <f t="shared" si="5"/>
        <v>80797925.206551537</v>
      </c>
    </row>
    <row r="30" spans="1:19">
      <c r="E30">
        <v>27</v>
      </c>
      <c r="F30" s="2">
        <f t="shared" si="6"/>
        <v>142612800</v>
      </c>
      <c r="G30" s="2">
        <f t="shared" si="7"/>
        <v>19600000</v>
      </c>
      <c r="H30" s="2">
        <f t="shared" si="0"/>
        <v>123012800</v>
      </c>
      <c r="I30" s="2">
        <f t="shared" si="13"/>
        <v>33213456.000000004</v>
      </c>
      <c r="J30" s="2">
        <f t="shared" si="12"/>
        <v>89799344</v>
      </c>
      <c r="K30" s="2">
        <f t="shared" si="2"/>
        <v>39588048.836996861</v>
      </c>
      <c r="L30" s="2"/>
      <c r="M30">
        <v>27</v>
      </c>
      <c r="N30" s="3">
        <f t="shared" si="9"/>
        <v>335332800</v>
      </c>
      <c r="O30" s="6">
        <f>$C$13+$C$6*$A$17*$C$10+50*'Carbon Tax'!$B$6</f>
        <v>91769412.578587338</v>
      </c>
      <c r="P30" s="3">
        <f t="shared" si="3"/>
        <v>243563387.42141265</v>
      </c>
      <c r="Q30" s="7">
        <f t="shared" si="11"/>
        <v>65762114.603781417</v>
      </c>
      <c r="R30" s="3">
        <f t="shared" si="10"/>
        <v>177801272.81763124</v>
      </c>
      <c r="S30" s="7">
        <f t="shared" si="5"/>
        <v>78383707.030026719</v>
      </c>
    </row>
    <row r="31" spans="1:19">
      <c r="E31">
        <v>28</v>
      </c>
      <c r="F31" s="2">
        <f t="shared" si="6"/>
        <v>142612800</v>
      </c>
      <c r="G31" s="2">
        <f t="shared" si="7"/>
        <v>19600000</v>
      </c>
      <c r="H31" s="2">
        <f t="shared" si="0"/>
        <v>123012800</v>
      </c>
      <c r="I31" s="2">
        <f t="shared" si="13"/>
        <v>33213456.000000004</v>
      </c>
      <c r="J31" s="2">
        <f t="shared" si="12"/>
        <v>89799344</v>
      </c>
      <c r="K31" s="2">
        <f t="shared" si="2"/>
        <v>38405169.612918951</v>
      </c>
      <c r="L31" s="2"/>
      <c r="M31">
        <v>28</v>
      </c>
      <c r="N31" s="3">
        <f t="shared" si="9"/>
        <v>335332800</v>
      </c>
      <c r="O31" s="6">
        <f>$C$13+$C$6*$A$17*$C$10+50*'Carbon Tax'!$B$6</f>
        <v>91769412.578587338</v>
      </c>
      <c r="P31" s="3">
        <f t="shared" si="3"/>
        <v>243563387.42141265</v>
      </c>
      <c r="Q31" s="7">
        <f t="shared" si="11"/>
        <v>65762114.603781417</v>
      </c>
      <c r="R31" s="3">
        <f t="shared" si="10"/>
        <v>177801272.81763124</v>
      </c>
      <c r="S31" s="7">
        <f t="shared" si="5"/>
        <v>76041624.980623499</v>
      </c>
    </row>
    <row r="32" spans="1:19">
      <c r="E32">
        <v>29</v>
      </c>
      <c r="F32" s="2">
        <f t="shared" si="6"/>
        <v>142612800</v>
      </c>
      <c r="G32" s="2">
        <f t="shared" si="7"/>
        <v>19600000</v>
      </c>
      <c r="H32" s="2">
        <f t="shared" si="0"/>
        <v>123012800</v>
      </c>
      <c r="I32" s="2">
        <f t="shared" si="13"/>
        <v>33213456.000000004</v>
      </c>
      <c r="J32" s="2">
        <f t="shared" si="12"/>
        <v>89799344</v>
      </c>
      <c r="K32" s="2">
        <f t="shared" si="2"/>
        <v>37257634.471205816</v>
      </c>
      <c r="L32" s="2"/>
      <c r="M32">
        <v>29</v>
      </c>
      <c r="N32" s="3">
        <f t="shared" si="9"/>
        <v>335332800</v>
      </c>
      <c r="O32" s="6">
        <f>$C$13+$C$6*$A$17*$C$10+50*'Carbon Tax'!$B$6</f>
        <v>91769412.578587338</v>
      </c>
      <c r="P32" s="3">
        <f t="shared" si="3"/>
        <v>243563387.42141265</v>
      </c>
      <c r="Q32" s="7">
        <f t="shared" si="11"/>
        <v>65762114.603781417</v>
      </c>
      <c r="R32" s="3">
        <f t="shared" si="10"/>
        <v>177801272.81763124</v>
      </c>
      <c r="S32" s="7">
        <f t="shared" si="5"/>
        <v>73769523.652137667</v>
      </c>
    </row>
    <row r="33" spans="5:19">
      <c r="E33">
        <v>30</v>
      </c>
      <c r="F33" s="2">
        <f t="shared" si="6"/>
        <v>142612800</v>
      </c>
      <c r="G33" s="2">
        <f t="shared" si="7"/>
        <v>19600000</v>
      </c>
      <c r="H33" s="2">
        <f t="shared" si="0"/>
        <v>123012800</v>
      </c>
      <c r="I33" s="2">
        <f t="shared" si="13"/>
        <v>33213456.000000004</v>
      </c>
      <c r="J33" s="2">
        <f t="shared" si="12"/>
        <v>89799344</v>
      </c>
      <c r="K33" s="2">
        <f t="shared" si="2"/>
        <v>36144387.341099933</v>
      </c>
      <c r="L33" s="2"/>
      <c r="M33">
        <v>30</v>
      </c>
      <c r="N33" s="3">
        <f t="shared" si="9"/>
        <v>335332800</v>
      </c>
      <c r="O33" s="6">
        <f>$C$13+$C$6*$A$17*$C$10+50*'Carbon Tax'!$B$6</f>
        <v>91769412.578587338</v>
      </c>
      <c r="P33" s="3">
        <f t="shared" si="3"/>
        <v>243563387.42141265</v>
      </c>
      <c r="Q33" s="7">
        <f t="shared" si="11"/>
        <v>65762114.603781417</v>
      </c>
      <c r="R33" s="3">
        <f t="shared" si="10"/>
        <v>177801272.81763124</v>
      </c>
      <c r="S33" s="7">
        <f t="shared" si="5"/>
        <v>71565312.041266665</v>
      </c>
    </row>
    <row r="34" spans="5:19">
      <c r="E34">
        <v>31</v>
      </c>
      <c r="F34" s="2">
        <f t="shared" si="6"/>
        <v>142612800</v>
      </c>
      <c r="G34" s="2">
        <f t="shared" si="7"/>
        <v>19600000</v>
      </c>
      <c r="H34" s="2">
        <f t="shared" si="0"/>
        <v>123012800</v>
      </c>
      <c r="I34" s="2">
        <f t="shared" si="13"/>
        <v>33213456.000000004</v>
      </c>
      <c r="J34" s="2">
        <f t="shared" si="12"/>
        <v>89799344</v>
      </c>
      <c r="K34" s="2">
        <f t="shared" si="2"/>
        <v>35064403.706926599</v>
      </c>
      <c r="L34" s="2"/>
      <c r="M34">
        <v>31</v>
      </c>
      <c r="N34" s="3">
        <f t="shared" si="9"/>
        <v>335332800</v>
      </c>
      <c r="O34" s="6">
        <f>$C$13+$C$6*$A$17*$C$10+50*'Carbon Tax'!$B$6</f>
        <v>91769412.578587338</v>
      </c>
      <c r="P34" s="3">
        <f t="shared" si="3"/>
        <v>243563387.42141265</v>
      </c>
      <c r="Q34" s="7">
        <f t="shared" si="11"/>
        <v>65762114.603781417</v>
      </c>
      <c r="R34" s="3">
        <f t="shared" si="10"/>
        <v>177801272.81763124</v>
      </c>
      <c r="S34" s="7">
        <f t="shared" si="5"/>
        <v>69426961.62326996</v>
      </c>
    </row>
    <row r="35" spans="5:19">
      <c r="E35">
        <v>32</v>
      </c>
      <c r="F35" s="2">
        <f t="shared" si="6"/>
        <v>142612800</v>
      </c>
      <c r="G35" s="2">
        <f t="shared" si="7"/>
        <v>19600000</v>
      </c>
      <c r="H35" s="2">
        <f t="shared" si="0"/>
        <v>123012800</v>
      </c>
      <c r="I35" s="2">
        <f t="shared" si="13"/>
        <v>33213456.000000004</v>
      </c>
      <c r="J35" s="2">
        <f t="shared" si="12"/>
        <v>89799344</v>
      </c>
      <c r="K35" s="2">
        <f t="shared" si="2"/>
        <v>34016689.665237285</v>
      </c>
      <c r="L35" s="2"/>
      <c r="M35">
        <v>32</v>
      </c>
      <c r="N35" s="3">
        <f t="shared" si="9"/>
        <v>335332800</v>
      </c>
      <c r="O35" s="6">
        <f>$C$13+$C$6*$A$17*$C$10+50*'Carbon Tax'!$B$6</f>
        <v>91769412.578587338</v>
      </c>
      <c r="P35" s="3">
        <f t="shared" ref="P35:P58" si="14">N35-O35</f>
        <v>243563387.42141265</v>
      </c>
      <c r="Q35" s="7">
        <f t="shared" si="11"/>
        <v>65762114.603781417</v>
      </c>
      <c r="R35" s="3">
        <f t="shared" si="10"/>
        <v>177801272.81763124</v>
      </c>
      <c r="S35" s="7">
        <f t="shared" ref="S35:S58" si="15">R35/(1+$B$15)^M35</f>
        <v>67352504.485127985</v>
      </c>
    </row>
    <row r="36" spans="5:19">
      <c r="E36">
        <v>33</v>
      </c>
      <c r="F36" s="2">
        <f t="shared" si="6"/>
        <v>142612800</v>
      </c>
      <c r="G36" s="2">
        <f t="shared" si="7"/>
        <v>19600000</v>
      </c>
      <c r="H36" s="2">
        <f t="shared" si="0"/>
        <v>123012800</v>
      </c>
      <c r="I36" s="2">
        <f t="shared" si="13"/>
        <v>33213456.000000004</v>
      </c>
      <c r="J36" s="2">
        <f t="shared" si="12"/>
        <v>89799344</v>
      </c>
      <c r="K36" s="2">
        <f t="shared" si="2"/>
        <v>33000281.010125425</v>
      </c>
      <c r="L36" s="2"/>
      <c r="M36">
        <v>33</v>
      </c>
      <c r="N36" s="3">
        <f t="shared" si="9"/>
        <v>335332800</v>
      </c>
      <c r="O36" s="6">
        <f>$C$13+$C$6*$A$17*$C$10+50*'Carbon Tax'!$B$6</f>
        <v>91769412.578587338</v>
      </c>
      <c r="P36" s="3">
        <f t="shared" si="14"/>
        <v>243563387.42141265</v>
      </c>
      <c r="Q36" s="7">
        <f t="shared" si="11"/>
        <v>65762114.603781417</v>
      </c>
      <c r="R36" s="3">
        <f t="shared" si="10"/>
        <v>177801272.81763124</v>
      </c>
      <c r="S36" s="7">
        <f t="shared" si="15"/>
        <v>65340031.514481954</v>
      </c>
    </row>
    <row r="37" spans="5:19">
      <c r="G37" s="2"/>
      <c r="H37" s="2"/>
      <c r="I37" s="2"/>
      <c r="J37" s="2"/>
      <c r="K37" s="2">
        <f>SUM(K3:K36)</f>
        <v>712009634.63869607</v>
      </c>
      <c r="M37">
        <v>34</v>
      </c>
      <c r="N37" s="3">
        <f t="shared" si="9"/>
        <v>335332800</v>
      </c>
      <c r="O37" s="6">
        <f>$C$13+$C$6*$A$17*$C$10+50*'Carbon Tax'!$B$6</f>
        <v>91769412.578587338</v>
      </c>
      <c r="P37" s="3">
        <f t="shared" si="14"/>
        <v>243563387.42141265</v>
      </c>
      <c r="Q37" s="7">
        <f t="shared" si="11"/>
        <v>65762114.603781417</v>
      </c>
      <c r="R37" s="3">
        <f t="shared" si="10"/>
        <v>177801272.81763124</v>
      </c>
      <c r="S37" s="7">
        <f t="shared" si="15"/>
        <v>63387690.642687194</v>
      </c>
    </row>
    <row r="38" spans="5:19">
      <c r="G38" s="2"/>
      <c r="H38" s="2"/>
      <c r="I38" s="2"/>
      <c r="J38" s="2"/>
      <c r="K38" s="2"/>
      <c r="M38">
        <v>35</v>
      </c>
      <c r="N38" s="3">
        <f t="shared" si="9"/>
        <v>335332800</v>
      </c>
      <c r="O38" s="6">
        <f>$C$13+$C$6*$A$17*$C$10+50*'Carbon Tax'!$B$6</f>
        <v>91769412.578587338</v>
      </c>
      <c r="P38" s="3">
        <f t="shared" si="14"/>
        <v>243563387.42141265</v>
      </c>
      <c r="Q38" s="7">
        <f t="shared" si="11"/>
        <v>65762114.603781417</v>
      </c>
      <c r="R38" s="3">
        <f t="shared" si="10"/>
        <v>177801272.81763124</v>
      </c>
      <c r="S38" s="7">
        <f t="shared" si="15"/>
        <v>61493685.140363984</v>
      </c>
    </row>
    <row r="39" spans="5:19">
      <c r="G39" s="2"/>
      <c r="H39" s="2"/>
      <c r="I39" s="2"/>
      <c r="J39" s="2"/>
      <c r="K39" s="2"/>
      <c r="M39">
        <v>36</v>
      </c>
      <c r="N39" s="3">
        <f t="shared" si="9"/>
        <v>335332800</v>
      </c>
      <c r="O39" s="6">
        <f>$C$13+$C$6*$A$17*$C$10+50*'Carbon Tax'!$B$6</f>
        <v>91769412.578587338</v>
      </c>
      <c r="P39" s="3">
        <f t="shared" si="14"/>
        <v>243563387.42141265</v>
      </c>
      <c r="Q39" s="7">
        <f t="shared" si="11"/>
        <v>65762114.603781417</v>
      </c>
      <c r="R39" s="3">
        <f t="shared" si="10"/>
        <v>177801272.81763124</v>
      </c>
      <c r="S39" s="7">
        <f t="shared" si="15"/>
        <v>59656271.963876583</v>
      </c>
    </row>
    <row r="40" spans="5:19">
      <c r="G40" s="2"/>
      <c r="H40" s="2"/>
      <c r="I40" s="2"/>
      <c r="J40" s="2"/>
      <c r="K40" s="2"/>
      <c r="M40">
        <v>37</v>
      </c>
      <c r="N40" s="3">
        <f t="shared" si="9"/>
        <v>335332800</v>
      </c>
      <c r="O40" s="6">
        <f>$C$13+$C$6*$A$17*$C$10+50*'Carbon Tax'!$B$6</f>
        <v>91769412.578587338</v>
      </c>
      <c r="P40" s="3">
        <f t="shared" si="14"/>
        <v>243563387.42141265</v>
      </c>
      <c r="Q40" s="7">
        <f t="shared" si="11"/>
        <v>65762114.603781417</v>
      </c>
      <c r="R40" s="3">
        <f t="shared" si="10"/>
        <v>177801272.81763124</v>
      </c>
      <c r="S40" s="7">
        <f t="shared" si="15"/>
        <v>57873760.151219033</v>
      </c>
    </row>
    <row r="41" spans="5:19">
      <c r="G41" s="2"/>
      <c r="H41" s="2"/>
      <c r="I41" s="2"/>
      <c r="J41" s="2"/>
      <c r="K41" s="2"/>
      <c r="M41">
        <v>38</v>
      </c>
      <c r="N41" s="3">
        <f t="shared" ref="N41:N58" si="16">$C$11</f>
        <v>335332800</v>
      </c>
      <c r="O41" s="6">
        <f>$C$13+$C$6*$A$17*$C$10+50*'Carbon Tax'!$B$6</f>
        <v>91769412.578587338</v>
      </c>
      <c r="P41" s="3">
        <f t="shared" si="14"/>
        <v>243563387.42141265</v>
      </c>
      <c r="Q41" s="7">
        <f t="shared" si="11"/>
        <v>65762114.603781417</v>
      </c>
      <c r="R41" s="3">
        <f t="shared" si="10"/>
        <v>177801272.81763124</v>
      </c>
      <c r="S41" s="7">
        <f t="shared" si="15"/>
        <v>56144509.265831426</v>
      </c>
    </row>
    <row r="42" spans="5:19">
      <c r="G42" s="2"/>
      <c r="H42" s="2"/>
      <c r="I42" s="2"/>
      <c r="J42" s="2"/>
      <c r="K42" s="2"/>
      <c r="M42">
        <v>39</v>
      </c>
      <c r="N42" s="3">
        <f t="shared" si="16"/>
        <v>335332800</v>
      </c>
      <c r="O42" s="6">
        <f>$C$13+$C$6*$A$17*$C$10+50*'Carbon Tax'!$B$6</f>
        <v>91769412.578587338</v>
      </c>
      <c r="P42" s="3">
        <f t="shared" si="14"/>
        <v>243563387.42141265</v>
      </c>
      <c r="Q42" s="7">
        <f t="shared" si="11"/>
        <v>65762114.603781417</v>
      </c>
      <c r="R42" s="3">
        <f t="shared" ref="R42:R58" si="17">P42-Q42</f>
        <v>177801272.81763124</v>
      </c>
      <c r="S42" s="7">
        <f t="shared" si="15"/>
        <v>54466927.886914469</v>
      </c>
    </row>
    <row r="43" spans="5:19">
      <c r="G43" s="2"/>
      <c r="H43" s="2"/>
      <c r="I43" s="2"/>
      <c r="J43" s="2"/>
      <c r="K43" s="2"/>
      <c r="M43">
        <v>40</v>
      </c>
      <c r="N43" s="3">
        <f t="shared" si="16"/>
        <v>335332800</v>
      </c>
      <c r="O43" s="6">
        <f>$C$13+$C$6*$A$17*$C$10+50*'Carbon Tax'!$B$6</f>
        <v>91769412.578587338</v>
      </c>
      <c r="P43" s="3">
        <f t="shared" si="14"/>
        <v>243563387.42141265</v>
      </c>
      <c r="Q43" s="7">
        <f t="shared" si="11"/>
        <v>65762114.603781417</v>
      </c>
      <c r="R43" s="3">
        <f t="shared" si="17"/>
        <v>177801272.81763124</v>
      </c>
      <c r="S43" s="7">
        <f t="shared" si="15"/>
        <v>52839472.144852988</v>
      </c>
    </row>
    <row r="44" spans="5:19">
      <c r="G44" s="2"/>
      <c r="H44" s="2"/>
      <c r="I44" s="2"/>
      <c r="J44" s="2"/>
      <c r="K44" s="2"/>
      <c r="M44">
        <v>41</v>
      </c>
      <c r="N44" s="3">
        <f t="shared" si="16"/>
        <v>335332800</v>
      </c>
      <c r="O44" s="6">
        <f>$C$13+$C$6*$A$17*$C$10+50*'Carbon Tax'!$B$6</f>
        <v>91769412.578587338</v>
      </c>
      <c r="P44" s="3">
        <f t="shared" si="14"/>
        <v>243563387.42141265</v>
      </c>
      <c r="Q44" s="7">
        <f t="shared" si="11"/>
        <v>65762114.603781417</v>
      </c>
      <c r="R44" s="3">
        <f t="shared" si="17"/>
        <v>177801272.81763124</v>
      </c>
      <c r="S44" s="7">
        <f t="shared" si="15"/>
        <v>51260644.300400652</v>
      </c>
    </row>
    <row r="45" spans="5:19">
      <c r="G45" s="2"/>
      <c r="H45" s="2"/>
      <c r="I45" s="2"/>
      <c r="J45" s="2"/>
      <c r="K45" s="2"/>
      <c r="M45">
        <v>42</v>
      </c>
      <c r="N45" s="3">
        <f t="shared" si="16"/>
        <v>335332800</v>
      </c>
      <c r="O45" s="6">
        <f>$C$13+$C$6*$A$17*$C$10+50*'Carbon Tax'!$B$6</f>
        <v>91769412.578587338</v>
      </c>
      <c r="P45" s="3">
        <f t="shared" si="14"/>
        <v>243563387.42141265</v>
      </c>
      <c r="Q45" s="7">
        <f t="shared" si="11"/>
        <v>65762114.603781417</v>
      </c>
      <c r="R45" s="3">
        <f t="shared" si="17"/>
        <v>177801272.81763124</v>
      </c>
      <c r="S45" s="7">
        <f t="shared" si="15"/>
        <v>49728991.366318054</v>
      </c>
    </row>
    <row r="46" spans="5:19">
      <c r="G46" s="2"/>
      <c r="H46" s="2"/>
      <c r="I46" s="2"/>
      <c r="J46" s="2"/>
      <c r="K46" s="2"/>
      <c r="M46">
        <v>43</v>
      </c>
      <c r="N46" s="3">
        <f t="shared" si="16"/>
        <v>335332800</v>
      </c>
      <c r="O46" s="6">
        <f>$C$13+$C$6*$A$17*$C$10+50*'Carbon Tax'!$B$6</f>
        <v>91769412.578587338</v>
      </c>
      <c r="P46" s="3">
        <f t="shared" si="14"/>
        <v>243563387.42141265</v>
      </c>
      <c r="Q46" s="7">
        <f t="shared" si="11"/>
        <v>65762114.603781417</v>
      </c>
      <c r="R46" s="3">
        <f t="shared" si="17"/>
        <v>177801272.81763124</v>
      </c>
      <c r="S46" s="7">
        <f t="shared" si="15"/>
        <v>48243103.770196028</v>
      </c>
    </row>
    <row r="47" spans="5:19">
      <c r="G47" s="2"/>
      <c r="H47" s="2"/>
      <c r="I47" s="2"/>
      <c r="J47" s="2"/>
      <c r="K47" s="2"/>
      <c r="M47">
        <v>44</v>
      </c>
      <c r="N47" s="3">
        <f t="shared" si="16"/>
        <v>335332800</v>
      </c>
      <c r="O47" s="6">
        <f>$C$13+$C$6*$A$17*$C$10+50*'Carbon Tax'!$B$6</f>
        <v>91769412.578587338</v>
      </c>
      <c r="P47" s="3">
        <f t="shared" si="14"/>
        <v>243563387.42141265</v>
      </c>
      <c r="Q47" s="7">
        <f t="shared" si="11"/>
        <v>65762114.603781417</v>
      </c>
      <c r="R47" s="3">
        <f t="shared" si="17"/>
        <v>177801272.81763124</v>
      </c>
      <c r="S47" s="7">
        <f t="shared" si="15"/>
        <v>46801614.057233237</v>
      </c>
    </row>
    <row r="48" spans="5:19">
      <c r="G48" s="2"/>
      <c r="H48" s="2"/>
      <c r="I48" s="2"/>
      <c r="J48" s="2"/>
      <c r="K48" s="2"/>
      <c r="M48">
        <v>45</v>
      </c>
      <c r="N48" s="3">
        <f t="shared" si="16"/>
        <v>335332800</v>
      </c>
      <c r="O48" s="6">
        <f>$C$13+$C$6*$A$17*$C$10+50*'Carbon Tax'!$B$6</f>
        <v>91769412.578587338</v>
      </c>
      <c r="P48" s="3">
        <f t="shared" si="14"/>
        <v>243563387.42141265</v>
      </c>
      <c r="Q48" s="7">
        <f t="shared" si="11"/>
        <v>65762114.603781417</v>
      </c>
      <c r="R48" s="3">
        <f t="shared" si="17"/>
        <v>177801272.81763124</v>
      </c>
      <c r="S48" s="7">
        <f t="shared" si="15"/>
        <v>45403195.631774582</v>
      </c>
    </row>
    <row r="49" spans="7:19">
      <c r="G49" s="2"/>
      <c r="H49" s="2"/>
      <c r="I49" s="2"/>
      <c r="J49" s="2"/>
      <c r="K49" s="2"/>
      <c r="M49">
        <v>46</v>
      </c>
      <c r="N49" s="3">
        <f t="shared" si="16"/>
        <v>335332800</v>
      </c>
      <c r="O49" s="6">
        <f>$C$13+$C$6*$A$17*$C$10+50*'Carbon Tax'!$B$6</f>
        <v>91769412.578587338</v>
      </c>
      <c r="P49" s="3">
        <f t="shared" si="14"/>
        <v>243563387.42141265</v>
      </c>
      <c r="Q49" s="7">
        <f t="shared" si="11"/>
        <v>65762114.603781417</v>
      </c>
      <c r="R49" s="3">
        <f t="shared" si="17"/>
        <v>177801272.81763124</v>
      </c>
      <c r="S49" s="7">
        <f t="shared" si="15"/>
        <v>44046561.536451861</v>
      </c>
    </row>
    <row r="50" spans="7:19">
      <c r="G50" s="2"/>
      <c r="H50" s="2"/>
      <c r="I50" s="2"/>
      <c r="J50" s="2"/>
      <c r="K50" s="2"/>
      <c r="M50">
        <v>47</v>
      </c>
      <c r="N50" s="3">
        <f t="shared" si="16"/>
        <v>335332800</v>
      </c>
      <c r="O50" s="6">
        <f>$C$13+$C$6*$A$17*$C$10+50*'Carbon Tax'!$B$6</f>
        <v>91769412.578587338</v>
      </c>
      <c r="P50" s="3">
        <f t="shared" si="14"/>
        <v>243563387.42141265</v>
      </c>
      <c r="Q50" s="7">
        <f t="shared" si="11"/>
        <v>65762114.603781417</v>
      </c>
      <c r="R50" s="3">
        <f t="shared" si="17"/>
        <v>177801272.81763124</v>
      </c>
      <c r="S50" s="7">
        <f t="shared" si="15"/>
        <v>42730463.267803527</v>
      </c>
    </row>
    <row r="51" spans="7:19">
      <c r="G51" s="2"/>
      <c r="H51" s="2"/>
      <c r="I51" s="2"/>
      <c r="J51" s="2"/>
      <c r="K51" s="2"/>
      <c r="M51">
        <v>48</v>
      </c>
      <c r="N51" s="3">
        <f t="shared" si="16"/>
        <v>335332800</v>
      </c>
      <c r="O51" s="6">
        <f>$C$13+$C$6*$A$17*$C$10+50*'Carbon Tax'!$B$6</f>
        <v>91769412.578587338</v>
      </c>
      <c r="P51" s="3">
        <f t="shared" si="14"/>
        <v>243563387.42141265</v>
      </c>
      <c r="Q51" s="7">
        <f t="shared" si="11"/>
        <v>65762114.603781417</v>
      </c>
      <c r="R51" s="3">
        <f t="shared" si="17"/>
        <v>177801272.81763124</v>
      </c>
      <c r="S51" s="7">
        <f t="shared" si="15"/>
        <v>41453689.627283186</v>
      </c>
    </row>
    <row r="52" spans="7:19">
      <c r="G52" s="2"/>
      <c r="H52" s="2"/>
      <c r="I52" s="2"/>
      <c r="J52" s="2"/>
      <c r="K52" s="2"/>
      <c r="M52">
        <v>49</v>
      </c>
      <c r="N52" s="3">
        <f t="shared" si="16"/>
        <v>335332800</v>
      </c>
      <c r="O52" s="6">
        <f>$C$13+$C$6*$A$17*$C$10+50*'Carbon Tax'!$B$6</f>
        <v>91769412.578587338</v>
      </c>
      <c r="P52" s="3">
        <f t="shared" si="14"/>
        <v>243563387.42141265</v>
      </c>
      <c r="Q52" s="7">
        <f t="shared" si="11"/>
        <v>65762114.603781417</v>
      </c>
      <c r="R52" s="3">
        <f t="shared" si="17"/>
        <v>177801272.81763124</v>
      </c>
      <c r="S52" s="7">
        <f t="shared" si="15"/>
        <v>40215065.606599919</v>
      </c>
    </row>
    <row r="53" spans="7:19">
      <c r="G53" s="2"/>
      <c r="H53" s="2"/>
      <c r="I53" s="2"/>
      <c r="J53" s="2"/>
      <c r="K53" s="2"/>
      <c r="M53">
        <v>50</v>
      </c>
      <c r="N53" s="3">
        <f t="shared" si="16"/>
        <v>335332800</v>
      </c>
      <c r="O53" s="6">
        <f>$C$13+$C$6*$A$17*$C$10+50*'Carbon Tax'!$B$6</f>
        <v>91769412.578587338</v>
      </c>
      <c r="P53" s="3">
        <f t="shared" si="14"/>
        <v>243563387.42141265</v>
      </c>
      <c r="Q53" s="7">
        <f t="shared" si="11"/>
        <v>65762114.603781417</v>
      </c>
      <c r="R53" s="3">
        <f t="shared" si="17"/>
        <v>177801272.81763124</v>
      </c>
      <c r="S53" s="7">
        <f t="shared" si="15"/>
        <v>39013451.306363903</v>
      </c>
    </row>
    <row r="54" spans="7:19">
      <c r="G54" s="2"/>
      <c r="H54" s="2"/>
      <c r="I54" s="2"/>
      <c r="J54" s="2"/>
      <c r="K54" s="2"/>
      <c r="M54">
        <v>51</v>
      </c>
      <c r="N54" s="3">
        <f t="shared" si="16"/>
        <v>335332800</v>
      </c>
      <c r="O54" s="6">
        <f>$C$13+$C$6*$A$17*$C$10+50*'Carbon Tax'!$B$6</f>
        <v>91769412.578587338</v>
      </c>
      <c r="P54" s="3">
        <f t="shared" si="14"/>
        <v>243563387.42141265</v>
      </c>
      <c r="Q54" s="7">
        <f t="shared" si="11"/>
        <v>65762114.603781417</v>
      </c>
      <c r="R54" s="3">
        <f t="shared" si="17"/>
        <v>177801272.81763124</v>
      </c>
      <c r="S54" s="7">
        <f t="shared" si="15"/>
        <v>37847740.887042992</v>
      </c>
    </row>
    <row r="55" spans="7:19">
      <c r="G55" s="2"/>
      <c r="H55" s="2"/>
      <c r="I55" s="2"/>
      <c r="J55" s="2"/>
      <c r="K55" s="2"/>
      <c r="M55">
        <v>52</v>
      </c>
      <c r="N55" s="3">
        <f t="shared" si="16"/>
        <v>335332800</v>
      </c>
      <c r="O55" s="6">
        <f>$C$13+$C$6*$A$17*$C$10+50*'Carbon Tax'!$B$6</f>
        <v>91769412.578587338</v>
      </c>
      <c r="P55" s="3">
        <f t="shared" si="14"/>
        <v>243563387.42141265</v>
      </c>
      <c r="Q55" s="7">
        <f t="shared" si="11"/>
        <v>65762114.603781417</v>
      </c>
      <c r="R55" s="3">
        <f t="shared" si="17"/>
        <v>177801272.81763124</v>
      </c>
      <c r="S55" s="7">
        <f t="shared" si="15"/>
        <v>36716861.551264055</v>
      </c>
    </row>
    <row r="56" spans="7:19">
      <c r="G56" s="2"/>
      <c r="H56" s="2"/>
      <c r="I56" s="2"/>
      <c r="J56" s="2"/>
      <c r="K56" s="2"/>
      <c r="M56">
        <v>53</v>
      </c>
      <c r="N56" s="3">
        <f t="shared" si="16"/>
        <v>335332800</v>
      </c>
      <c r="O56" s="6">
        <f>$C$13+$C$6*$A$17*$C$10+50*'Carbon Tax'!$B$6</f>
        <v>91769412.578587338</v>
      </c>
      <c r="P56" s="3">
        <f t="shared" si="14"/>
        <v>243563387.42141265</v>
      </c>
      <c r="Q56" s="7">
        <f t="shared" si="11"/>
        <v>65762114.603781417</v>
      </c>
      <c r="R56" s="3">
        <f t="shared" si="17"/>
        <v>177801272.81763124</v>
      </c>
      <c r="S56" s="7">
        <f t="shared" si="15"/>
        <v>35619772.556523144</v>
      </c>
    </row>
    <row r="57" spans="7:19">
      <c r="G57" s="2"/>
      <c r="H57" s="2"/>
      <c r="I57" s="2"/>
      <c r="J57" s="2"/>
      <c r="K57" s="2"/>
      <c r="M57">
        <v>54</v>
      </c>
      <c r="N57" s="3">
        <f t="shared" si="16"/>
        <v>335332800</v>
      </c>
      <c r="O57" s="6">
        <f>$C$13+$C$6*$A$17*$C$10+50*'Carbon Tax'!$B$6</f>
        <v>91769412.578587338</v>
      </c>
      <c r="P57" s="3">
        <f t="shared" si="14"/>
        <v>243563387.42141265</v>
      </c>
      <c r="Q57" s="7">
        <f t="shared" si="11"/>
        <v>65762114.603781417</v>
      </c>
      <c r="R57" s="3">
        <f t="shared" si="17"/>
        <v>177801272.81763124</v>
      </c>
      <c r="S57" s="7">
        <f t="shared" si="15"/>
        <v>34555464.257395357</v>
      </c>
    </row>
    <row r="58" spans="7:19">
      <c r="G58" s="2"/>
      <c r="H58" s="2"/>
      <c r="I58" s="2"/>
      <c r="J58" s="2"/>
      <c r="K58" s="2"/>
      <c r="M58">
        <v>55</v>
      </c>
      <c r="N58" s="3">
        <f t="shared" si="16"/>
        <v>335332800</v>
      </c>
      <c r="O58" s="6">
        <f>$C$13+$C$6*$A$17*$C$10+50*'Carbon Tax'!$B$6</f>
        <v>91769412.578587338</v>
      </c>
      <c r="P58" s="3">
        <f t="shared" si="14"/>
        <v>243563387.42141265</v>
      </c>
      <c r="Q58" s="7">
        <f t="shared" si="11"/>
        <v>65762114.603781417</v>
      </c>
      <c r="R58" s="3">
        <f t="shared" si="17"/>
        <v>177801272.81763124</v>
      </c>
      <c r="S58" s="7">
        <f t="shared" si="15"/>
        <v>33522957.176363375</v>
      </c>
    </row>
    <row r="59" spans="7:19">
      <c r="G59" s="2"/>
      <c r="H59" s="2"/>
      <c r="I59" s="2"/>
      <c r="J59" s="2"/>
      <c r="K59" s="2"/>
      <c r="Q59" s="7"/>
      <c r="S59" s="2">
        <f>SUM(S3:S58)</f>
        <v>3586866618.9439297</v>
      </c>
    </row>
    <row r="60" spans="7:19">
      <c r="G60" s="2"/>
      <c r="H60" s="2"/>
      <c r="I60" s="2"/>
      <c r="J60" s="2"/>
      <c r="K60" s="2"/>
    </row>
    <row r="61" spans="7:19">
      <c r="G61" s="2"/>
      <c r="H61" s="2"/>
      <c r="I61" s="2"/>
      <c r="J61" s="2"/>
      <c r="K61" s="2"/>
    </row>
    <row r="62" spans="7:19">
      <c r="G62" s="2"/>
      <c r="H62" s="2"/>
      <c r="I62" s="2"/>
      <c r="J62" s="2"/>
      <c r="K62" s="2"/>
    </row>
    <row r="63" spans="7:19">
      <c r="G63" s="2"/>
      <c r="H63" s="2"/>
      <c r="I63" s="2"/>
      <c r="J63" s="2"/>
      <c r="K63" s="2"/>
    </row>
    <row r="64" spans="7:19">
      <c r="G64" s="2"/>
      <c r="H64" s="2"/>
      <c r="I64" s="2"/>
      <c r="J64" s="2"/>
      <c r="K64" s="2"/>
    </row>
    <row r="65" spans="7:11">
      <c r="G65" s="2"/>
      <c r="H65" s="2"/>
      <c r="I65" s="2"/>
      <c r="J65" s="2"/>
      <c r="K65" s="2"/>
    </row>
    <row r="66" spans="7:11">
      <c r="G66" s="2"/>
      <c r="H66" s="2"/>
      <c r="I66" s="2"/>
      <c r="J66" s="2"/>
      <c r="K66" s="2"/>
    </row>
    <row r="67" spans="7:11">
      <c r="G67" s="2"/>
      <c r="H67" s="2"/>
      <c r="I67" s="2"/>
      <c r="J67" s="2"/>
      <c r="K67" s="2"/>
    </row>
    <row r="68" spans="7:11">
      <c r="G68" s="2"/>
      <c r="H68" s="2"/>
      <c r="I68" s="2"/>
      <c r="J68" s="2"/>
      <c r="K68" s="2"/>
    </row>
    <row r="69" spans="7:11">
      <c r="G69" s="2"/>
      <c r="H69" s="2"/>
      <c r="I69" s="2"/>
      <c r="J69" s="2"/>
      <c r="K69" s="2"/>
    </row>
    <row r="70" spans="7:11">
      <c r="G70" s="2"/>
      <c r="H70" s="2"/>
      <c r="I70" s="2"/>
      <c r="J70" s="2"/>
      <c r="K7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2388-E855-4893-8466-CD973A41C67F}">
  <dimension ref="A1:D7"/>
  <sheetViews>
    <sheetView topLeftCell="A7" workbookViewId="0" xr3:uid="{BE58D526-BD05-521B-B036-0999206AD562}">
      <selection activeCell="B4" sqref="B4"/>
    </sheetView>
  </sheetViews>
  <sheetFormatPr defaultRowHeight="15"/>
  <cols>
    <col min="1" max="1" width="17.85546875" customWidth="1"/>
  </cols>
  <sheetData>
    <row r="1" spans="1:4">
      <c r="A1" t="s">
        <v>37</v>
      </c>
      <c r="B1">
        <v>53.07</v>
      </c>
      <c r="D1" s="10" t="s">
        <v>38</v>
      </c>
    </row>
    <row r="2" spans="1:4">
      <c r="A2" t="s">
        <v>39</v>
      </c>
      <c r="B2">
        <v>2.93071E-4</v>
      </c>
      <c r="C2" t="s">
        <v>40</v>
      </c>
    </row>
    <row r="3" spans="1:4">
      <c r="A3" t="s">
        <v>41</v>
      </c>
      <c r="B3">
        <f>B2*1000</f>
        <v>0.29307100000000003</v>
      </c>
      <c r="C3" t="s">
        <v>42</v>
      </c>
    </row>
    <row r="4" spans="1:4">
      <c r="A4" t="s">
        <v>43</v>
      </c>
      <c r="B4">
        <f>B1/(1000*B3)</f>
        <v>0.18108239982802801</v>
      </c>
      <c r="C4" t="s">
        <v>44</v>
      </c>
    </row>
    <row r="5" spans="1:4">
      <c r="A5" t="s">
        <v>42</v>
      </c>
      <c r="B5">
        <v>3048480</v>
      </c>
    </row>
    <row r="6" spans="1:4">
      <c r="A6" t="s">
        <v>45</v>
      </c>
      <c r="B6">
        <f>B5*B4</f>
        <v>552026.07422774681</v>
      </c>
    </row>
    <row r="7" spans="1:4">
      <c r="A7" t="s">
        <v>46</v>
      </c>
      <c r="B7">
        <f>10*B6</f>
        <v>5520260.7422774676</v>
      </c>
      <c r="D7" s="10" t="s">
        <v>47</v>
      </c>
    </row>
  </sheetData>
  <hyperlinks>
    <hyperlink ref="D1" r:id="rId1" xr:uid="{03541A60-E210-4E34-B46D-ACCF9C0CFB9D}"/>
    <hyperlink ref="D7" r:id="rId2" xr:uid="{993FCFE7-590E-4526-95BF-46A3ECF33B2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D495-D3DF-47EC-B58E-D1FD33797305}">
  <dimension ref="A1:O70"/>
  <sheetViews>
    <sheetView workbookViewId="0" xr3:uid="{E4D362B6-7931-5F57-A23A-ECD4E6099980}">
      <selection activeCell="C25" sqref="C25"/>
    </sheetView>
  </sheetViews>
  <sheetFormatPr defaultRowHeight="15"/>
  <cols>
    <col min="1" max="1" width="19.140625" customWidth="1"/>
    <col min="2" max="2" width="18" customWidth="1"/>
    <col min="3" max="3" width="18.28515625" customWidth="1"/>
    <col min="4" max="5" width="9.140625" bestFit="1" customWidth="1"/>
    <col min="6" max="6" width="15.85546875" style="2" bestFit="1" customWidth="1"/>
    <col min="7" max="7" width="17.5703125" bestFit="1" customWidth="1"/>
    <col min="8" max="9" width="18.5703125" bestFit="1" customWidth="1"/>
    <col min="10" max="11" width="9.140625" bestFit="1" customWidth="1"/>
    <col min="12" max="12" width="15.140625" bestFit="1" customWidth="1"/>
    <col min="13" max="13" width="16.28515625" bestFit="1" customWidth="1"/>
    <col min="14" max="14" width="20.85546875" customWidth="1"/>
    <col min="15" max="15" width="17.5703125" customWidth="1"/>
  </cols>
  <sheetData>
    <row r="1" spans="1:15">
      <c r="A1" t="s">
        <v>0</v>
      </c>
      <c r="B1" t="s">
        <v>1</v>
      </c>
      <c r="C1" t="s">
        <v>2</v>
      </c>
      <c r="E1" t="s">
        <v>3</v>
      </c>
    </row>
    <row r="2" spans="1:15">
      <c r="A2" t="s">
        <v>4</v>
      </c>
      <c r="B2">
        <v>3</v>
      </c>
      <c r="C2">
        <v>5</v>
      </c>
      <c r="E2" t="s">
        <v>5</v>
      </c>
      <c r="F2" s="2" t="s">
        <v>6</v>
      </c>
      <c r="G2" t="s">
        <v>7</v>
      </c>
      <c r="H2" t="s">
        <v>8</v>
      </c>
      <c r="I2" t="s">
        <v>9</v>
      </c>
      <c r="K2" t="s">
        <v>5</v>
      </c>
      <c r="L2" t="s">
        <v>6</v>
      </c>
      <c r="M2" t="s">
        <v>7</v>
      </c>
      <c r="N2" t="s">
        <v>8</v>
      </c>
      <c r="O2" t="s">
        <v>9</v>
      </c>
    </row>
    <row r="3" spans="1:15">
      <c r="A3" t="s">
        <v>10</v>
      </c>
      <c r="B3">
        <v>30</v>
      </c>
      <c r="C3">
        <v>50</v>
      </c>
      <c r="E3">
        <v>0</v>
      </c>
      <c r="F3" s="2">
        <v>0</v>
      </c>
      <c r="G3" s="2">
        <f>B12</f>
        <v>1115200000</v>
      </c>
      <c r="H3" s="2">
        <f t="shared" ref="H3:H36" si="0">$F3-$G3</f>
        <v>-1115200000</v>
      </c>
      <c r="I3" s="2">
        <f t="shared" ref="I3:I36" si="1">H3/(1+$B$15)^E3</f>
        <v>-1115200000</v>
      </c>
      <c r="J3" s="2"/>
      <c r="K3">
        <v>0</v>
      </c>
      <c r="L3" s="7">
        <v>0</v>
      </c>
      <c r="M3" s="7">
        <f>C12</f>
        <v>366800000</v>
      </c>
      <c r="N3" s="7">
        <f t="shared" ref="N3:N34" si="2">L3-M3</f>
        <v>-366800000</v>
      </c>
      <c r="O3" s="7">
        <f t="shared" ref="O3:O34" si="3">N3/(1+$B$15)^K3</f>
        <v>-366800000</v>
      </c>
    </row>
    <row r="4" spans="1:15">
      <c r="A4" t="s">
        <v>11</v>
      </c>
      <c r="B4" s="1">
        <v>2788000</v>
      </c>
      <c r="C4" s="1">
        <v>917000</v>
      </c>
      <c r="E4">
        <v>1</v>
      </c>
      <c r="F4" s="2">
        <v>0</v>
      </c>
      <c r="G4" s="2">
        <v>0</v>
      </c>
      <c r="H4" s="2">
        <f t="shared" si="0"/>
        <v>0</v>
      </c>
      <c r="I4" s="2">
        <f t="shared" si="1"/>
        <v>0</v>
      </c>
      <c r="J4" s="2"/>
      <c r="K4">
        <v>1</v>
      </c>
      <c r="L4" s="7">
        <v>0</v>
      </c>
      <c r="M4" s="7">
        <v>0</v>
      </c>
      <c r="N4" s="7">
        <f t="shared" si="2"/>
        <v>0</v>
      </c>
      <c r="O4" s="7">
        <f t="shared" si="3"/>
        <v>0</v>
      </c>
    </row>
    <row r="5" spans="1:15">
      <c r="A5" t="s">
        <v>12</v>
      </c>
      <c r="B5" s="1">
        <v>49000</v>
      </c>
      <c r="C5" s="1">
        <v>13170</v>
      </c>
      <c r="E5">
        <v>2</v>
      </c>
      <c r="F5" s="2">
        <v>0</v>
      </c>
      <c r="G5" s="2">
        <v>0</v>
      </c>
      <c r="H5" s="2">
        <f t="shared" si="0"/>
        <v>0</v>
      </c>
      <c r="I5" s="2">
        <f t="shared" si="1"/>
        <v>0</v>
      </c>
      <c r="J5" s="2"/>
      <c r="K5">
        <v>2</v>
      </c>
      <c r="L5" s="7">
        <v>0</v>
      </c>
      <c r="M5" s="7">
        <v>0</v>
      </c>
      <c r="N5" s="7">
        <f t="shared" si="2"/>
        <v>0</v>
      </c>
      <c r="O5" s="7">
        <f t="shared" si="3"/>
        <v>0</v>
      </c>
    </row>
    <row r="6" spans="1:15">
      <c r="A6" t="s">
        <v>13</v>
      </c>
      <c r="B6">
        <v>0</v>
      </c>
      <c r="C6">
        <v>183</v>
      </c>
      <c r="E6">
        <v>3</v>
      </c>
      <c r="F6" s="2">
        <v>0</v>
      </c>
      <c r="G6" s="2">
        <v>0</v>
      </c>
      <c r="H6" s="2">
        <f t="shared" si="0"/>
        <v>0</v>
      </c>
      <c r="I6" s="2">
        <f t="shared" si="1"/>
        <v>0</v>
      </c>
      <c r="J6" s="2"/>
      <c r="K6">
        <v>3</v>
      </c>
      <c r="L6" s="7">
        <v>0</v>
      </c>
      <c r="M6" s="7">
        <v>0</v>
      </c>
      <c r="N6" s="7">
        <f t="shared" si="2"/>
        <v>0</v>
      </c>
      <c r="O6" s="7">
        <f t="shared" si="3"/>
        <v>0</v>
      </c>
    </row>
    <row r="7" spans="1:15">
      <c r="A7" t="s">
        <v>14</v>
      </c>
      <c r="B7">
        <v>0.37</v>
      </c>
      <c r="C7">
        <v>0.87</v>
      </c>
      <c r="E7">
        <v>4</v>
      </c>
      <c r="F7" s="2">
        <f t="shared" ref="F7:F36" si="4">$B$11</f>
        <v>142612800</v>
      </c>
      <c r="G7" s="2">
        <f t="shared" ref="G7:G36" si="5">$B$13</f>
        <v>19600000</v>
      </c>
      <c r="H7" s="2">
        <f t="shared" si="0"/>
        <v>123012800</v>
      </c>
      <c r="I7" s="2">
        <f t="shared" si="1"/>
        <v>108956379.69124603</v>
      </c>
      <c r="J7" s="2"/>
      <c r="K7">
        <v>4</v>
      </c>
      <c r="L7" s="7">
        <v>0</v>
      </c>
      <c r="M7" s="7">
        <v>0</v>
      </c>
      <c r="N7" s="7">
        <f t="shared" si="2"/>
        <v>0</v>
      </c>
      <c r="O7" s="7">
        <f t="shared" si="3"/>
        <v>0</v>
      </c>
    </row>
    <row r="8" spans="1:15">
      <c r="A8" t="s">
        <v>15</v>
      </c>
      <c r="B8">
        <v>400</v>
      </c>
      <c r="C8">
        <v>400</v>
      </c>
      <c r="E8">
        <v>5</v>
      </c>
      <c r="F8" s="2">
        <f t="shared" si="4"/>
        <v>142612800</v>
      </c>
      <c r="G8" s="2">
        <f t="shared" si="5"/>
        <v>19600000</v>
      </c>
      <c r="H8" s="2">
        <f t="shared" si="0"/>
        <v>123012800</v>
      </c>
      <c r="I8" s="2">
        <f t="shared" si="1"/>
        <v>105700795.19911334</v>
      </c>
      <c r="J8" s="2"/>
      <c r="K8">
        <v>5</v>
      </c>
      <c r="L8" s="7">
        <v>0</v>
      </c>
      <c r="M8" s="7">
        <v>0</v>
      </c>
      <c r="N8" s="7">
        <f t="shared" si="2"/>
        <v>0</v>
      </c>
      <c r="O8" s="7">
        <f t="shared" si="3"/>
        <v>0</v>
      </c>
    </row>
    <row r="9" spans="1:15">
      <c r="A9" t="s">
        <v>16</v>
      </c>
      <c r="B9" s="1">
        <v>110</v>
      </c>
      <c r="C9" s="1">
        <v>110</v>
      </c>
      <c r="E9">
        <v>6</v>
      </c>
      <c r="F9" s="2">
        <f t="shared" si="4"/>
        <v>142612800</v>
      </c>
      <c r="G9" s="2">
        <f t="shared" si="5"/>
        <v>19600000</v>
      </c>
      <c r="H9" s="2">
        <f t="shared" si="0"/>
        <v>123012800</v>
      </c>
      <c r="I9" s="2">
        <f t="shared" si="1"/>
        <v>102542486.61147976</v>
      </c>
      <c r="J9" s="2"/>
      <c r="K9">
        <v>6</v>
      </c>
      <c r="L9" s="3">
        <f t="shared" ref="L9:L40" si="6">$C$11</f>
        <v>335332800</v>
      </c>
      <c r="M9" s="6">
        <f t="shared" ref="M9:M40" si="7">$C$13+$C$6*$A$17*$C$10</f>
        <v>116842368</v>
      </c>
      <c r="N9" s="3">
        <f t="shared" si="2"/>
        <v>218490432</v>
      </c>
      <c r="O9" s="2">
        <f t="shared" si="3"/>
        <v>182131877.31761599</v>
      </c>
    </row>
    <row r="10" spans="1:15">
      <c r="A10" t="s">
        <v>17</v>
      </c>
      <c r="B10">
        <f>365*24*B8*B7</f>
        <v>1296480</v>
      </c>
      <c r="C10">
        <f>365*24*C8*C7</f>
        <v>3048480</v>
      </c>
      <c r="E10">
        <v>7</v>
      </c>
      <c r="F10" s="2">
        <f t="shared" si="4"/>
        <v>142612800</v>
      </c>
      <c r="G10" s="2">
        <f t="shared" si="5"/>
        <v>19600000</v>
      </c>
      <c r="H10" s="2">
        <f t="shared" si="0"/>
        <v>123012800</v>
      </c>
      <c r="I10" s="2">
        <f t="shared" si="1"/>
        <v>99478547.353007168</v>
      </c>
      <c r="J10" s="2"/>
      <c r="K10">
        <v>7</v>
      </c>
      <c r="L10" s="3">
        <f t="shared" si="6"/>
        <v>335332800</v>
      </c>
      <c r="M10" s="6">
        <f t="shared" si="7"/>
        <v>116842368</v>
      </c>
      <c r="N10" s="3">
        <f t="shared" si="2"/>
        <v>218490432</v>
      </c>
      <c r="O10" s="2">
        <f t="shared" si="3"/>
        <v>176689830.53707412</v>
      </c>
    </row>
    <row r="11" spans="1:15">
      <c r="A11" t="s">
        <v>18</v>
      </c>
      <c r="B11" s="1">
        <f>B10*B9</f>
        <v>142612800</v>
      </c>
      <c r="C11" s="3">
        <f>C10*C9</f>
        <v>335332800</v>
      </c>
      <c r="E11">
        <v>8</v>
      </c>
      <c r="F11" s="2">
        <f t="shared" si="4"/>
        <v>142612800</v>
      </c>
      <c r="G11" s="2">
        <f t="shared" si="5"/>
        <v>19600000</v>
      </c>
      <c r="H11" s="2">
        <f t="shared" si="0"/>
        <v>123012800</v>
      </c>
      <c r="I11" s="2">
        <f t="shared" si="1"/>
        <v>96506157.695971236</v>
      </c>
      <c r="J11" s="2"/>
      <c r="K11">
        <v>8</v>
      </c>
      <c r="L11" s="3">
        <f t="shared" si="6"/>
        <v>335332800</v>
      </c>
      <c r="M11" s="6">
        <f t="shared" si="7"/>
        <v>116842368</v>
      </c>
      <c r="N11" s="3">
        <f t="shared" si="2"/>
        <v>218490432</v>
      </c>
      <c r="O11" s="2">
        <f t="shared" si="3"/>
        <v>171410390.50938502</v>
      </c>
    </row>
    <row r="12" spans="1:15">
      <c r="A12" t="s">
        <v>19</v>
      </c>
      <c r="B12" s="2">
        <f>B4*B8</f>
        <v>1115200000</v>
      </c>
      <c r="C12" s="3">
        <f>C4*C8</f>
        <v>366800000</v>
      </c>
      <c r="E12">
        <v>9</v>
      </c>
      <c r="F12" s="2">
        <f t="shared" si="4"/>
        <v>142612800</v>
      </c>
      <c r="G12" s="2">
        <f t="shared" si="5"/>
        <v>19600000</v>
      </c>
      <c r="H12" s="2">
        <f t="shared" si="0"/>
        <v>123012800</v>
      </c>
      <c r="I12" s="2">
        <f t="shared" si="1"/>
        <v>93622582.165280595</v>
      </c>
      <c r="J12" s="2"/>
      <c r="K12">
        <v>9</v>
      </c>
      <c r="L12" s="3">
        <f t="shared" si="6"/>
        <v>335332800</v>
      </c>
      <c r="M12" s="6">
        <f t="shared" si="7"/>
        <v>116842368</v>
      </c>
      <c r="N12" s="3">
        <f t="shared" si="2"/>
        <v>218490432</v>
      </c>
      <c r="O12" s="2">
        <f t="shared" si="3"/>
        <v>166288698.59272897</v>
      </c>
    </row>
    <row r="13" spans="1:15">
      <c r="A13" t="s">
        <v>20</v>
      </c>
      <c r="B13" s="1">
        <f>B5*B8</f>
        <v>19600000</v>
      </c>
      <c r="C13" s="1">
        <f>C5*C8</f>
        <v>5268000</v>
      </c>
      <c r="E13">
        <v>10</v>
      </c>
      <c r="F13" s="2">
        <f t="shared" si="4"/>
        <v>142612800</v>
      </c>
      <c r="G13" s="2">
        <f t="shared" si="5"/>
        <v>19600000</v>
      </c>
      <c r="H13" s="2">
        <f t="shared" si="0"/>
        <v>123012800</v>
      </c>
      <c r="I13" s="2">
        <f t="shared" si="1"/>
        <v>90825167.02103278</v>
      </c>
      <c r="J13" s="2"/>
      <c r="K13">
        <v>10</v>
      </c>
      <c r="L13" s="3">
        <f t="shared" si="6"/>
        <v>335332800</v>
      </c>
      <c r="M13" s="6">
        <f t="shared" si="7"/>
        <v>116842368</v>
      </c>
      <c r="N13" s="3">
        <f t="shared" si="2"/>
        <v>218490432</v>
      </c>
      <c r="O13" s="2">
        <f t="shared" si="3"/>
        <v>161320041.3200708</v>
      </c>
    </row>
    <row r="14" spans="1:15">
      <c r="A14" t="s">
        <v>21</v>
      </c>
      <c r="B14">
        <v>0.27</v>
      </c>
      <c r="C14">
        <v>0.27</v>
      </c>
      <c r="E14">
        <v>11</v>
      </c>
      <c r="F14" s="2">
        <f t="shared" si="4"/>
        <v>142612800</v>
      </c>
      <c r="G14" s="2">
        <f t="shared" si="5"/>
        <v>19600000</v>
      </c>
      <c r="H14" s="2">
        <f t="shared" si="0"/>
        <v>123012800</v>
      </c>
      <c r="I14" s="2">
        <f t="shared" si="1"/>
        <v>88111337.816291034</v>
      </c>
      <c r="J14" s="2"/>
      <c r="K14">
        <v>11</v>
      </c>
      <c r="L14" s="3">
        <f t="shared" si="6"/>
        <v>335332800</v>
      </c>
      <c r="M14" s="6">
        <f t="shared" si="7"/>
        <v>116842368</v>
      </c>
      <c r="N14" s="3">
        <f t="shared" si="2"/>
        <v>218490432</v>
      </c>
      <c r="O14" s="2">
        <f t="shared" si="3"/>
        <v>156499846.06138033</v>
      </c>
    </row>
    <row r="15" spans="1:15">
      <c r="A15" t="s">
        <v>22</v>
      </c>
      <c r="B15">
        <v>3.0800000000000001E-2</v>
      </c>
      <c r="C15" t="s">
        <v>23</v>
      </c>
      <c r="E15">
        <v>12</v>
      </c>
      <c r="F15" s="2">
        <f t="shared" si="4"/>
        <v>142612800</v>
      </c>
      <c r="G15" s="2">
        <f t="shared" si="5"/>
        <v>19600000</v>
      </c>
      <c r="H15" s="2">
        <f t="shared" si="0"/>
        <v>123012800</v>
      </c>
      <c r="I15" s="2">
        <f t="shared" si="1"/>
        <v>85478597.027833745</v>
      </c>
      <c r="J15" s="2"/>
      <c r="K15">
        <v>12</v>
      </c>
      <c r="L15" s="3">
        <f t="shared" si="6"/>
        <v>335332800</v>
      </c>
      <c r="M15" s="6">
        <f t="shared" si="7"/>
        <v>116842368</v>
      </c>
      <c r="N15" s="3">
        <f t="shared" si="2"/>
        <v>218490432</v>
      </c>
      <c r="O15" s="2">
        <f t="shared" si="3"/>
        <v>151823676.81546399</v>
      </c>
    </row>
    <row r="16" spans="1:15">
      <c r="A16" t="s">
        <v>24</v>
      </c>
      <c r="B16" t="s">
        <v>25</v>
      </c>
      <c r="E16">
        <v>13</v>
      </c>
      <c r="F16" s="2">
        <f t="shared" si="4"/>
        <v>142612800</v>
      </c>
      <c r="G16" s="2">
        <f t="shared" si="5"/>
        <v>19600000</v>
      </c>
      <c r="H16" s="2">
        <f t="shared" si="0"/>
        <v>123012800</v>
      </c>
      <c r="I16" s="2">
        <f t="shared" si="1"/>
        <v>82924521.757696688</v>
      </c>
      <c r="J16" s="2"/>
      <c r="K16">
        <v>13</v>
      </c>
      <c r="L16" s="3">
        <f t="shared" si="6"/>
        <v>335332800</v>
      </c>
      <c r="M16" s="6">
        <f t="shared" si="7"/>
        <v>116842368</v>
      </c>
      <c r="N16" s="3">
        <f t="shared" si="2"/>
        <v>218490432</v>
      </c>
      <c r="O16" s="2">
        <f t="shared" si="3"/>
        <v>147287230.12753591</v>
      </c>
    </row>
    <row r="17" spans="1:15">
      <c r="A17">
        <v>0.2</v>
      </c>
      <c r="B17" t="s">
        <v>26</v>
      </c>
      <c r="C17" t="s">
        <v>27</v>
      </c>
      <c r="E17">
        <v>14</v>
      </c>
      <c r="F17" s="2">
        <f t="shared" si="4"/>
        <v>142612800</v>
      </c>
      <c r="G17" s="2">
        <f t="shared" si="5"/>
        <v>19600000</v>
      </c>
      <c r="H17" s="2">
        <f t="shared" si="0"/>
        <v>123012800</v>
      </c>
      <c r="I17" s="2">
        <f t="shared" si="1"/>
        <v>80446761.503392205</v>
      </c>
      <c r="J17" s="2"/>
      <c r="K17">
        <v>14</v>
      </c>
      <c r="L17" s="3">
        <f t="shared" si="6"/>
        <v>335332800</v>
      </c>
      <c r="M17" s="6">
        <f t="shared" si="7"/>
        <v>116842368</v>
      </c>
      <c r="N17" s="3">
        <f t="shared" si="2"/>
        <v>218490432</v>
      </c>
      <c r="O17" s="2">
        <f t="shared" si="3"/>
        <v>142886331.12876979</v>
      </c>
    </row>
    <row r="18" spans="1:15">
      <c r="A18">
        <f>17.7694/100</f>
        <v>0.17769400000000002</v>
      </c>
      <c r="B18" t="s">
        <v>26</v>
      </c>
      <c r="C18" t="s">
        <v>28</v>
      </c>
      <c r="E18">
        <v>15</v>
      </c>
      <c r="F18" s="2">
        <f t="shared" si="4"/>
        <v>142612800</v>
      </c>
      <c r="G18" s="2">
        <f t="shared" si="5"/>
        <v>19600000</v>
      </c>
      <c r="H18" s="2">
        <f t="shared" si="0"/>
        <v>123012800</v>
      </c>
      <c r="I18" s="2">
        <f t="shared" si="1"/>
        <v>78043035.994753808</v>
      </c>
      <c r="J18" s="2"/>
      <c r="K18">
        <v>15</v>
      </c>
      <c r="L18" s="3">
        <f t="shared" si="6"/>
        <v>335332800</v>
      </c>
      <c r="M18" s="6">
        <f t="shared" si="7"/>
        <v>116842368</v>
      </c>
      <c r="N18" s="3">
        <f t="shared" si="2"/>
        <v>218490432</v>
      </c>
      <c r="O18" s="2">
        <f t="shared" si="3"/>
        <v>138616929.6941888</v>
      </c>
    </row>
    <row r="19" spans="1:15">
      <c r="E19">
        <v>16</v>
      </c>
      <c r="F19" s="2">
        <f t="shared" si="4"/>
        <v>142612800</v>
      </c>
      <c r="G19" s="2">
        <f t="shared" si="5"/>
        <v>19600000</v>
      </c>
      <c r="H19" s="2">
        <f t="shared" si="0"/>
        <v>123012800</v>
      </c>
      <c r="I19" s="2">
        <f t="shared" si="1"/>
        <v>75711133.095415011</v>
      </c>
      <c r="J19" s="2"/>
      <c r="K19">
        <v>16</v>
      </c>
      <c r="L19" s="3">
        <f t="shared" si="6"/>
        <v>335332800</v>
      </c>
      <c r="M19" s="6">
        <f t="shared" si="7"/>
        <v>116842368</v>
      </c>
      <c r="N19" s="3">
        <f t="shared" si="2"/>
        <v>218490432</v>
      </c>
      <c r="O19" s="2">
        <f t="shared" si="3"/>
        <v>134475096.71535581</v>
      </c>
    </row>
    <row r="20" spans="1:15">
      <c r="A20" t="s">
        <v>29</v>
      </c>
      <c r="B20">
        <v>33</v>
      </c>
      <c r="C20">
        <v>55</v>
      </c>
      <c r="E20">
        <v>17</v>
      </c>
      <c r="F20" s="2">
        <f t="shared" si="4"/>
        <v>142612800</v>
      </c>
      <c r="G20" s="2">
        <f t="shared" si="5"/>
        <v>19600000</v>
      </c>
      <c r="H20" s="2">
        <f t="shared" si="0"/>
        <v>123012800</v>
      </c>
      <c r="I20" s="2">
        <f t="shared" si="1"/>
        <v>73448906.76699166</v>
      </c>
      <c r="J20" s="2"/>
      <c r="K20">
        <v>17</v>
      </c>
      <c r="L20" s="3">
        <f t="shared" si="6"/>
        <v>335332800</v>
      </c>
      <c r="M20" s="6">
        <f t="shared" si="7"/>
        <v>116842368</v>
      </c>
      <c r="N20" s="3">
        <f t="shared" si="2"/>
        <v>218490432</v>
      </c>
      <c r="O20" s="2">
        <f t="shared" si="3"/>
        <v>130457020.48443522</v>
      </c>
    </row>
    <row r="21" spans="1:15">
      <c r="A21" t="s">
        <v>30</v>
      </c>
      <c r="B21">
        <v>165</v>
      </c>
      <c r="E21">
        <v>18</v>
      </c>
      <c r="F21" s="2">
        <f t="shared" si="4"/>
        <v>142612800</v>
      </c>
      <c r="G21" s="2">
        <f t="shared" si="5"/>
        <v>19600000</v>
      </c>
      <c r="H21" s="2">
        <f t="shared" si="0"/>
        <v>123012800</v>
      </c>
      <c r="I21" s="2">
        <f t="shared" si="1"/>
        <v>71254275.094093591</v>
      </c>
      <c r="J21" s="2"/>
      <c r="K21">
        <v>18</v>
      </c>
      <c r="L21" s="3">
        <f t="shared" si="6"/>
        <v>335332800</v>
      </c>
      <c r="M21" s="6">
        <f t="shared" si="7"/>
        <v>116842368</v>
      </c>
      <c r="N21" s="3">
        <f t="shared" si="2"/>
        <v>218490432</v>
      </c>
      <c r="O21" s="2">
        <f t="shared" si="3"/>
        <v>126559003.18629727</v>
      </c>
    </row>
    <row r="22" spans="1:15">
      <c r="A22" t="s">
        <v>31</v>
      </c>
      <c r="B22">
        <v>5</v>
      </c>
      <c r="C22">
        <v>3</v>
      </c>
      <c r="E22">
        <v>19</v>
      </c>
      <c r="F22" s="2">
        <f t="shared" si="4"/>
        <v>142612800</v>
      </c>
      <c r="G22" s="2">
        <f t="shared" si="5"/>
        <v>19600000</v>
      </c>
      <c r="H22" s="2">
        <f t="shared" si="0"/>
        <v>123012800</v>
      </c>
      <c r="I22" s="2">
        <f t="shared" si="1"/>
        <v>69125218.368348464</v>
      </c>
      <c r="J22" s="2"/>
      <c r="K22">
        <v>19</v>
      </c>
      <c r="L22" s="3">
        <f t="shared" si="6"/>
        <v>335332800</v>
      </c>
      <c r="M22" s="6">
        <f t="shared" si="7"/>
        <v>116842368</v>
      </c>
      <c r="N22" s="3">
        <f t="shared" si="2"/>
        <v>218490432</v>
      </c>
      <c r="O22" s="2">
        <f t="shared" si="3"/>
        <v>122777457.49543779</v>
      </c>
    </row>
    <row r="23" spans="1:15">
      <c r="A23" t="s">
        <v>9</v>
      </c>
      <c r="B23" s="2">
        <f>I37</f>
        <v>1063578304.815076</v>
      </c>
      <c r="C23" s="2">
        <f>O59</f>
        <v>4391218767.748764</v>
      </c>
      <c r="E23">
        <v>20</v>
      </c>
      <c r="F23" s="2">
        <f t="shared" si="4"/>
        <v>142612800</v>
      </c>
      <c r="G23" s="2">
        <f t="shared" si="5"/>
        <v>19600000</v>
      </c>
      <c r="H23" s="2">
        <f t="shared" si="0"/>
        <v>123012800</v>
      </c>
      <c r="I23" s="2">
        <f t="shared" si="1"/>
        <v>67059777.229674481</v>
      </c>
      <c r="J23" s="2"/>
      <c r="K23">
        <v>20</v>
      </c>
      <c r="L23" s="3">
        <f t="shared" si="6"/>
        <v>335332800</v>
      </c>
      <c r="M23" s="6">
        <f t="shared" si="7"/>
        <v>116842368</v>
      </c>
      <c r="N23" s="3">
        <f t="shared" si="2"/>
        <v>218490432</v>
      </c>
      <c r="O23" s="2">
        <f t="shared" si="3"/>
        <v>119108903.2745807</v>
      </c>
    </row>
    <row r="24" spans="1:15">
      <c r="A24" t="s">
        <v>32</v>
      </c>
      <c r="B24" s="2">
        <f>B23+B23/(1+B15)^33+B23/(1+B15)^(33*2)+B23/(1+B15)^(33*3)+B23/(1+B15)^(33*4)</f>
        <v>1670247777.9409926</v>
      </c>
      <c r="C24" s="2">
        <f>C23+C23/(1+B15)^55+C23/(1+B15)^110</f>
        <v>5375245643.7931414</v>
      </c>
      <c r="E24">
        <v>21</v>
      </c>
      <c r="F24" s="2">
        <f t="shared" si="4"/>
        <v>142612800</v>
      </c>
      <c r="G24" s="2">
        <f t="shared" si="5"/>
        <v>19600000</v>
      </c>
      <c r="H24" s="2">
        <f t="shared" si="0"/>
        <v>123012800</v>
      </c>
      <c r="I24" s="2">
        <f t="shared" si="1"/>
        <v>65056050.863091268</v>
      </c>
      <c r="J24" s="2"/>
      <c r="K24">
        <v>21</v>
      </c>
      <c r="L24" s="3">
        <f t="shared" si="6"/>
        <v>335332800</v>
      </c>
      <c r="M24" s="6">
        <f t="shared" si="7"/>
        <v>116842368</v>
      </c>
      <c r="N24" s="3">
        <f t="shared" si="2"/>
        <v>218490432</v>
      </c>
      <c r="O24" s="2">
        <f t="shared" si="3"/>
        <v>115549964.3719254</v>
      </c>
    </row>
    <row r="25" spans="1:15">
      <c r="A25" t="s">
        <v>33</v>
      </c>
      <c r="B25" s="8">
        <f>MIRR(H3:H36,B15,B15)</f>
        <v>5.1933674093792126E-2</v>
      </c>
      <c r="C25" s="8">
        <f>MIRR(N3:N58,B15,B15)</f>
        <v>7.9967573412807358E-2</v>
      </c>
      <c r="E25">
        <v>22</v>
      </c>
      <c r="F25" s="2">
        <f t="shared" si="4"/>
        <v>142612800</v>
      </c>
      <c r="G25" s="2">
        <f t="shared" si="5"/>
        <v>19600000</v>
      </c>
      <c r="H25" s="2">
        <f t="shared" si="0"/>
        <v>123012800</v>
      </c>
      <c r="I25" s="2">
        <f t="shared" si="1"/>
        <v>63112195.249409452</v>
      </c>
      <c r="J25" s="2"/>
      <c r="K25">
        <v>22</v>
      </c>
      <c r="L25" s="3">
        <f t="shared" si="6"/>
        <v>335332800</v>
      </c>
      <c r="M25" s="6">
        <f t="shared" si="7"/>
        <v>116842368</v>
      </c>
      <c r="N25" s="3">
        <f t="shared" si="2"/>
        <v>218490432</v>
      </c>
      <c r="O25" s="2">
        <f t="shared" si="3"/>
        <v>112097365.51409137</v>
      </c>
    </row>
    <row r="26" spans="1:15">
      <c r="E26">
        <v>23</v>
      </c>
      <c r="F26" s="2">
        <f t="shared" si="4"/>
        <v>142612800</v>
      </c>
      <c r="G26" s="2">
        <f t="shared" si="5"/>
        <v>19600000</v>
      </c>
      <c r="H26" s="2">
        <f t="shared" si="0"/>
        <v>123012800</v>
      </c>
      <c r="I26" s="2">
        <f t="shared" si="1"/>
        <v>61226421.46818924</v>
      </c>
      <c r="J26" s="2"/>
      <c r="K26">
        <v>23</v>
      </c>
      <c r="L26" s="3">
        <f t="shared" si="6"/>
        <v>335332800</v>
      </c>
      <c r="M26" s="6">
        <f t="shared" si="7"/>
        <v>116842368</v>
      </c>
      <c r="N26" s="3">
        <f t="shared" si="2"/>
        <v>218490432</v>
      </c>
      <c r="O26" s="2">
        <f t="shared" si="3"/>
        <v>108747929.29190086</v>
      </c>
    </row>
    <row r="27" spans="1:15">
      <c r="A27" t="s">
        <v>9</v>
      </c>
      <c r="B27">
        <f>B12+B13*(((1+B15)^B3-1)/(B15*(1+B15)^B3))*(1/(1+B15)^3)</f>
        <v>1462351310.8747663</v>
      </c>
      <c r="E27">
        <v>24</v>
      </c>
      <c r="F27" s="2">
        <f t="shared" si="4"/>
        <v>142612800</v>
      </c>
      <c r="G27" s="2">
        <f t="shared" si="5"/>
        <v>19600000</v>
      </c>
      <c r="H27" s="2">
        <f t="shared" si="0"/>
        <v>123012800</v>
      </c>
      <c r="I27" s="2">
        <f t="shared" si="1"/>
        <v>59396994.051405929</v>
      </c>
      <c r="J27" s="2"/>
      <c r="K27">
        <v>24</v>
      </c>
      <c r="L27" s="3">
        <f t="shared" si="6"/>
        <v>335332800</v>
      </c>
      <c r="M27" s="6">
        <f t="shared" si="7"/>
        <v>116842368</v>
      </c>
      <c r="N27" s="3">
        <f t="shared" si="2"/>
        <v>218490432</v>
      </c>
      <c r="O27" s="2">
        <f t="shared" si="3"/>
        <v>105498573.2362251</v>
      </c>
    </row>
    <row r="28" spans="1:15">
      <c r="E28">
        <v>25</v>
      </c>
      <c r="F28" s="2">
        <f t="shared" si="4"/>
        <v>142612800</v>
      </c>
      <c r="G28" s="2">
        <f t="shared" si="5"/>
        <v>19600000</v>
      </c>
      <c r="H28" s="2">
        <f t="shared" si="0"/>
        <v>123012800</v>
      </c>
      <c r="I28" s="2">
        <f t="shared" si="1"/>
        <v>57622229.386307657</v>
      </c>
      <c r="J28" s="2"/>
      <c r="K28">
        <v>25</v>
      </c>
      <c r="L28" s="3">
        <f t="shared" si="6"/>
        <v>335332800</v>
      </c>
      <c r="M28" s="6">
        <f t="shared" si="7"/>
        <v>116842368</v>
      </c>
      <c r="N28" s="3">
        <f t="shared" si="2"/>
        <v>218490432</v>
      </c>
      <c r="O28" s="2">
        <f t="shared" si="3"/>
        <v>102346306.98120403</v>
      </c>
    </row>
    <row r="29" spans="1:15">
      <c r="E29">
        <v>26</v>
      </c>
      <c r="F29" s="2">
        <f t="shared" si="4"/>
        <v>142612800</v>
      </c>
      <c r="G29" s="2">
        <f t="shared" si="5"/>
        <v>19600000</v>
      </c>
      <c r="H29" s="2">
        <f t="shared" si="0"/>
        <v>123012800</v>
      </c>
      <c r="I29" s="2">
        <f t="shared" si="1"/>
        <v>55900494.165995009</v>
      </c>
      <c r="J29" s="2"/>
      <c r="K29">
        <v>26</v>
      </c>
      <c r="L29" s="3">
        <f t="shared" si="6"/>
        <v>335332800</v>
      </c>
      <c r="M29" s="6">
        <f t="shared" si="7"/>
        <v>116842368</v>
      </c>
      <c r="N29" s="3">
        <f t="shared" si="2"/>
        <v>218490432</v>
      </c>
      <c r="O29" s="2">
        <f t="shared" si="3"/>
        <v>99288229.512227416</v>
      </c>
    </row>
    <row r="30" spans="1:15">
      <c r="E30">
        <v>27</v>
      </c>
      <c r="F30" s="2">
        <f t="shared" si="4"/>
        <v>142612800</v>
      </c>
      <c r="G30" s="2">
        <f t="shared" si="5"/>
        <v>19600000</v>
      </c>
      <c r="H30" s="2">
        <f t="shared" si="0"/>
        <v>123012800</v>
      </c>
      <c r="I30" s="2">
        <f t="shared" si="1"/>
        <v>54230203.886297069</v>
      </c>
      <c r="J30" s="2"/>
      <c r="K30">
        <v>27</v>
      </c>
      <c r="L30" s="3">
        <f t="shared" si="6"/>
        <v>335332800</v>
      </c>
      <c r="M30" s="6">
        <f t="shared" si="7"/>
        <v>116842368</v>
      </c>
      <c r="N30" s="3">
        <f t="shared" si="2"/>
        <v>218490432</v>
      </c>
      <c r="O30" s="2">
        <f t="shared" si="3"/>
        <v>96321526.496146142</v>
      </c>
    </row>
    <row r="31" spans="1:15">
      <c r="E31">
        <v>28</v>
      </c>
      <c r="F31" s="2">
        <f t="shared" si="4"/>
        <v>142612800</v>
      </c>
      <c r="G31" s="2">
        <f t="shared" si="5"/>
        <v>19600000</v>
      </c>
      <c r="H31" s="2">
        <f t="shared" si="0"/>
        <v>123012800</v>
      </c>
      <c r="I31" s="2">
        <f t="shared" si="1"/>
        <v>52609821.387560204</v>
      </c>
      <c r="J31" s="2"/>
      <c r="K31">
        <v>28</v>
      </c>
      <c r="L31" s="3">
        <f t="shared" si="6"/>
        <v>335332800</v>
      </c>
      <c r="M31" s="6">
        <f t="shared" si="7"/>
        <v>116842368</v>
      </c>
      <c r="N31" s="3">
        <f t="shared" si="2"/>
        <v>218490432</v>
      </c>
      <c r="O31" s="2">
        <f t="shared" si="3"/>
        <v>93443467.69125545</v>
      </c>
    </row>
    <row r="32" spans="1:15">
      <c r="E32">
        <v>29</v>
      </c>
      <c r="F32" s="2">
        <f t="shared" si="4"/>
        <v>142612800</v>
      </c>
      <c r="G32" s="2">
        <f t="shared" si="5"/>
        <v>19600000</v>
      </c>
      <c r="H32" s="2">
        <f t="shared" si="0"/>
        <v>123012800</v>
      </c>
      <c r="I32" s="2">
        <f t="shared" si="1"/>
        <v>51037855.440007962</v>
      </c>
      <c r="J32" s="2"/>
      <c r="K32">
        <v>29</v>
      </c>
      <c r="L32" s="3">
        <f t="shared" si="6"/>
        <v>335332800</v>
      </c>
      <c r="M32" s="6">
        <f t="shared" si="7"/>
        <v>116842368</v>
      </c>
      <c r="N32" s="3">
        <f t="shared" si="2"/>
        <v>218490432</v>
      </c>
      <c r="O32" s="2">
        <f t="shared" si="3"/>
        <v>90651404.434667692</v>
      </c>
    </row>
    <row r="33" spans="5:15">
      <c r="E33">
        <v>30</v>
      </c>
      <c r="F33" s="2">
        <f t="shared" si="4"/>
        <v>142612800</v>
      </c>
      <c r="G33" s="2">
        <f t="shared" si="5"/>
        <v>19600000</v>
      </c>
      <c r="H33" s="2">
        <f t="shared" si="0"/>
        <v>123012800</v>
      </c>
      <c r="I33" s="2">
        <f t="shared" si="1"/>
        <v>49512859.371369772</v>
      </c>
      <c r="J33" s="2"/>
      <c r="K33">
        <v>30</v>
      </c>
      <c r="L33" s="3">
        <f t="shared" si="6"/>
        <v>335332800</v>
      </c>
      <c r="M33" s="6">
        <f t="shared" si="7"/>
        <v>116842368</v>
      </c>
      <c r="N33" s="3">
        <f t="shared" si="2"/>
        <v>218490432</v>
      </c>
      <c r="O33" s="2">
        <f t="shared" si="3"/>
        <v>87942767.204761058</v>
      </c>
    </row>
    <row r="34" spans="5:15">
      <c r="E34">
        <v>31</v>
      </c>
      <c r="F34" s="2">
        <f t="shared" si="4"/>
        <v>142612800</v>
      </c>
      <c r="G34" s="2">
        <f t="shared" si="5"/>
        <v>19600000</v>
      </c>
      <c r="H34" s="2">
        <f t="shared" si="0"/>
        <v>123012800</v>
      </c>
      <c r="I34" s="2">
        <f t="shared" si="1"/>
        <v>48033429.735515893</v>
      </c>
      <c r="J34" s="2"/>
      <c r="K34">
        <v>31</v>
      </c>
      <c r="L34" s="3">
        <f t="shared" si="6"/>
        <v>335332800</v>
      </c>
      <c r="M34" s="6">
        <f t="shared" si="7"/>
        <v>116842368</v>
      </c>
      <c r="N34" s="3">
        <f t="shared" si="2"/>
        <v>218490432</v>
      </c>
      <c r="O34" s="2">
        <f t="shared" si="3"/>
        <v>85315063.256462038</v>
      </c>
    </row>
    <row r="35" spans="5:15">
      <c r="E35">
        <v>32</v>
      </c>
      <c r="F35" s="2">
        <f t="shared" si="4"/>
        <v>142612800</v>
      </c>
      <c r="G35" s="2">
        <f t="shared" si="5"/>
        <v>19600000</v>
      </c>
      <c r="H35" s="2">
        <f t="shared" si="0"/>
        <v>123012800</v>
      </c>
      <c r="I35" s="2">
        <f t="shared" si="1"/>
        <v>46598205.020872988</v>
      </c>
      <c r="J35" s="2"/>
      <c r="K35">
        <v>32</v>
      </c>
      <c r="L35" s="3">
        <f t="shared" si="6"/>
        <v>335332800</v>
      </c>
      <c r="M35" s="6">
        <f t="shared" si="7"/>
        <v>116842368</v>
      </c>
      <c r="N35" s="3">
        <f t="shared" ref="N35:N58" si="8">L35-M35</f>
        <v>218490432</v>
      </c>
      <c r="O35" s="2">
        <f t="shared" ref="O35:O58" si="9">N35/(1+$B$15)^K35</f>
        <v>82765874.327184722</v>
      </c>
    </row>
    <row r="36" spans="5:15">
      <c r="E36">
        <v>33</v>
      </c>
      <c r="F36" s="2">
        <f t="shared" si="4"/>
        <v>142612800</v>
      </c>
      <c r="G36" s="2">
        <f t="shared" si="5"/>
        <v>19600000</v>
      </c>
      <c r="H36" s="2">
        <f t="shared" si="0"/>
        <v>123012800</v>
      </c>
      <c r="I36" s="2">
        <f t="shared" si="1"/>
        <v>45205864.397432089</v>
      </c>
      <c r="J36" s="2"/>
      <c r="K36">
        <v>33</v>
      </c>
      <c r="L36" s="3">
        <f t="shared" si="6"/>
        <v>335332800</v>
      </c>
      <c r="M36" s="6">
        <f t="shared" si="7"/>
        <v>116842368</v>
      </c>
      <c r="N36" s="3">
        <f t="shared" si="8"/>
        <v>218490432</v>
      </c>
      <c r="O36" s="2">
        <f t="shared" si="9"/>
        <v>80292854.411316186</v>
      </c>
    </row>
    <row r="37" spans="5:15">
      <c r="G37" s="2"/>
      <c r="H37" s="2"/>
      <c r="I37" s="2">
        <f>SUM(I3:I36)</f>
        <v>1063578304.815076</v>
      </c>
      <c r="K37">
        <v>34</v>
      </c>
      <c r="L37" s="3">
        <f t="shared" si="6"/>
        <v>335332800</v>
      </c>
      <c r="M37" s="6">
        <f t="shared" si="7"/>
        <v>116842368</v>
      </c>
      <c r="N37" s="3">
        <f t="shared" si="8"/>
        <v>218490432</v>
      </c>
      <c r="O37" s="2">
        <f t="shared" si="9"/>
        <v>77893727.601199254</v>
      </c>
    </row>
    <row r="38" spans="5:15">
      <c r="G38" s="2"/>
      <c r="H38" s="2"/>
      <c r="I38" s="2"/>
      <c r="K38">
        <v>35</v>
      </c>
      <c r="L38" s="3">
        <f t="shared" si="6"/>
        <v>335332800</v>
      </c>
      <c r="M38" s="6">
        <f t="shared" si="7"/>
        <v>116842368</v>
      </c>
      <c r="N38" s="3">
        <f t="shared" si="8"/>
        <v>218490432</v>
      </c>
      <c r="O38" s="2">
        <f t="shared" si="9"/>
        <v>75566285.992626369</v>
      </c>
    </row>
    <row r="39" spans="5:15">
      <c r="G39" s="2"/>
      <c r="H39" s="2"/>
      <c r="I39" s="2"/>
      <c r="K39">
        <v>36</v>
      </c>
      <c r="L39" s="3">
        <f t="shared" si="6"/>
        <v>335332800</v>
      </c>
      <c r="M39" s="6">
        <f t="shared" si="7"/>
        <v>116842368</v>
      </c>
      <c r="N39" s="3">
        <f t="shared" si="8"/>
        <v>218490432</v>
      </c>
      <c r="O39" s="2">
        <f t="shared" si="9"/>
        <v>73308387.652916536</v>
      </c>
    </row>
    <row r="40" spans="5:15">
      <c r="G40" s="2"/>
      <c r="H40" s="2"/>
      <c r="I40" s="2"/>
      <c r="K40">
        <v>37</v>
      </c>
      <c r="L40" s="3">
        <f t="shared" si="6"/>
        <v>335332800</v>
      </c>
      <c r="M40" s="6">
        <f t="shared" si="7"/>
        <v>116842368</v>
      </c>
      <c r="N40" s="3">
        <f t="shared" si="8"/>
        <v>218490432</v>
      </c>
      <c r="O40" s="2">
        <f t="shared" si="9"/>
        <v>71117954.649705604</v>
      </c>
    </row>
    <row r="41" spans="5:15">
      <c r="G41" s="2"/>
      <c r="H41" s="2"/>
      <c r="I41" s="2"/>
      <c r="K41">
        <v>38</v>
      </c>
      <c r="L41" s="3">
        <f t="shared" ref="L41:L58" si="10">$C$11</f>
        <v>335332800</v>
      </c>
      <c r="M41" s="6">
        <f t="shared" ref="M41:M58" si="11">$C$13+$C$6*$A$17*$C$10</f>
        <v>116842368</v>
      </c>
      <c r="N41" s="3">
        <f t="shared" si="8"/>
        <v>218490432</v>
      </c>
      <c r="O41" s="2">
        <f t="shared" si="9"/>
        <v>68992971.13863562</v>
      </c>
    </row>
    <row r="42" spans="5:15">
      <c r="G42" s="2"/>
      <c r="H42" s="2"/>
      <c r="I42" s="2"/>
      <c r="K42">
        <v>39</v>
      </c>
      <c r="L42" s="3">
        <f t="shared" si="10"/>
        <v>335332800</v>
      </c>
      <c r="M42" s="6">
        <f t="shared" si="11"/>
        <v>116842368</v>
      </c>
      <c r="N42" s="3">
        <f t="shared" si="8"/>
        <v>218490432</v>
      </c>
      <c r="O42" s="2">
        <f t="shared" si="9"/>
        <v>66931481.508183584</v>
      </c>
    </row>
    <row r="43" spans="5:15">
      <c r="G43" s="2"/>
      <c r="H43" s="2"/>
      <c r="I43" s="2"/>
      <c r="K43">
        <v>40</v>
      </c>
      <c r="L43" s="3">
        <f t="shared" si="10"/>
        <v>335332800</v>
      </c>
      <c r="M43" s="6">
        <f t="shared" si="11"/>
        <v>116842368</v>
      </c>
      <c r="N43" s="3">
        <f t="shared" si="8"/>
        <v>218490432</v>
      </c>
      <c r="O43" s="2">
        <f t="shared" si="9"/>
        <v>64931588.579921968</v>
      </c>
    </row>
    <row r="44" spans="5:15">
      <c r="G44" s="2"/>
      <c r="H44" s="2"/>
      <c r="I44" s="2"/>
      <c r="K44">
        <v>41</v>
      </c>
      <c r="L44" s="3">
        <f t="shared" si="10"/>
        <v>335332800</v>
      </c>
      <c r="M44" s="6">
        <f t="shared" si="11"/>
        <v>116842368</v>
      </c>
      <c r="N44" s="3">
        <f t="shared" si="8"/>
        <v>218490432</v>
      </c>
      <c r="O44" s="2">
        <f t="shared" si="9"/>
        <v>62991451.862555273</v>
      </c>
    </row>
    <row r="45" spans="5:15">
      <c r="G45" s="2"/>
      <c r="H45" s="2"/>
      <c r="I45" s="2"/>
      <c r="K45">
        <v>42</v>
      </c>
      <c r="L45" s="3">
        <f t="shared" si="10"/>
        <v>335332800</v>
      </c>
      <c r="M45" s="6">
        <f t="shared" si="11"/>
        <v>116842368</v>
      </c>
      <c r="N45" s="3">
        <f t="shared" si="8"/>
        <v>218490432</v>
      </c>
      <c r="O45" s="2">
        <f t="shared" si="9"/>
        <v>61109285.858125024</v>
      </c>
    </row>
    <row r="46" spans="5:15">
      <c r="G46" s="2"/>
      <c r="H46" s="2"/>
      <c r="I46" s="2"/>
      <c r="K46">
        <v>43</v>
      </c>
      <c r="L46" s="3">
        <f t="shared" si="10"/>
        <v>335332800</v>
      </c>
      <c r="M46" s="6">
        <f t="shared" si="11"/>
        <v>116842368</v>
      </c>
      <c r="N46" s="3">
        <f t="shared" si="8"/>
        <v>218490432</v>
      </c>
      <c r="O46" s="2">
        <f t="shared" si="9"/>
        <v>59283358.418825217</v>
      </c>
    </row>
    <row r="47" spans="5:15">
      <c r="G47" s="2"/>
      <c r="H47" s="2"/>
      <c r="I47" s="2"/>
      <c r="K47">
        <v>44</v>
      </c>
      <c r="L47" s="3">
        <f t="shared" si="10"/>
        <v>335332800</v>
      </c>
      <c r="M47" s="6">
        <f t="shared" si="11"/>
        <v>116842368</v>
      </c>
      <c r="N47" s="3">
        <f t="shared" si="8"/>
        <v>218490432</v>
      </c>
      <c r="O47" s="2">
        <f t="shared" si="9"/>
        <v>57511989.152915411</v>
      </c>
    </row>
    <row r="48" spans="5:15">
      <c r="G48" s="2"/>
      <c r="H48" s="2"/>
      <c r="I48" s="2"/>
      <c r="K48">
        <v>45</v>
      </c>
      <c r="L48" s="3">
        <f t="shared" si="10"/>
        <v>335332800</v>
      </c>
      <c r="M48" s="6">
        <f t="shared" si="11"/>
        <v>116842368</v>
      </c>
      <c r="N48" s="3">
        <f t="shared" si="8"/>
        <v>218490432</v>
      </c>
      <c r="O48" s="2">
        <f t="shared" si="9"/>
        <v>55793547.878264859</v>
      </c>
    </row>
    <row r="49" spans="7:15">
      <c r="G49" s="2"/>
      <c r="H49" s="2"/>
      <c r="I49" s="2"/>
      <c r="K49">
        <v>46</v>
      </c>
      <c r="L49" s="3">
        <f t="shared" si="10"/>
        <v>335332800</v>
      </c>
      <c r="M49" s="6">
        <f t="shared" si="11"/>
        <v>116842368</v>
      </c>
      <c r="N49" s="3">
        <f t="shared" si="8"/>
        <v>218490432</v>
      </c>
      <c r="O49" s="2">
        <f t="shared" si="9"/>
        <v>54126453.122104049</v>
      </c>
    </row>
    <row r="50" spans="7:15">
      <c r="G50" s="2"/>
      <c r="H50" s="2"/>
      <c r="I50" s="2"/>
      <c r="K50">
        <v>47</v>
      </c>
      <c r="L50" s="3">
        <f t="shared" si="10"/>
        <v>335332800</v>
      </c>
      <c r="M50" s="6">
        <f t="shared" si="11"/>
        <v>116842368</v>
      </c>
      <c r="N50" s="3">
        <f t="shared" si="8"/>
        <v>218490432</v>
      </c>
      <c r="O50" s="2">
        <f t="shared" si="9"/>
        <v>52509170.665603481</v>
      </c>
    </row>
    <row r="51" spans="7:15">
      <c r="G51" s="2"/>
      <c r="H51" s="2"/>
      <c r="I51" s="2"/>
      <c r="K51">
        <v>48</v>
      </c>
      <c r="L51" s="3">
        <f t="shared" si="10"/>
        <v>335332800</v>
      </c>
      <c r="M51" s="6">
        <f t="shared" si="11"/>
        <v>116842368</v>
      </c>
      <c r="N51" s="3">
        <f t="shared" si="8"/>
        <v>218490432</v>
      </c>
      <c r="O51" s="2">
        <f t="shared" si="9"/>
        <v>50940212.131939717</v>
      </c>
    </row>
    <row r="52" spans="7:15">
      <c r="G52" s="2"/>
      <c r="H52" s="2"/>
      <c r="I52" s="2"/>
      <c r="K52">
        <v>49</v>
      </c>
      <c r="L52" s="3">
        <f t="shared" si="10"/>
        <v>335332800</v>
      </c>
      <c r="M52" s="6">
        <f t="shared" si="11"/>
        <v>116842368</v>
      </c>
      <c r="N52" s="3">
        <f t="shared" si="8"/>
        <v>218490432</v>
      </c>
      <c r="O52" s="2">
        <f t="shared" si="9"/>
        <v>49418133.616549984</v>
      </c>
    </row>
    <row r="53" spans="7:15">
      <c r="G53" s="2"/>
      <c r="H53" s="2"/>
      <c r="I53" s="2"/>
      <c r="K53">
        <v>50</v>
      </c>
      <c r="L53" s="3">
        <f t="shared" si="10"/>
        <v>335332800</v>
      </c>
      <c r="M53" s="6">
        <f t="shared" si="11"/>
        <v>116842368</v>
      </c>
      <c r="N53" s="3">
        <f t="shared" si="8"/>
        <v>218490432</v>
      </c>
      <c r="O53" s="2">
        <f t="shared" si="9"/>
        <v>47941534.358313911</v>
      </c>
    </row>
    <row r="54" spans="7:15">
      <c r="G54" s="2"/>
      <c r="H54" s="2"/>
      <c r="I54" s="2"/>
      <c r="K54">
        <v>51</v>
      </c>
      <c r="L54" s="3">
        <f t="shared" si="10"/>
        <v>335332800</v>
      </c>
      <c r="M54" s="6">
        <f t="shared" si="11"/>
        <v>116842368</v>
      </c>
      <c r="N54" s="3">
        <f t="shared" si="8"/>
        <v>218490432</v>
      </c>
      <c r="O54" s="2">
        <f t="shared" si="9"/>
        <v>46509055.450440362</v>
      </c>
    </row>
    <row r="55" spans="7:15">
      <c r="G55" s="2"/>
      <c r="H55" s="2"/>
      <c r="I55" s="2"/>
      <c r="K55">
        <v>52</v>
      </c>
      <c r="L55" s="3">
        <f t="shared" si="10"/>
        <v>335332800</v>
      </c>
      <c r="M55" s="6">
        <f t="shared" si="11"/>
        <v>116842368</v>
      </c>
      <c r="N55" s="3">
        <f t="shared" si="8"/>
        <v>218490432</v>
      </c>
      <c r="O55" s="2">
        <f t="shared" si="9"/>
        <v>45119378.589872286</v>
      </c>
    </row>
    <row r="56" spans="7:15">
      <c r="G56" s="2"/>
      <c r="H56" s="2"/>
      <c r="I56" s="2"/>
      <c r="K56">
        <v>53</v>
      </c>
      <c r="L56" s="3">
        <f t="shared" si="10"/>
        <v>335332800</v>
      </c>
      <c r="M56" s="6">
        <f t="shared" si="11"/>
        <v>116842368</v>
      </c>
      <c r="N56" s="3">
        <f t="shared" si="8"/>
        <v>218490432</v>
      </c>
      <c r="O56" s="2">
        <f t="shared" si="9"/>
        <v>43771224.864059262</v>
      </c>
    </row>
    <row r="57" spans="7:15">
      <c r="G57" s="2"/>
      <c r="H57" s="2"/>
      <c r="I57" s="2"/>
      <c r="K57">
        <v>54</v>
      </c>
      <c r="L57" s="3">
        <f t="shared" si="10"/>
        <v>335332800</v>
      </c>
      <c r="M57" s="6">
        <f t="shared" si="11"/>
        <v>116842368</v>
      </c>
      <c r="N57" s="3">
        <f t="shared" si="8"/>
        <v>218490432</v>
      </c>
      <c r="O57" s="2">
        <f t="shared" si="9"/>
        <v>42463353.573980652</v>
      </c>
    </row>
    <row r="58" spans="7:15">
      <c r="G58" s="2"/>
      <c r="H58" s="2"/>
      <c r="I58" s="2"/>
      <c r="K58">
        <v>55</v>
      </c>
      <c r="L58" s="3">
        <f t="shared" si="10"/>
        <v>335332800</v>
      </c>
      <c r="M58" s="6">
        <f t="shared" si="11"/>
        <v>116842368</v>
      </c>
      <c r="N58" s="3">
        <f t="shared" si="8"/>
        <v>218490432</v>
      </c>
      <c r="O58" s="2">
        <f t="shared" si="9"/>
        <v>41194561.092336692</v>
      </c>
    </row>
    <row r="59" spans="7:15">
      <c r="G59" s="2"/>
      <c r="H59" s="2"/>
      <c r="I59" s="2"/>
      <c r="O59" s="2">
        <f>SUM(O3:O58)</f>
        <v>4391218767.748764</v>
      </c>
    </row>
    <row r="60" spans="7:15">
      <c r="G60" s="2"/>
      <c r="H60" s="2"/>
      <c r="I60" s="2"/>
    </row>
    <row r="61" spans="7:15">
      <c r="G61" s="2"/>
      <c r="H61" s="2"/>
      <c r="I61" s="2"/>
    </row>
    <row r="62" spans="7:15">
      <c r="G62" s="2"/>
      <c r="H62" s="2"/>
      <c r="I62" s="2"/>
    </row>
    <row r="63" spans="7:15">
      <c r="G63" s="2"/>
      <c r="H63" s="2"/>
      <c r="I63" s="2"/>
    </row>
    <row r="64" spans="7:15">
      <c r="G64" s="2"/>
      <c r="H64" s="2"/>
      <c r="I64" s="2"/>
    </row>
    <row r="65" spans="7:9">
      <c r="G65" s="2"/>
      <c r="H65" s="2"/>
      <c r="I65" s="2"/>
    </row>
    <row r="66" spans="7:9">
      <c r="G66" s="2"/>
      <c r="H66" s="2"/>
      <c r="I66" s="2"/>
    </row>
    <row r="67" spans="7:9">
      <c r="G67" s="2"/>
      <c r="H67" s="2"/>
      <c r="I67" s="2"/>
    </row>
    <row r="68" spans="7:9">
      <c r="G68" s="2"/>
      <c r="H68" s="2"/>
      <c r="I68" s="2"/>
    </row>
    <row r="69" spans="7:9">
      <c r="G69" s="2"/>
      <c r="H69" s="2"/>
      <c r="I69" s="2"/>
    </row>
    <row r="70" spans="7:9">
      <c r="G70" s="2"/>
      <c r="H70" s="2"/>
      <c r="I7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AB1F-A06A-4324-9194-20D3F7825FEC}">
  <dimension ref="A1:AA169"/>
  <sheetViews>
    <sheetView tabSelected="1" workbookViewId="0" xr3:uid="{B7978D7A-B62D-522B-ABD8-3E2BCA94FE85}">
      <pane xSplit="3" topLeftCell="D1" activePane="topRight" state="frozen"/>
      <selection pane="topRight" activeCell="C29" sqref="C29"/>
      <selection activeCell="A45" sqref="A45"/>
    </sheetView>
  </sheetViews>
  <sheetFormatPr defaultRowHeight="15"/>
  <cols>
    <col min="1" max="1" width="19.140625" customWidth="1"/>
    <col min="2" max="2" width="18" customWidth="1"/>
    <col min="3" max="3" width="18.28515625" customWidth="1"/>
    <col min="4" max="5" width="9.140625" bestFit="1" customWidth="1"/>
    <col min="6" max="6" width="15.85546875" style="2" bestFit="1" customWidth="1"/>
    <col min="7" max="7" width="17.5703125" bestFit="1" customWidth="1"/>
    <col min="8" max="8" width="18.5703125" bestFit="1" customWidth="1"/>
    <col min="9" max="12" width="18.5703125" customWidth="1"/>
    <col min="13" max="13" width="18.5703125" style="2" customWidth="1"/>
    <col min="14" max="14" width="18.5703125" bestFit="1" customWidth="1"/>
    <col min="15" max="16" width="9.140625" bestFit="1" customWidth="1"/>
    <col min="17" max="17" width="15.140625" bestFit="1" customWidth="1"/>
    <col min="18" max="18" width="16.28515625" bestFit="1" customWidth="1"/>
    <col min="19" max="23" width="20.85546875" customWidth="1"/>
    <col min="24" max="24" width="20.85546875" style="11" customWidth="1"/>
    <col min="25" max="25" width="17.5703125" customWidth="1"/>
    <col min="26" max="26" width="9.140625" bestFit="1" customWidth="1"/>
    <col min="27" max="27" width="25.7109375" customWidth="1"/>
  </cols>
  <sheetData>
    <row r="1" spans="1:27">
      <c r="A1" t="s">
        <v>0</v>
      </c>
      <c r="B1" t="s">
        <v>1</v>
      </c>
      <c r="C1" t="s">
        <v>2</v>
      </c>
      <c r="E1" t="s">
        <v>3</v>
      </c>
      <c r="N1" s="2"/>
    </row>
    <row r="2" spans="1:27">
      <c r="A2" t="s">
        <v>4</v>
      </c>
      <c r="B2">
        <v>3</v>
      </c>
      <c r="C2">
        <v>5</v>
      </c>
      <c r="E2" t="s">
        <v>5</v>
      </c>
      <c r="F2" s="2" t="s">
        <v>34</v>
      </c>
      <c r="G2" t="s">
        <v>7</v>
      </c>
      <c r="H2" t="s">
        <v>48</v>
      </c>
      <c r="I2" t="s">
        <v>49</v>
      </c>
      <c r="J2" t="s">
        <v>50</v>
      </c>
      <c r="K2" t="s">
        <v>51</v>
      </c>
      <c r="L2" t="s">
        <v>35</v>
      </c>
      <c r="M2" s="2" t="s">
        <v>36</v>
      </c>
      <c r="N2" t="s">
        <v>9</v>
      </c>
      <c r="P2" t="s">
        <v>5</v>
      </c>
      <c r="Q2" t="s">
        <v>6</v>
      </c>
      <c r="R2" t="s">
        <v>7</v>
      </c>
      <c r="S2" t="s">
        <v>48</v>
      </c>
      <c r="T2" t="s">
        <v>49</v>
      </c>
      <c r="U2" t="s">
        <v>50</v>
      </c>
      <c r="V2" t="s">
        <v>51</v>
      </c>
      <c r="W2" t="s">
        <v>35</v>
      </c>
      <c r="X2" s="11" t="s">
        <v>36</v>
      </c>
      <c r="Y2" t="s">
        <v>9</v>
      </c>
      <c r="AA2" t="s">
        <v>52</v>
      </c>
    </row>
    <row r="3" spans="1:27">
      <c r="A3" t="s">
        <v>10</v>
      </c>
      <c r="B3">
        <v>30</v>
      </c>
      <c r="C3">
        <v>50</v>
      </c>
      <c r="E3">
        <v>0</v>
      </c>
      <c r="F3" s="2">
        <v>0</v>
      </c>
      <c r="G3" s="2">
        <f>B12</f>
        <v>1115200000</v>
      </c>
      <c r="H3" s="2">
        <f t="shared" ref="H3:H18" si="0">$F3-$G3</f>
        <v>-1115200000</v>
      </c>
      <c r="I3" s="2"/>
      <c r="J3" s="2"/>
      <c r="K3" s="2"/>
      <c r="L3" s="2">
        <v>0</v>
      </c>
      <c r="M3" s="2">
        <f t="shared" ref="M3" si="1">H3</f>
        <v>-1115200000</v>
      </c>
      <c r="N3" s="2">
        <f t="shared" ref="N3:N34" si="2">M3/((1+$B$16)^E3)</f>
        <v>-1115200000</v>
      </c>
      <c r="O3" s="2"/>
      <c r="P3">
        <v>0</v>
      </c>
      <c r="Q3" s="7">
        <v>0</v>
      </c>
      <c r="R3" s="7">
        <f>C12</f>
        <v>366800000</v>
      </c>
      <c r="S3" s="7">
        <f t="shared" ref="S3:S66" si="3">Q3-R3</f>
        <v>-366800000</v>
      </c>
      <c r="T3" s="7"/>
      <c r="U3" s="7"/>
      <c r="V3" s="7"/>
      <c r="W3" s="7">
        <f>V3*$B$15</f>
        <v>0</v>
      </c>
      <c r="X3" s="11">
        <f t="shared" ref="X3" si="4">S3</f>
        <v>-366800000</v>
      </c>
      <c r="Y3" s="7">
        <f t="shared" ref="Y3:Y34" si="5">X3/((1+$B$16)^P3)</f>
        <v>-366800000</v>
      </c>
      <c r="AA3" s="2">
        <f>M3-X3</f>
        <v>-748400000</v>
      </c>
    </row>
    <row r="4" spans="1:27">
      <c r="A4" t="s">
        <v>11</v>
      </c>
      <c r="B4" s="1">
        <v>2788000</v>
      </c>
      <c r="C4" s="1">
        <v>917000</v>
      </c>
      <c r="E4">
        <v>1</v>
      </c>
      <c r="F4" s="2">
        <v>0</v>
      </c>
      <c r="G4" s="2">
        <v>0</v>
      </c>
      <c r="H4" s="2">
        <f t="shared" si="0"/>
        <v>0</v>
      </c>
      <c r="I4" s="2">
        <v>1115200000</v>
      </c>
      <c r="J4" s="2">
        <f t="shared" ref="J4:J38" si="6">I4*0.3</f>
        <v>334560000</v>
      </c>
      <c r="K4" s="2">
        <f t="shared" ref="K4:K67" si="7">H4-J4</f>
        <v>-334560000</v>
      </c>
      <c r="L4" s="2">
        <f>K4*$B$15</f>
        <v>-90331200</v>
      </c>
      <c r="M4" s="2">
        <f>IF(L4&lt;0,H4,H4-L4)</f>
        <v>0</v>
      </c>
      <c r="N4" s="2">
        <f t="shared" si="2"/>
        <v>0</v>
      </c>
      <c r="O4" s="2"/>
      <c r="P4">
        <v>1</v>
      </c>
      <c r="Q4" s="7">
        <v>0</v>
      </c>
      <c r="R4" s="7">
        <v>0</v>
      </c>
      <c r="S4" s="7">
        <f t="shared" si="3"/>
        <v>0</v>
      </c>
      <c r="T4" s="7">
        <f>-S3</f>
        <v>366800000</v>
      </c>
      <c r="U4" s="7">
        <f t="shared" ref="U4:U35" si="8">T4*$B$29</f>
        <v>91700000</v>
      </c>
      <c r="V4" s="7">
        <f t="shared" ref="V4:V67" si="9">S4-U4</f>
        <v>-91700000</v>
      </c>
      <c r="W4" s="7">
        <f>V4*$B$15+W3</f>
        <v>-24759000</v>
      </c>
      <c r="X4" s="11">
        <f>IF(W4&lt;0,S4,S4-W4)</f>
        <v>0</v>
      </c>
      <c r="Y4" s="7">
        <f t="shared" si="5"/>
        <v>0</v>
      </c>
      <c r="AA4" s="2">
        <f t="shared" ref="AA4:AA67" si="10">M4-X4</f>
        <v>0</v>
      </c>
    </row>
    <row r="5" spans="1:27">
      <c r="A5" t="s">
        <v>12</v>
      </c>
      <c r="B5" s="1">
        <v>49000</v>
      </c>
      <c r="C5" s="1">
        <v>13170</v>
      </c>
      <c r="E5">
        <v>2</v>
      </c>
      <c r="F5" s="2">
        <v>0</v>
      </c>
      <c r="G5" s="2">
        <v>0</v>
      </c>
      <c r="H5" s="2">
        <f t="shared" si="0"/>
        <v>0</v>
      </c>
      <c r="I5" s="2">
        <f t="shared" ref="I5:I36" si="11">I4-J4</f>
        <v>780640000</v>
      </c>
      <c r="J5" s="2">
        <f t="shared" si="6"/>
        <v>234192000</v>
      </c>
      <c r="K5" s="2">
        <f t="shared" si="7"/>
        <v>-234192000</v>
      </c>
      <c r="L5" s="2">
        <f t="shared" ref="L5:L36" si="12">IF(L4&lt;0,K5*$B$15+L4,K5*$B$15)</f>
        <v>-153563040</v>
      </c>
      <c r="M5" s="2">
        <f t="shared" ref="M5:M68" si="13">IF(L5&lt;0,H5,H5-L5)</f>
        <v>0</v>
      </c>
      <c r="N5" s="2">
        <f t="shared" si="2"/>
        <v>0</v>
      </c>
      <c r="O5" s="2"/>
      <c r="P5">
        <v>2</v>
      </c>
      <c r="Q5" s="7">
        <v>0</v>
      </c>
      <c r="R5" s="7">
        <v>0</v>
      </c>
      <c r="S5" s="7">
        <f t="shared" si="3"/>
        <v>0</v>
      </c>
      <c r="T5" s="7">
        <f>T4-U4</f>
        <v>275100000</v>
      </c>
      <c r="U5" s="7">
        <f t="shared" si="8"/>
        <v>68775000</v>
      </c>
      <c r="V5" s="7">
        <f t="shared" si="9"/>
        <v>-68775000</v>
      </c>
      <c r="W5" s="7">
        <f t="shared" ref="W5:W36" si="14">IF(W4&lt;0,V5*$B$15+W4,V5*$B$15)</f>
        <v>-43328250</v>
      </c>
      <c r="X5" s="11">
        <f t="shared" ref="X5:X68" si="15">IF(W5&lt;0,S5,S5-W5)</f>
        <v>0</v>
      </c>
      <c r="Y5" s="7">
        <f t="shared" si="5"/>
        <v>0</v>
      </c>
      <c r="AA5" s="2">
        <f t="shared" si="10"/>
        <v>0</v>
      </c>
    </row>
    <row r="6" spans="1:27">
      <c r="A6" t="s">
        <v>13</v>
      </c>
      <c r="B6">
        <v>0</v>
      </c>
      <c r="C6">
        <v>183</v>
      </c>
      <c r="E6">
        <v>3</v>
      </c>
      <c r="F6" s="2">
        <v>0</v>
      </c>
      <c r="G6" s="2">
        <v>0</v>
      </c>
      <c r="H6" s="2">
        <f t="shared" si="0"/>
        <v>0</v>
      </c>
      <c r="I6" s="2">
        <f t="shared" si="11"/>
        <v>546448000</v>
      </c>
      <c r="J6" s="2">
        <f t="shared" si="6"/>
        <v>163934400</v>
      </c>
      <c r="K6" s="2">
        <f t="shared" si="7"/>
        <v>-163934400</v>
      </c>
      <c r="L6" s="2">
        <f t="shared" si="12"/>
        <v>-197825328</v>
      </c>
      <c r="M6" s="2">
        <f t="shared" si="13"/>
        <v>0</v>
      </c>
      <c r="N6" s="2">
        <f t="shared" si="2"/>
        <v>0</v>
      </c>
      <c r="O6" s="2"/>
      <c r="P6">
        <v>3</v>
      </c>
      <c r="Q6" s="7">
        <v>0</v>
      </c>
      <c r="R6" s="7">
        <v>0</v>
      </c>
      <c r="S6" s="7">
        <f t="shared" si="3"/>
        <v>0</v>
      </c>
      <c r="T6" s="7">
        <f t="shared" ref="T6:T58" si="16">T5-U5</f>
        <v>206325000</v>
      </c>
      <c r="U6" s="7">
        <f t="shared" si="8"/>
        <v>51581250</v>
      </c>
      <c r="V6" s="7">
        <f t="shared" si="9"/>
        <v>-51581250</v>
      </c>
      <c r="W6" s="7">
        <f t="shared" si="14"/>
        <v>-57255187.5</v>
      </c>
      <c r="X6" s="11">
        <f t="shared" si="15"/>
        <v>0</v>
      </c>
      <c r="Y6" s="7">
        <f t="shared" si="5"/>
        <v>0</v>
      </c>
      <c r="AA6" s="2">
        <f t="shared" si="10"/>
        <v>0</v>
      </c>
    </row>
    <row r="7" spans="1:27">
      <c r="A7" t="s">
        <v>14</v>
      </c>
      <c r="B7">
        <v>0.37</v>
      </c>
      <c r="C7">
        <v>0.87</v>
      </c>
      <c r="E7">
        <v>4</v>
      </c>
      <c r="F7" s="2">
        <f t="shared" ref="F7:F18" si="17">$B$11</f>
        <v>142612800</v>
      </c>
      <c r="G7" s="2">
        <f t="shared" ref="G7:G18" si="18">$B$13</f>
        <v>19600000</v>
      </c>
      <c r="H7" s="2">
        <f t="shared" si="0"/>
        <v>123012800</v>
      </c>
      <c r="I7" s="2">
        <f t="shared" si="11"/>
        <v>382513600</v>
      </c>
      <c r="J7" s="2">
        <f t="shared" si="6"/>
        <v>114754080</v>
      </c>
      <c r="K7" s="2">
        <f t="shared" si="7"/>
        <v>8258720</v>
      </c>
      <c r="L7" s="2">
        <f t="shared" si="12"/>
        <v>-195595473.59999999</v>
      </c>
      <c r="M7" s="2">
        <f t="shared" si="13"/>
        <v>123012800</v>
      </c>
      <c r="N7" s="2">
        <f t="shared" si="2"/>
        <v>108956379.69124603</v>
      </c>
      <c r="O7" s="2"/>
      <c r="P7">
        <v>4</v>
      </c>
      <c r="Q7" s="7">
        <v>0</v>
      </c>
      <c r="R7" s="7">
        <v>0</v>
      </c>
      <c r="S7" s="7">
        <f t="shared" si="3"/>
        <v>0</v>
      </c>
      <c r="T7" s="7">
        <f t="shared" si="16"/>
        <v>154743750</v>
      </c>
      <c r="U7" s="7">
        <f t="shared" si="8"/>
        <v>38685937.5</v>
      </c>
      <c r="V7" s="7">
        <f t="shared" si="9"/>
        <v>-38685937.5</v>
      </c>
      <c r="W7" s="7">
        <f t="shared" si="14"/>
        <v>-67700390.625</v>
      </c>
      <c r="X7" s="11">
        <f t="shared" si="15"/>
        <v>0</v>
      </c>
      <c r="Y7" s="7">
        <f t="shared" si="5"/>
        <v>0</v>
      </c>
      <c r="AA7" s="2">
        <f t="shared" si="10"/>
        <v>123012800</v>
      </c>
    </row>
    <row r="8" spans="1:27">
      <c r="A8" t="s">
        <v>15</v>
      </c>
      <c r="B8">
        <v>400</v>
      </c>
      <c r="C8">
        <v>400</v>
      </c>
      <c r="E8">
        <v>5</v>
      </c>
      <c r="F8" s="2">
        <f t="shared" si="17"/>
        <v>142612800</v>
      </c>
      <c r="G8" s="2">
        <f t="shared" si="18"/>
        <v>19600000</v>
      </c>
      <c r="H8" s="2">
        <f t="shared" si="0"/>
        <v>123012800</v>
      </c>
      <c r="I8" s="2">
        <f t="shared" si="11"/>
        <v>267759520</v>
      </c>
      <c r="J8" s="2">
        <f t="shared" si="6"/>
        <v>80327856</v>
      </c>
      <c r="K8" s="2">
        <f t="shared" si="7"/>
        <v>42684944</v>
      </c>
      <c r="L8" s="2">
        <f t="shared" si="12"/>
        <v>-184070538.72</v>
      </c>
      <c r="M8" s="2">
        <f t="shared" si="13"/>
        <v>123012800</v>
      </c>
      <c r="N8" s="2">
        <f t="shared" si="2"/>
        <v>105700795.19911334</v>
      </c>
      <c r="O8" s="2"/>
      <c r="P8">
        <v>5</v>
      </c>
      <c r="Q8" s="7">
        <v>0</v>
      </c>
      <c r="R8" s="7">
        <v>0</v>
      </c>
      <c r="S8" s="7">
        <f t="shared" si="3"/>
        <v>0</v>
      </c>
      <c r="T8" s="7">
        <f t="shared" si="16"/>
        <v>116057812.5</v>
      </c>
      <c r="U8" s="7">
        <f t="shared" si="8"/>
        <v>29014453.125</v>
      </c>
      <c r="V8" s="7">
        <f t="shared" si="9"/>
        <v>-29014453.125</v>
      </c>
      <c r="W8" s="7">
        <f t="shared" si="14"/>
        <v>-75534292.96875</v>
      </c>
      <c r="X8" s="11">
        <f t="shared" si="15"/>
        <v>0</v>
      </c>
      <c r="Y8" s="7">
        <f t="shared" si="5"/>
        <v>0</v>
      </c>
      <c r="AA8" s="2">
        <f t="shared" si="10"/>
        <v>123012800</v>
      </c>
    </row>
    <row r="9" spans="1:27">
      <c r="A9" t="s">
        <v>16</v>
      </c>
      <c r="B9" s="1">
        <v>110</v>
      </c>
      <c r="C9" s="1">
        <v>110</v>
      </c>
      <c r="E9">
        <v>6</v>
      </c>
      <c r="F9" s="2">
        <f t="shared" si="17"/>
        <v>142612800</v>
      </c>
      <c r="G9" s="2">
        <f t="shared" si="18"/>
        <v>19600000</v>
      </c>
      <c r="H9" s="2">
        <f t="shared" si="0"/>
        <v>123012800</v>
      </c>
      <c r="I9" s="2">
        <f t="shared" si="11"/>
        <v>187431664</v>
      </c>
      <c r="J9" s="2">
        <f t="shared" si="6"/>
        <v>56229499.199999996</v>
      </c>
      <c r="K9" s="2">
        <f t="shared" si="7"/>
        <v>66783300.800000004</v>
      </c>
      <c r="L9" s="2">
        <f t="shared" si="12"/>
        <v>-166039047.50400001</v>
      </c>
      <c r="M9" s="2">
        <f t="shared" si="13"/>
        <v>123012800</v>
      </c>
      <c r="N9" s="2">
        <f t="shared" si="2"/>
        <v>102542486.61147976</v>
      </c>
      <c r="O9" s="2"/>
      <c r="P9">
        <v>6</v>
      </c>
      <c r="Q9" s="3">
        <f t="shared" ref="Q9:Q58" si="19">$C$11</f>
        <v>335332800</v>
      </c>
      <c r="R9" s="6">
        <f>$C$13+$C$6*$A$18*$C$10+50*'Carbon Tax'!$B$6</f>
        <v>256018039.71138734</v>
      </c>
      <c r="S9" s="3">
        <f t="shared" si="3"/>
        <v>79314760.288612664</v>
      </c>
      <c r="T9" s="7">
        <f t="shared" si="16"/>
        <v>87043359.375</v>
      </c>
      <c r="U9" s="7">
        <f t="shared" si="8"/>
        <v>21760839.84375</v>
      </c>
      <c r="V9" s="7">
        <f t="shared" si="9"/>
        <v>57553920.444862664</v>
      </c>
      <c r="W9" s="7">
        <f t="shared" si="14"/>
        <v>-59994734.448637083</v>
      </c>
      <c r="X9" s="11">
        <f t="shared" si="15"/>
        <v>79314760.288612664</v>
      </c>
      <c r="Y9" s="7">
        <f t="shared" si="5"/>
        <v>66116150.067210816</v>
      </c>
      <c r="AA9" s="2">
        <f t="shared" si="10"/>
        <v>43698039.711387336</v>
      </c>
    </row>
    <row r="10" spans="1:27">
      <c r="A10" t="s">
        <v>17</v>
      </c>
      <c r="B10">
        <f>365*24*B8*B7</f>
        <v>1296480</v>
      </c>
      <c r="C10">
        <f>365*24*C8*C7</f>
        <v>3048480</v>
      </c>
      <c r="E10">
        <v>7</v>
      </c>
      <c r="F10" s="2">
        <f t="shared" si="17"/>
        <v>142612800</v>
      </c>
      <c r="G10" s="2">
        <f t="shared" si="18"/>
        <v>19600000</v>
      </c>
      <c r="H10" s="2">
        <f t="shared" si="0"/>
        <v>123012800</v>
      </c>
      <c r="I10" s="2">
        <f t="shared" si="11"/>
        <v>131202164.80000001</v>
      </c>
      <c r="J10" s="2">
        <f t="shared" si="6"/>
        <v>39360649.440000005</v>
      </c>
      <c r="K10" s="2">
        <f t="shared" si="7"/>
        <v>83652150.560000002</v>
      </c>
      <c r="L10" s="2">
        <f t="shared" si="12"/>
        <v>-143452966.85280001</v>
      </c>
      <c r="M10" s="2">
        <f t="shared" si="13"/>
        <v>123012800</v>
      </c>
      <c r="N10" s="2">
        <f t="shared" si="2"/>
        <v>99478547.353007168</v>
      </c>
      <c r="O10" s="2"/>
      <c r="P10">
        <v>7</v>
      </c>
      <c r="Q10" s="3">
        <f t="shared" si="19"/>
        <v>335332800</v>
      </c>
      <c r="R10" s="6">
        <f>$C$13+$C$6*$A$18*$C$10+50*'Carbon Tax'!$B$6</f>
        <v>256018039.71138734</v>
      </c>
      <c r="S10" s="3">
        <f t="shared" si="3"/>
        <v>79314760.288612664</v>
      </c>
      <c r="T10" s="7">
        <f t="shared" si="16"/>
        <v>65282519.53125</v>
      </c>
      <c r="U10" s="7">
        <f t="shared" si="8"/>
        <v>16320629.8828125</v>
      </c>
      <c r="V10" s="7">
        <f t="shared" si="9"/>
        <v>62994130.405800164</v>
      </c>
      <c r="W10" s="7">
        <f t="shared" si="14"/>
        <v>-42986319.239071041</v>
      </c>
      <c r="X10" s="11">
        <f t="shared" si="15"/>
        <v>79314760.288612664</v>
      </c>
      <c r="Y10" s="7">
        <f t="shared" si="5"/>
        <v>64140619.001950748</v>
      </c>
      <c r="AA10" s="2">
        <f t="shared" si="10"/>
        <v>43698039.711387336</v>
      </c>
    </row>
    <row r="11" spans="1:27">
      <c r="A11" t="s">
        <v>18</v>
      </c>
      <c r="B11" s="1">
        <f>B10*B9</f>
        <v>142612800</v>
      </c>
      <c r="C11" s="3">
        <f>C10*C9</f>
        <v>335332800</v>
      </c>
      <c r="E11">
        <v>8</v>
      </c>
      <c r="F11" s="2">
        <f t="shared" si="17"/>
        <v>142612800</v>
      </c>
      <c r="G11" s="2">
        <f t="shared" si="18"/>
        <v>19600000</v>
      </c>
      <c r="H11" s="2">
        <f t="shared" si="0"/>
        <v>123012800</v>
      </c>
      <c r="I11" s="2">
        <f t="shared" si="11"/>
        <v>91841515.360000014</v>
      </c>
      <c r="J11" s="2">
        <f t="shared" si="6"/>
        <v>27552454.608000003</v>
      </c>
      <c r="K11" s="2">
        <f t="shared" si="7"/>
        <v>95460345.39199999</v>
      </c>
      <c r="L11" s="2">
        <f t="shared" si="12"/>
        <v>-117678673.59696001</v>
      </c>
      <c r="M11" s="2">
        <f t="shared" si="13"/>
        <v>123012800</v>
      </c>
      <c r="N11" s="2">
        <f t="shared" si="2"/>
        <v>96506157.695971236</v>
      </c>
      <c r="O11" s="2"/>
      <c r="P11">
        <v>8</v>
      </c>
      <c r="Q11" s="3">
        <f t="shared" si="19"/>
        <v>335332800</v>
      </c>
      <c r="R11" s="6">
        <f>$C$13+$C$6*$A$18*$C$10+50*'Carbon Tax'!$B$6</f>
        <v>256018039.71138734</v>
      </c>
      <c r="S11" s="3">
        <f t="shared" si="3"/>
        <v>79314760.288612664</v>
      </c>
      <c r="T11" s="7">
        <f t="shared" si="16"/>
        <v>48961889.6484375</v>
      </c>
      <c r="U11" s="7">
        <f t="shared" si="8"/>
        <v>12240472.412109375</v>
      </c>
      <c r="V11" s="7">
        <f t="shared" si="9"/>
        <v>67074287.876503289</v>
      </c>
      <c r="W11" s="7">
        <f t="shared" si="14"/>
        <v>-24876261.512415152</v>
      </c>
      <c r="X11" s="11">
        <f t="shared" si="15"/>
        <v>79314760.288612664</v>
      </c>
      <c r="Y11" s="7">
        <f t="shared" si="5"/>
        <v>62224116.222303778</v>
      </c>
      <c r="AA11" s="2">
        <f t="shared" si="10"/>
        <v>43698039.711387336</v>
      </c>
    </row>
    <row r="12" spans="1:27">
      <c r="A12" t="s">
        <v>19</v>
      </c>
      <c r="B12" s="2">
        <f>B4*B8</f>
        <v>1115200000</v>
      </c>
      <c r="C12" s="3">
        <f>C4*C8</f>
        <v>366800000</v>
      </c>
      <c r="E12">
        <v>9</v>
      </c>
      <c r="F12" s="2">
        <f t="shared" si="17"/>
        <v>142612800</v>
      </c>
      <c r="G12" s="2">
        <f t="shared" si="18"/>
        <v>19600000</v>
      </c>
      <c r="H12" s="2">
        <f t="shared" si="0"/>
        <v>123012800</v>
      </c>
      <c r="I12" s="2">
        <f t="shared" si="11"/>
        <v>64289060.752000012</v>
      </c>
      <c r="J12" s="2">
        <f t="shared" si="6"/>
        <v>19286718.225600004</v>
      </c>
      <c r="K12" s="2">
        <f t="shared" si="7"/>
        <v>103726081.7744</v>
      </c>
      <c r="L12" s="2">
        <f t="shared" si="12"/>
        <v>-89672631.517872006</v>
      </c>
      <c r="M12" s="2">
        <f t="shared" si="13"/>
        <v>123012800</v>
      </c>
      <c r="N12" s="2">
        <f t="shared" si="2"/>
        <v>93622582.165280595</v>
      </c>
      <c r="O12" s="2"/>
      <c r="P12">
        <v>9</v>
      </c>
      <c r="Q12" s="3">
        <f t="shared" si="19"/>
        <v>335332800</v>
      </c>
      <c r="R12" s="6">
        <f>$C$13+$C$6*$A$18*$C$10+50*'Carbon Tax'!$B$6</f>
        <v>256018039.71138734</v>
      </c>
      <c r="S12" s="3">
        <f t="shared" si="3"/>
        <v>79314760.288612664</v>
      </c>
      <c r="T12" s="7">
        <f t="shared" si="16"/>
        <v>36721417.236328125</v>
      </c>
      <c r="U12" s="7">
        <f t="shared" si="8"/>
        <v>9180354.3090820313</v>
      </c>
      <c r="V12" s="7">
        <f t="shared" si="9"/>
        <v>70134405.979530632</v>
      </c>
      <c r="W12" s="7">
        <f t="shared" si="14"/>
        <v>-5939971.8979418799</v>
      </c>
      <c r="X12" s="11">
        <f t="shared" si="15"/>
        <v>79314760.288612664</v>
      </c>
      <c r="Y12" s="7">
        <f t="shared" si="5"/>
        <v>60364877.980504252</v>
      </c>
      <c r="AA12" s="2">
        <f t="shared" si="10"/>
        <v>43698039.711387336</v>
      </c>
    </row>
    <row r="13" spans="1:27">
      <c r="A13" t="s">
        <v>20</v>
      </c>
      <c r="B13" s="1">
        <f>B5*B8</f>
        <v>19600000</v>
      </c>
      <c r="C13" s="1">
        <f>C5*C8</f>
        <v>5268000</v>
      </c>
      <c r="E13">
        <v>10</v>
      </c>
      <c r="F13" s="2">
        <f t="shared" si="17"/>
        <v>142612800</v>
      </c>
      <c r="G13" s="2">
        <f t="shared" si="18"/>
        <v>19600000</v>
      </c>
      <c r="H13" s="2">
        <f t="shared" si="0"/>
        <v>123012800</v>
      </c>
      <c r="I13" s="2">
        <f t="shared" si="11"/>
        <v>45002342.526400007</v>
      </c>
      <c r="J13" s="2">
        <f t="shared" si="6"/>
        <v>13500702.757920003</v>
      </c>
      <c r="K13" s="2">
        <f t="shared" si="7"/>
        <v>109512097.24208</v>
      </c>
      <c r="L13" s="2">
        <f t="shared" si="12"/>
        <v>-60104365.262510404</v>
      </c>
      <c r="M13" s="2">
        <f t="shared" si="13"/>
        <v>123012800</v>
      </c>
      <c r="N13" s="2">
        <f t="shared" si="2"/>
        <v>90825167.02103278</v>
      </c>
      <c r="O13" s="2"/>
      <c r="P13">
        <v>10</v>
      </c>
      <c r="Q13" s="3">
        <f t="shared" si="19"/>
        <v>335332800</v>
      </c>
      <c r="R13" s="6">
        <f>$C$13+$C$6*$A$18*$C$10+50*'Carbon Tax'!$B$6</f>
        <v>256018039.71138734</v>
      </c>
      <c r="S13" s="3">
        <f t="shared" si="3"/>
        <v>79314760.288612664</v>
      </c>
      <c r="T13" s="7">
        <f t="shared" si="16"/>
        <v>27541062.927246094</v>
      </c>
      <c r="U13" s="7">
        <f t="shared" si="8"/>
        <v>6885265.7318115234</v>
      </c>
      <c r="V13" s="7">
        <f t="shared" si="9"/>
        <v>72429494.55680114</v>
      </c>
      <c r="W13" s="7">
        <f t="shared" si="14"/>
        <v>13615991.632394429</v>
      </c>
      <c r="X13" s="11">
        <f t="shared" si="15"/>
        <v>65698768.656218231</v>
      </c>
      <c r="Y13" s="7">
        <f t="shared" si="5"/>
        <v>48507973.448919252</v>
      </c>
      <c r="AA13" s="2">
        <f t="shared" si="10"/>
        <v>57314031.343781769</v>
      </c>
    </row>
    <row r="14" spans="1:27">
      <c r="A14" t="s">
        <v>53</v>
      </c>
      <c r="B14" s="2">
        <f>$B$12*(1-$B$28)^($B$21-1)</f>
        <v>12316.577423168173</v>
      </c>
      <c r="C14" s="2">
        <f>$C$12*(1-$B$29)^($C$21-1)</f>
        <v>65.72605261628695</v>
      </c>
      <c r="E14">
        <v>11</v>
      </c>
      <c r="F14" s="2">
        <f t="shared" si="17"/>
        <v>142612800</v>
      </c>
      <c r="G14" s="2">
        <f t="shared" si="18"/>
        <v>19600000</v>
      </c>
      <c r="H14" s="2">
        <f t="shared" si="0"/>
        <v>123012800</v>
      </c>
      <c r="I14" s="2">
        <f t="shared" si="11"/>
        <v>31501639.768480003</v>
      </c>
      <c r="J14" s="2">
        <f t="shared" si="6"/>
        <v>9450491.9305440001</v>
      </c>
      <c r="K14" s="2">
        <f t="shared" si="7"/>
        <v>113562308.069456</v>
      </c>
      <c r="L14" s="2">
        <f t="shared" si="12"/>
        <v>-29442542.083757281</v>
      </c>
      <c r="M14" s="2">
        <f t="shared" si="13"/>
        <v>123012800</v>
      </c>
      <c r="N14" s="2">
        <f t="shared" si="2"/>
        <v>88111337.816291034</v>
      </c>
      <c r="O14" s="2"/>
      <c r="P14">
        <v>11</v>
      </c>
      <c r="Q14" s="3">
        <f t="shared" si="19"/>
        <v>335332800</v>
      </c>
      <c r="R14" s="6">
        <f>$C$13+$C$6*$A$18*$C$10+50*'Carbon Tax'!$B$6</f>
        <v>256018039.71138734</v>
      </c>
      <c r="S14" s="3">
        <f t="shared" si="3"/>
        <v>79314760.288612664</v>
      </c>
      <c r="T14" s="7">
        <f t="shared" si="16"/>
        <v>20655797.19543457</v>
      </c>
      <c r="U14" s="7">
        <f t="shared" si="8"/>
        <v>5163949.2988586426</v>
      </c>
      <c r="V14" s="7">
        <f t="shared" si="9"/>
        <v>74150810.989754021</v>
      </c>
      <c r="W14" s="7">
        <f t="shared" si="14"/>
        <v>20020718.967233587</v>
      </c>
      <c r="X14" s="11">
        <f t="shared" si="15"/>
        <v>59294041.32137908</v>
      </c>
      <c r="Y14" s="7">
        <f t="shared" si="5"/>
        <v>42471005.499924816</v>
      </c>
      <c r="AA14" s="2">
        <f t="shared" si="10"/>
        <v>63718758.67862092</v>
      </c>
    </row>
    <row r="15" spans="1:27">
      <c r="A15" t="s">
        <v>21</v>
      </c>
      <c r="B15">
        <v>0.27</v>
      </c>
      <c r="C15">
        <v>0.27</v>
      </c>
      <c r="E15">
        <v>12</v>
      </c>
      <c r="F15" s="2">
        <f t="shared" si="17"/>
        <v>142612800</v>
      </c>
      <c r="G15" s="2">
        <f t="shared" si="18"/>
        <v>19600000</v>
      </c>
      <c r="H15" s="2">
        <f t="shared" si="0"/>
        <v>123012800</v>
      </c>
      <c r="I15" s="2">
        <f t="shared" si="11"/>
        <v>22051147.837936003</v>
      </c>
      <c r="J15" s="2">
        <f t="shared" si="6"/>
        <v>6615344.3513808008</v>
      </c>
      <c r="K15" s="2">
        <f t="shared" si="7"/>
        <v>116397455.6486192</v>
      </c>
      <c r="L15" s="2">
        <f t="shared" si="12"/>
        <v>1984770.9413699061</v>
      </c>
      <c r="M15" s="2">
        <f t="shared" si="13"/>
        <v>121028029.05863009</v>
      </c>
      <c r="N15" s="2">
        <f t="shared" si="2"/>
        <v>84099428.067449838</v>
      </c>
      <c r="O15" s="2"/>
      <c r="P15">
        <v>12</v>
      </c>
      <c r="Q15" s="3">
        <f t="shared" si="19"/>
        <v>335332800</v>
      </c>
      <c r="R15" s="6">
        <f>$C$13+$C$6*$A$18*$C$10+50*'Carbon Tax'!$B$6</f>
        <v>256018039.71138734</v>
      </c>
      <c r="S15" s="3">
        <f t="shared" si="3"/>
        <v>79314760.288612664</v>
      </c>
      <c r="T15" s="7">
        <f t="shared" si="16"/>
        <v>15491847.896575928</v>
      </c>
      <c r="U15" s="7">
        <f t="shared" si="8"/>
        <v>3872961.9741439819</v>
      </c>
      <c r="V15" s="7">
        <f t="shared" si="9"/>
        <v>75441798.314468682</v>
      </c>
      <c r="W15" s="7">
        <f t="shared" si="14"/>
        <v>20369285.544906545</v>
      </c>
      <c r="X15" s="11">
        <f t="shared" si="15"/>
        <v>58945474.743706122</v>
      </c>
      <c r="Y15" s="7">
        <f t="shared" si="5"/>
        <v>40959773.960365154</v>
      </c>
      <c r="AA15" s="2">
        <f t="shared" si="10"/>
        <v>62082554.314923972</v>
      </c>
    </row>
    <row r="16" spans="1:27">
      <c r="A16" t="s">
        <v>22</v>
      </c>
      <c r="B16">
        <v>3.0800000000000001E-2</v>
      </c>
      <c r="E16">
        <v>13</v>
      </c>
      <c r="F16" s="2">
        <f t="shared" si="17"/>
        <v>142612800</v>
      </c>
      <c r="G16" s="2">
        <f t="shared" si="18"/>
        <v>19600000</v>
      </c>
      <c r="H16" s="2">
        <f t="shared" si="0"/>
        <v>123012800</v>
      </c>
      <c r="I16" s="2">
        <f t="shared" si="11"/>
        <v>15435803.486555202</v>
      </c>
      <c r="J16" s="2">
        <f t="shared" si="6"/>
        <v>4630741.04596656</v>
      </c>
      <c r="K16" s="2">
        <f t="shared" si="7"/>
        <v>118382058.95403343</v>
      </c>
      <c r="L16" s="2">
        <f t="shared" si="12"/>
        <v>31963155.917589031</v>
      </c>
      <c r="M16" s="2">
        <f t="shared" si="13"/>
        <v>91049644.082410961</v>
      </c>
      <c r="N16" s="2">
        <f t="shared" si="2"/>
        <v>61377744.362720199</v>
      </c>
      <c r="O16" s="2"/>
      <c r="P16">
        <v>13</v>
      </c>
      <c r="Q16" s="3">
        <f t="shared" si="19"/>
        <v>335332800</v>
      </c>
      <c r="R16" s="6">
        <f>$C$13+$C$6*$A$18*$C$10+50*'Carbon Tax'!$B$6</f>
        <v>256018039.71138734</v>
      </c>
      <c r="S16" s="3">
        <f t="shared" si="3"/>
        <v>79314760.288612664</v>
      </c>
      <c r="T16" s="7">
        <f t="shared" si="16"/>
        <v>11618885.922431946</v>
      </c>
      <c r="U16" s="7">
        <f t="shared" si="8"/>
        <v>2904721.4806079865</v>
      </c>
      <c r="V16" s="7">
        <f t="shared" si="9"/>
        <v>76410038.808004677</v>
      </c>
      <c r="W16" s="7">
        <f t="shared" si="14"/>
        <v>20630710.478161264</v>
      </c>
      <c r="X16" s="11">
        <f t="shared" si="15"/>
        <v>58684049.810451403</v>
      </c>
      <c r="Y16" s="7">
        <f t="shared" si="5"/>
        <v>39559678.060628921</v>
      </c>
      <c r="AA16" s="2">
        <f t="shared" si="10"/>
        <v>32365594.271959558</v>
      </c>
    </row>
    <row r="17" spans="1:27">
      <c r="A17" t="s">
        <v>24</v>
      </c>
      <c r="B17" t="s">
        <v>25</v>
      </c>
      <c r="E17">
        <v>14</v>
      </c>
      <c r="F17" s="2">
        <f t="shared" si="17"/>
        <v>142612800</v>
      </c>
      <c r="G17" s="2">
        <f t="shared" si="18"/>
        <v>19600000</v>
      </c>
      <c r="H17" s="2">
        <f t="shared" si="0"/>
        <v>123012800</v>
      </c>
      <c r="I17" s="2">
        <f t="shared" si="11"/>
        <v>10805062.440588642</v>
      </c>
      <c r="J17" s="2">
        <f t="shared" si="6"/>
        <v>3241518.7321765926</v>
      </c>
      <c r="K17" s="2">
        <f t="shared" si="7"/>
        <v>119771281.26782341</v>
      </c>
      <c r="L17" s="2">
        <f t="shared" si="12"/>
        <v>32338245.942312323</v>
      </c>
      <c r="M17" s="2">
        <f t="shared" si="13"/>
        <v>90674554.05768767</v>
      </c>
      <c r="N17" s="2">
        <f t="shared" si="2"/>
        <v>59298497.592976049</v>
      </c>
      <c r="O17" s="2"/>
      <c r="P17">
        <v>14</v>
      </c>
      <c r="Q17" s="3">
        <f t="shared" si="19"/>
        <v>335332800</v>
      </c>
      <c r="R17" s="6">
        <f>$C$13+$C$6*$A$18*$C$10+50*'Carbon Tax'!$B$6</f>
        <v>256018039.71138734</v>
      </c>
      <c r="S17" s="3">
        <f t="shared" si="3"/>
        <v>79314760.288612664</v>
      </c>
      <c r="T17" s="7">
        <f t="shared" si="16"/>
        <v>8714164.4418239594</v>
      </c>
      <c r="U17" s="7">
        <f t="shared" si="8"/>
        <v>2178541.1104559898</v>
      </c>
      <c r="V17" s="7">
        <f t="shared" si="9"/>
        <v>77136219.178156674</v>
      </c>
      <c r="W17" s="7">
        <f t="shared" si="14"/>
        <v>20826779.178102303</v>
      </c>
      <c r="X17" s="11">
        <f t="shared" si="15"/>
        <v>58487981.110510364</v>
      </c>
      <c r="Y17" s="7">
        <f t="shared" si="5"/>
        <v>38249423.370674722</v>
      </c>
      <c r="AA17" s="2">
        <f t="shared" si="10"/>
        <v>32186572.947177306</v>
      </c>
    </row>
    <row r="18" spans="1:27">
      <c r="A18">
        <v>0.4</v>
      </c>
      <c r="B18" t="s">
        <v>54</v>
      </c>
      <c r="E18">
        <v>15</v>
      </c>
      <c r="F18" s="2">
        <f t="shared" si="17"/>
        <v>142612800</v>
      </c>
      <c r="G18" s="2">
        <f t="shared" si="18"/>
        <v>19600000</v>
      </c>
      <c r="H18" s="2">
        <f t="shared" si="0"/>
        <v>123012800</v>
      </c>
      <c r="I18" s="2">
        <f t="shared" si="11"/>
        <v>7563543.7084120493</v>
      </c>
      <c r="J18" s="2">
        <f t="shared" si="6"/>
        <v>2269063.1125236149</v>
      </c>
      <c r="K18" s="2">
        <f t="shared" si="7"/>
        <v>120743736.88747638</v>
      </c>
      <c r="L18" s="2">
        <f t="shared" si="12"/>
        <v>32600808.959618624</v>
      </c>
      <c r="M18" s="2">
        <f t="shared" si="13"/>
        <v>90411991.040381372</v>
      </c>
      <c r="N18" s="2">
        <f t="shared" si="2"/>
        <v>57360098.06395629</v>
      </c>
      <c r="O18" s="2"/>
      <c r="P18">
        <v>15</v>
      </c>
      <c r="Q18" s="3">
        <f t="shared" si="19"/>
        <v>335332800</v>
      </c>
      <c r="R18" s="6">
        <f>$C$13+$C$6*$A$18*$C$10+50*'Carbon Tax'!$B$6</f>
        <v>256018039.71138734</v>
      </c>
      <c r="S18" s="3">
        <f t="shared" si="3"/>
        <v>79314760.288612664</v>
      </c>
      <c r="T18" s="7">
        <f t="shared" si="16"/>
        <v>6535623.3313679695</v>
      </c>
      <c r="U18" s="7">
        <f t="shared" si="8"/>
        <v>1633905.8328419924</v>
      </c>
      <c r="V18" s="7">
        <f t="shared" si="9"/>
        <v>77680854.455770671</v>
      </c>
      <c r="W18" s="7">
        <f t="shared" si="14"/>
        <v>20973830.703058083</v>
      </c>
      <c r="X18" s="11">
        <f t="shared" si="15"/>
        <v>58340929.585554585</v>
      </c>
      <c r="Y18" s="7">
        <f t="shared" si="5"/>
        <v>37013247.951537028</v>
      </c>
      <c r="AA18" s="2">
        <f t="shared" si="10"/>
        <v>32071061.454826787</v>
      </c>
    </row>
    <row r="19" spans="1:27">
      <c r="A19">
        <f>17.7694/100</f>
        <v>0.17769400000000002</v>
      </c>
      <c r="B19" t="s">
        <v>26</v>
      </c>
      <c r="C19" t="s">
        <v>28</v>
      </c>
      <c r="E19">
        <v>16</v>
      </c>
      <c r="F19" s="2">
        <f t="shared" ref="F19:F36" si="20">$B$11</f>
        <v>142612800</v>
      </c>
      <c r="G19" s="2">
        <f t="shared" ref="G19:G35" si="21">$B$13</f>
        <v>19600000</v>
      </c>
      <c r="H19" s="2">
        <f t="shared" ref="H19:H36" si="22">$F19-$G19</f>
        <v>123012800</v>
      </c>
      <c r="I19" s="2">
        <f t="shared" si="11"/>
        <v>5294480.595888434</v>
      </c>
      <c r="J19" s="2">
        <f t="shared" si="6"/>
        <v>1588344.1787665302</v>
      </c>
      <c r="K19" s="2">
        <f t="shared" si="7"/>
        <v>121424455.82123347</v>
      </c>
      <c r="L19" s="2">
        <f t="shared" si="12"/>
        <v>32784603.071733039</v>
      </c>
      <c r="M19" s="2">
        <f t="shared" si="13"/>
        <v>90228196.928266957</v>
      </c>
      <c r="N19" s="2">
        <f t="shared" si="2"/>
        <v>55533074.823069915</v>
      </c>
      <c r="O19" s="2"/>
      <c r="P19">
        <v>16</v>
      </c>
      <c r="Q19" s="3">
        <f t="shared" si="19"/>
        <v>335332800</v>
      </c>
      <c r="R19" s="6">
        <f>$C$13+$C$6*$A$18*$C$10+50*'Carbon Tax'!$B$6</f>
        <v>256018039.71138734</v>
      </c>
      <c r="S19" s="3">
        <f t="shared" si="3"/>
        <v>79314760.288612664</v>
      </c>
      <c r="T19" s="7">
        <f t="shared" si="16"/>
        <v>4901717.4985259771</v>
      </c>
      <c r="U19" s="7">
        <f t="shared" si="8"/>
        <v>1225429.3746314943</v>
      </c>
      <c r="V19" s="7">
        <f t="shared" si="9"/>
        <v>78089330.913981169</v>
      </c>
      <c r="W19" s="7">
        <f t="shared" si="14"/>
        <v>21084119.346774917</v>
      </c>
      <c r="X19" s="11">
        <f t="shared" si="15"/>
        <v>58230640.941837743</v>
      </c>
      <c r="Y19" s="7">
        <f t="shared" si="5"/>
        <v>35839423.26797536</v>
      </c>
      <c r="AA19" s="2">
        <f t="shared" si="10"/>
        <v>31997555.986429214</v>
      </c>
    </row>
    <row r="20" spans="1:27">
      <c r="A20">
        <f>10.558/100</f>
        <v>0.10557999999999999</v>
      </c>
      <c r="B20" t="s">
        <v>26</v>
      </c>
      <c r="C20" t="s">
        <v>27</v>
      </c>
      <c r="E20">
        <v>17</v>
      </c>
      <c r="F20" s="2">
        <f t="shared" si="20"/>
        <v>142612800</v>
      </c>
      <c r="G20" s="2">
        <f t="shared" si="21"/>
        <v>19600000</v>
      </c>
      <c r="H20" s="2">
        <f t="shared" si="22"/>
        <v>123012800</v>
      </c>
      <c r="I20" s="2">
        <f t="shared" si="11"/>
        <v>3706136.417121904</v>
      </c>
      <c r="J20" s="2">
        <f t="shared" si="6"/>
        <v>1111840.9251365711</v>
      </c>
      <c r="K20" s="2">
        <f t="shared" si="7"/>
        <v>121900959.07486343</v>
      </c>
      <c r="L20" s="2">
        <f t="shared" si="12"/>
        <v>32913258.950213131</v>
      </c>
      <c r="M20" s="2">
        <f t="shared" si="13"/>
        <v>90099541.049786866</v>
      </c>
      <c r="N20" s="2">
        <f t="shared" si="2"/>
        <v>53796944.629457533</v>
      </c>
      <c r="O20" s="2"/>
      <c r="P20">
        <v>17</v>
      </c>
      <c r="Q20" s="3">
        <f t="shared" si="19"/>
        <v>335332800</v>
      </c>
      <c r="R20" s="6">
        <f>$C$13+$C$6*$A$18*$C$10+50*'Carbon Tax'!$B$6</f>
        <v>256018039.71138734</v>
      </c>
      <c r="S20" s="3">
        <f t="shared" si="3"/>
        <v>79314760.288612664</v>
      </c>
      <c r="T20" s="7">
        <f t="shared" si="16"/>
        <v>3676288.1238944829</v>
      </c>
      <c r="U20" s="7">
        <f t="shared" si="8"/>
        <v>919072.03097362071</v>
      </c>
      <c r="V20" s="7">
        <f t="shared" si="9"/>
        <v>78395688.25763905</v>
      </c>
      <c r="W20" s="7">
        <f t="shared" si="14"/>
        <v>21166835.829562545</v>
      </c>
      <c r="X20" s="11">
        <f t="shared" si="15"/>
        <v>58147924.459050119</v>
      </c>
      <c r="Y20" s="7">
        <f t="shared" si="5"/>
        <v>34719163.227622218</v>
      </c>
      <c r="AA20" s="2">
        <f t="shared" si="10"/>
        <v>31951616.590736747</v>
      </c>
    </row>
    <row r="21" spans="1:27">
      <c r="A21" t="s">
        <v>29</v>
      </c>
      <c r="B21">
        <v>33</v>
      </c>
      <c r="C21">
        <v>55</v>
      </c>
      <c r="E21">
        <v>18</v>
      </c>
      <c r="F21" s="2">
        <f t="shared" si="20"/>
        <v>142612800</v>
      </c>
      <c r="G21" s="2">
        <f t="shared" si="21"/>
        <v>19600000</v>
      </c>
      <c r="H21" s="2">
        <f t="shared" si="22"/>
        <v>123012800</v>
      </c>
      <c r="I21" s="2">
        <f t="shared" si="11"/>
        <v>2594295.4919853332</v>
      </c>
      <c r="J21" s="2">
        <f t="shared" si="6"/>
        <v>778288.64759559988</v>
      </c>
      <c r="K21" s="2">
        <f t="shared" si="7"/>
        <v>122234511.3524044</v>
      </c>
      <c r="L21" s="2">
        <f t="shared" si="12"/>
        <v>33003318.065149192</v>
      </c>
      <c r="M21" s="2">
        <f t="shared" si="13"/>
        <v>90009481.934850812</v>
      </c>
      <c r="N21" s="2">
        <f t="shared" si="2"/>
        <v>52137341.698284298</v>
      </c>
      <c r="O21" s="2"/>
      <c r="P21">
        <v>18</v>
      </c>
      <c r="Q21" s="3">
        <f t="shared" si="19"/>
        <v>335332800</v>
      </c>
      <c r="R21" s="6">
        <f>$C$13+$C$6*$A$18*$C$10+50*'Carbon Tax'!$B$6</f>
        <v>256018039.71138734</v>
      </c>
      <c r="S21" s="3">
        <f t="shared" si="3"/>
        <v>79314760.288612664</v>
      </c>
      <c r="T21" s="7">
        <f t="shared" si="16"/>
        <v>2757216.0929208621</v>
      </c>
      <c r="U21" s="7">
        <f t="shared" si="8"/>
        <v>689304.02323021553</v>
      </c>
      <c r="V21" s="7">
        <f t="shared" si="9"/>
        <v>78625456.265382454</v>
      </c>
      <c r="W21" s="7">
        <f t="shared" si="14"/>
        <v>21228873.191653263</v>
      </c>
      <c r="X21" s="11">
        <f t="shared" si="15"/>
        <v>58085887.096959397</v>
      </c>
      <c r="Y21" s="7">
        <f t="shared" si="5"/>
        <v>33645830.176137812</v>
      </c>
      <c r="AA21" s="2">
        <f t="shared" si="10"/>
        <v>31923594.837891415</v>
      </c>
    </row>
    <row r="22" spans="1:27">
      <c r="A22" t="s">
        <v>30</v>
      </c>
      <c r="B22">
        <v>165</v>
      </c>
      <c r="E22">
        <v>19</v>
      </c>
      <c r="F22" s="2">
        <f t="shared" si="20"/>
        <v>142612800</v>
      </c>
      <c r="G22" s="2">
        <f t="shared" si="21"/>
        <v>19600000</v>
      </c>
      <c r="H22" s="2">
        <f t="shared" si="22"/>
        <v>123012800</v>
      </c>
      <c r="I22" s="2">
        <f t="shared" si="11"/>
        <v>1816006.8443897334</v>
      </c>
      <c r="J22" s="2">
        <f t="shared" si="6"/>
        <v>544802.05331691995</v>
      </c>
      <c r="K22" s="2">
        <f t="shared" si="7"/>
        <v>122467997.94668308</v>
      </c>
      <c r="L22" s="2">
        <f t="shared" si="12"/>
        <v>33066359.445604432</v>
      </c>
      <c r="M22" s="2">
        <f t="shared" si="13"/>
        <v>89946440.554395571</v>
      </c>
      <c r="N22" s="2">
        <f t="shared" si="2"/>
        <v>50544068.135822184</v>
      </c>
      <c r="O22" s="2"/>
      <c r="P22">
        <v>19</v>
      </c>
      <c r="Q22" s="3">
        <f t="shared" si="19"/>
        <v>335332800</v>
      </c>
      <c r="R22" s="6">
        <f>$C$13+$C$6*$A$18*$C$10+50*'Carbon Tax'!$B$6</f>
        <v>256018039.71138734</v>
      </c>
      <c r="S22" s="3">
        <f t="shared" si="3"/>
        <v>79314760.288612664</v>
      </c>
      <c r="T22" s="7">
        <f t="shared" si="16"/>
        <v>2067912.0696906466</v>
      </c>
      <c r="U22" s="7">
        <f t="shared" si="8"/>
        <v>516978.01742266165</v>
      </c>
      <c r="V22" s="7">
        <f t="shared" si="9"/>
        <v>78797782.271190003</v>
      </c>
      <c r="W22" s="7">
        <f t="shared" si="14"/>
        <v>21275401.2132213</v>
      </c>
      <c r="X22" s="11">
        <f t="shared" si="15"/>
        <v>58039359.075391367</v>
      </c>
      <c r="Y22" s="7">
        <f t="shared" si="5"/>
        <v>32614356.96159599</v>
      </c>
      <c r="AA22" s="2">
        <f t="shared" si="10"/>
        <v>31907081.479004204</v>
      </c>
    </row>
    <row r="23" spans="1:27">
      <c r="A23" t="s">
        <v>31</v>
      </c>
      <c r="B23">
        <v>5</v>
      </c>
      <c r="C23">
        <v>3</v>
      </c>
      <c r="E23">
        <v>20</v>
      </c>
      <c r="F23" s="2">
        <f t="shared" si="20"/>
        <v>142612800</v>
      </c>
      <c r="G23" s="2">
        <f t="shared" si="21"/>
        <v>19600000</v>
      </c>
      <c r="H23" s="2">
        <f t="shared" si="22"/>
        <v>123012800</v>
      </c>
      <c r="I23" s="2">
        <f t="shared" si="11"/>
        <v>1271204.7910728133</v>
      </c>
      <c r="J23" s="2">
        <f t="shared" si="6"/>
        <v>381361.43732184399</v>
      </c>
      <c r="K23" s="2">
        <f t="shared" si="7"/>
        <v>122631438.56267816</v>
      </c>
      <c r="L23" s="2">
        <f t="shared" si="12"/>
        <v>33110488.411923107</v>
      </c>
      <c r="M23" s="2">
        <f t="shared" si="13"/>
        <v>89902311.58807689</v>
      </c>
      <c r="N23" s="2">
        <f t="shared" si="2"/>
        <v>49009769.613643609</v>
      </c>
      <c r="O23" s="2"/>
      <c r="P23">
        <v>20</v>
      </c>
      <c r="Q23" s="3">
        <f t="shared" si="19"/>
        <v>335332800</v>
      </c>
      <c r="R23" s="6">
        <f>$C$13+$C$6*$A$18*$C$10+50*'Carbon Tax'!$B$6</f>
        <v>256018039.71138734</v>
      </c>
      <c r="S23" s="3">
        <f t="shared" si="3"/>
        <v>79314760.288612664</v>
      </c>
      <c r="T23" s="7">
        <f t="shared" si="16"/>
        <v>1550934.052267985</v>
      </c>
      <c r="U23" s="7">
        <f t="shared" si="8"/>
        <v>387733.51306699624</v>
      </c>
      <c r="V23" s="7">
        <f t="shared" si="9"/>
        <v>78927026.775545672</v>
      </c>
      <c r="W23" s="7">
        <f t="shared" si="14"/>
        <v>21310297.229397334</v>
      </c>
      <c r="X23" s="11">
        <f t="shared" si="15"/>
        <v>58004463.05921533</v>
      </c>
      <c r="Y23" s="7">
        <f t="shared" si="5"/>
        <v>31620826.215465892</v>
      </c>
      <c r="AA23" s="2">
        <f t="shared" si="10"/>
        <v>31897848.52886156</v>
      </c>
    </row>
    <row r="24" spans="1:27">
      <c r="A24" t="s">
        <v>9</v>
      </c>
      <c r="B24" s="2">
        <f>N1</f>
        <v>0</v>
      </c>
      <c r="C24" s="2">
        <f>Y59</f>
        <v>0</v>
      </c>
      <c r="E24">
        <v>21</v>
      </c>
      <c r="F24" s="2">
        <f t="shared" si="20"/>
        <v>142612800</v>
      </c>
      <c r="G24" s="2">
        <f t="shared" si="21"/>
        <v>19600000</v>
      </c>
      <c r="H24" s="2">
        <f t="shared" si="22"/>
        <v>123012800</v>
      </c>
      <c r="I24" s="2">
        <f t="shared" si="11"/>
        <v>889843.35375096928</v>
      </c>
      <c r="J24" s="2">
        <f t="shared" si="6"/>
        <v>266953.00612529076</v>
      </c>
      <c r="K24" s="2">
        <f t="shared" si="7"/>
        <v>122745846.99387471</v>
      </c>
      <c r="L24" s="2">
        <f t="shared" si="12"/>
        <v>33141378.688346174</v>
      </c>
      <c r="M24" s="2">
        <f t="shared" si="13"/>
        <v>89871421.311653823</v>
      </c>
      <c r="N24" s="2">
        <f t="shared" si="2"/>
        <v>47529035.644983739</v>
      </c>
      <c r="O24" s="2"/>
      <c r="P24">
        <v>21</v>
      </c>
      <c r="Q24" s="3">
        <f t="shared" si="19"/>
        <v>335332800</v>
      </c>
      <c r="R24" s="6">
        <f>$C$13+$C$6*$A$18*$C$10+50*'Carbon Tax'!$B$6</f>
        <v>256018039.71138734</v>
      </c>
      <c r="S24" s="3">
        <f t="shared" si="3"/>
        <v>79314760.288612664</v>
      </c>
      <c r="T24" s="7">
        <f t="shared" si="16"/>
        <v>1163200.5392009886</v>
      </c>
      <c r="U24" s="7">
        <f t="shared" si="8"/>
        <v>290800.13480024715</v>
      </c>
      <c r="V24" s="7">
        <f t="shared" si="9"/>
        <v>79023960.153812423</v>
      </c>
      <c r="W24" s="7">
        <f t="shared" si="14"/>
        <v>21336469.241529357</v>
      </c>
      <c r="X24" s="11">
        <f t="shared" si="15"/>
        <v>57978291.047083303</v>
      </c>
      <c r="Y24" s="7">
        <f t="shared" si="5"/>
        <v>30662164.029386867</v>
      </c>
      <c r="AA24" s="2">
        <f t="shared" si="10"/>
        <v>31893130.264570519</v>
      </c>
    </row>
    <row r="25" spans="1:27">
      <c r="A25" t="s">
        <v>32</v>
      </c>
      <c r="B25" s="14">
        <f>N169</f>
        <v>1117791889.7608533</v>
      </c>
      <c r="C25" s="14">
        <f>Y169</f>
        <v>1189525825.9646783</v>
      </c>
      <c r="E25">
        <v>22</v>
      </c>
      <c r="F25" s="2">
        <f t="shared" si="20"/>
        <v>142612800</v>
      </c>
      <c r="G25" s="2">
        <f t="shared" si="21"/>
        <v>19600000</v>
      </c>
      <c r="H25" s="2">
        <f t="shared" si="22"/>
        <v>123012800</v>
      </c>
      <c r="I25" s="2">
        <f t="shared" si="11"/>
        <v>622890.34762567852</v>
      </c>
      <c r="J25" s="2">
        <f t="shared" si="6"/>
        <v>186867.10428770355</v>
      </c>
      <c r="K25" s="2">
        <f t="shared" si="7"/>
        <v>122825932.8957123</v>
      </c>
      <c r="L25" s="2">
        <f t="shared" si="12"/>
        <v>33163001.881842323</v>
      </c>
      <c r="M25" s="2">
        <f t="shared" si="13"/>
        <v>89849798.118157685</v>
      </c>
      <c r="N25" s="2">
        <f t="shared" si="2"/>
        <v>46097788.213528916</v>
      </c>
      <c r="O25" s="2"/>
      <c r="P25">
        <v>22</v>
      </c>
      <c r="Q25" s="3">
        <f t="shared" si="19"/>
        <v>335332800</v>
      </c>
      <c r="R25" s="6">
        <f>$C$13+$C$6*$A$18*$C$10+50*'Carbon Tax'!$B$6</f>
        <v>256018039.71138734</v>
      </c>
      <c r="S25" s="3">
        <f t="shared" si="3"/>
        <v>79314760.288612664</v>
      </c>
      <c r="T25" s="7">
        <f t="shared" si="16"/>
        <v>872400.40440074145</v>
      </c>
      <c r="U25" s="7">
        <f t="shared" si="8"/>
        <v>218100.10110018536</v>
      </c>
      <c r="V25" s="7">
        <f t="shared" si="9"/>
        <v>79096660.187512472</v>
      </c>
      <c r="W25" s="7">
        <f t="shared" si="14"/>
        <v>21356098.250628367</v>
      </c>
      <c r="X25" s="11">
        <f t="shared" si="15"/>
        <v>57958662.037984297</v>
      </c>
      <c r="Y25" s="7">
        <f t="shared" si="5"/>
        <v>29735916.871543456</v>
      </c>
      <c r="AA25" s="2">
        <f t="shared" si="10"/>
        <v>31891136.080173388</v>
      </c>
    </row>
    <row r="26" spans="1:27">
      <c r="A26" t="s">
        <v>33</v>
      </c>
      <c r="B26" s="9">
        <f>MIRR(M3:M168,B16,B16)</f>
        <v>3.3961615926162869E-2</v>
      </c>
      <c r="C26" s="9">
        <f>MIRR(X3:X168,B16,B16)</f>
        <v>3.9053708396946218E-2</v>
      </c>
      <c r="E26">
        <v>23</v>
      </c>
      <c r="F26" s="2">
        <f t="shared" si="20"/>
        <v>142612800</v>
      </c>
      <c r="G26" s="2">
        <f t="shared" si="21"/>
        <v>19600000</v>
      </c>
      <c r="H26" s="2">
        <f t="shared" si="22"/>
        <v>123012800</v>
      </c>
      <c r="I26" s="2">
        <f t="shared" si="11"/>
        <v>436023.243337975</v>
      </c>
      <c r="J26" s="2">
        <f t="shared" si="6"/>
        <v>130806.9730013925</v>
      </c>
      <c r="K26" s="2">
        <f t="shared" si="7"/>
        <v>122881993.02699861</v>
      </c>
      <c r="L26" s="2">
        <f t="shared" si="12"/>
        <v>33178138.117289625</v>
      </c>
      <c r="M26" s="2">
        <f t="shared" si="13"/>
        <v>89834661.882710367</v>
      </c>
      <c r="N26" s="2">
        <f t="shared" si="2"/>
        <v>44712866.229230613</v>
      </c>
      <c r="O26" s="2"/>
      <c r="P26">
        <v>23</v>
      </c>
      <c r="Q26" s="3">
        <f t="shared" si="19"/>
        <v>335332800</v>
      </c>
      <c r="R26" s="6">
        <f>$C$13+$C$6*$A$18*$C$10+50*'Carbon Tax'!$B$6</f>
        <v>256018039.71138734</v>
      </c>
      <c r="S26" s="3">
        <f t="shared" si="3"/>
        <v>79314760.288612664</v>
      </c>
      <c r="T26" s="7">
        <f t="shared" si="16"/>
        <v>654300.30330055603</v>
      </c>
      <c r="U26" s="7">
        <f t="shared" si="8"/>
        <v>163575.07582513901</v>
      </c>
      <c r="V26" s="7">
        <f t="shared" si="9"/>
        <v>79151185.212787524</v>
      </c>
      <c r="W26" s="7">
        <f t="shared" si="14"/>
        <v>21370820.007452633</v>
      </c>
      <c r="X26" s="11">
        <f t="shared" si="15"/>
        <v>57943940.281160027</v>
      </c>
      <c r="Y26" s="7">
        <f t="shared" si="5"/>
        <v>28840089.07351017</v>
      </c>
      <c r="AA26" s="2">
        <f t="shared" si="10"/>
        <v>31890721.601550341</v>
      </c>
    </row>
    <row r="27" spans="1:27">
      <c r="A27" t="s">
        <v>55</v>
      </c>
      <c r="B27" s="4">
        <f>IRR(M3:M168,0)</f>
        <v>6.7852520454527943E-2</v>
      </c>
      <c r="C27" s="4">
        <f>IRR(X3:X168,0)</f>
        <v>0.10724331231805517</v>
      </c>
      <c r="E27">
        <v>24</v>
      </c>
      <c r="F27" s="2">
        <f t="shared" si="20"/>
        <v>142612800</v>
      </c>
      <c r="G27" s="2">
        <f t="shared" si="21"/>
        <v>19600000</v>
      </c>
      <c r="H27" s="2">
        <f t="shared" si="22"/>
        <v>123012800</v>
      </c>
      <c r="I27" s="2">
        <f t="shared" si="11"/>
        <v>305216.2703365825</v>
      </c>
      <c r="J27" s="2">
        <f t="shared" si="6"/>
        <v>91564.881100974744</v>
      </c>
      <c r="K27" s="2">
        <f t="shared" si="7"/>
        <v>122921235.11889903</v>
      </c>
      <c r="L27" s="2">
        <f t="shared" si="12"/>
        <v>33188733.482102741</v>
      </c>
      <c r="M27" s="2">
        <f t="shared" si="13"/>
        <v>89824066.517897263</v>
      </c>
      <c r="N27" s="2">
        <f t="shared" si="2"/>
        <v>43371742.978264324</v>
      </c>
      <c r="O27" s="2"/>
      <c r="P27">
        <v>24</v>
      </c>
      <c r="Q27" s="3">
        <f t="shared" si="19"/>
        <v>335332800</v>
      </c>
      <c r="R27" s="6">
        <f>$C$13+$C$6*$A$18*$C$10+50*'Carbon Tax'!$B$6</f>
        <v>256018039.71138734</v>
      </c>
      <c r="S27" s="3">
        <f t="shared" si="3"/>
        <v>79314760.288612664</v>
      </c>
      <c r="T27" s="7">
        <f t="shared" si="16"/>
        <v>490725.22747541702</v>
      </c>
      <c r="U27" s="7">
        <f t="shared" si="8"/>
        <v>122681.30686885426</v>
      </c>
      <c r="V27" s="7">
        <f t="shared" si="9"/>
        <v>79192078.981743813</v>
      </c>
      <c r="W27" s="7">
        <f t="shared" si="14"/>
        <v>21381861.325070832</v>
      </c>
      <c r="X27" s="11">
        <f t="shared" si="15"/>
        <v>57932898.963541836</v>
      </c>
      <c r="Y27" s="7">
        <f t="shared" si="5"/>
        <v>27973024.393544368</v>
      </c>
      <c r="AA27" s="2">
        <f t="shared" si="10"/>
        <v>31891167.554355428</v>
      </c>
    </row>
    <row r="28" spans="1:27">
      <c r="A28" t="s">
        <v>56</v>
      </c>
      <c r="B28">
        <v>0.3</v>
      </c>
      <c r="C28" s="10" t="s">
        <v>57</v>
      </c>
      <c r="E28">
        <v>25</v>
      </c>
      <c r="F28" s="2">
        <f t="shared" si="20"/>
        <v>142612800</v>
      </c>
      <c r="G28" s="2">
        <f t="shared" si="21"/>
        <v>19600000</v>
      </c>
      <c r="H28" s="2">
        <f t="shared" si="22"/>
        <v>123012800</v>
      </c>
      <c r="I28" s="2">
        <f t="shared" si="11"/>
        <v>213651.38923560776</v>
      </c>
      <c r="J28" s="2">
        <f t="shared" si="6"/>
        <v>64095.416770682321</v>
      </c>
      <c r="K28" s="2">
        <f t="shared" si="7"/>
        <v>122948704.58322932</v>
      </c>
      <c r="L28" s="2">
        <f t="shared" si="12"/>
        <v>33196150.23747192</v>
      </c>
      <c r="M28" s="2">
        <f t="shared" si="13"/>
        <v>89816649.762528077</v>
      </c>
      <c r="N28" s="2">
        <f t="shared" si="2"/>
        <v>42072333.897984989</v>
      </c>
      <c r="O28" s="2"/>
      <c r="P28">
        <v>25</v>
      </c>
      <c r="Q28" s="3">
        <f t="shared" si="19"/>
        <v>335332800</v>
      </c>
      <c r="R28" s="6">
        <f>$C$13+$C$6*$A$18*$C$10+50*'Carbon Tax'!$B$6</f>
        <v>256018039.71138734</v>
      </c>
      <c r="S28" s="3">
        <f t="shared" si="3"/>
        <v>79314760.288612664</v>
      </c>
      <c r="T28" s="7">
        <f t="shared" si="16"/>
        <v>368043.92060656275</v>
      </c>
      <c r="U28" s="7">
        <f t="shared" si="8"/>
        <v>92010.980151640688</v>
      </c>
      <c r="V28" s="7">
        <f t="shared" si="9"/>
        <v>79222749.308461025</v>
      </c>
      <c r="W28" s="7">
        <f t="shared" si="14"/>
        <v>21390142.313284479</v>
      </c>
      <c r="X28" s="11">
        <f t="shared" si="15"/>
        <v>57924617.975328185</v>
      </c>
      <c r="Y28" s="7">
        <f t="shared" si="5"/>
        <v>27133319.655260269</v>
      </c>
      <c r="AA28" s="2">
        <f t="shared" si="10"/>
        <v>31892031.787199892</v>
      </c>
    </row>
    <row r="29" spans="1:27">
      <c r="A29" t="s">
        <v>58</v>
      </c>
      <c r="B29">
        <v>0.25</v>
      </c>
      <c r="C29" s="10" t="s">
        <v>59</v>
      </c>
      <c r="E29">
        <v>26</v>
      </c>
      <c r="F29" s="2">
        <f t="shared" si="20"/>
        <v>142612800</v>
      </c>
      <c r="G29" s="2">
        <f t="shared" si="21"/>
        <v>19600000</v>
      </c>
      <c r="H29" s="2">
        <f t="shared" si="22"/>
        <v>123012800</v>
      </c>
      <c r="I29" s="2">
        <f t="shared" si="11"/>
        <v>149555.97246492543</v>
      </c>
      <c r="J29" s="2">
        <f t="shared" si="6"/>
        <v>44866.79173947763</v>
      </c>
      <c r="K29" s="2">
        <f t="shared" si="7"/>
        <v>122967933.20826052</v>
      </c>
      <c r="L29" s="2">
        <f t="shared" si="12"/>
        <v>33201341.966230344</v>
      </c>
      <c r="M29" s="2">
        <f t="shared" si="13"/>
        <v>89811458.033769652</v>
      </c>
      <c r="N29" s="2">
        <f t="shared" si="2"/>
        <v>40812865.700612016</v>
      </c>
      <c r="O29" s="2"/>
      <c r="P29">
        <v>26</v>
      </c>
      <c r="Q29" s="3">
        <f t="shared" si="19"/>
        <v>335332800</v>
      </c>
      <c r="R29" s="6">
        <f>$C$13+$C$6*$A$18*$C$10+50*'Carbon Tax'!$B$6</f>
        <v>256018039.71138734</v>
      </c>
      <c r="S29" s="3">
        <f t="shared" si="3"/>
        <v>79314760.288612664</v>
      </c>
      <c r="T29" s="7">
        <f t="shared" si="16"/>
        <v>276032.94045492203</v>
      </c>
      <c r="U29" s="7">
        <f t="shared" si="8"/>
        <v>69008.235113730509</v>
      </c>
      <c r="V29" s="7">
        <f t="shared" si="9"/>
        <v>79245752.053498939</v>
      </c>
      <c r="W29" s="7">
        <f t="shared" si="14"/>
        <v>21396353.054444715</v>
      </c>
      <c r="X29" s="11">
        <f t="shared" si="15"/>
        <v>57918407.234167948</v>
      </c>
      <c r="Y29" s="7">
        <f t="shared" si="5"/>
        <v>26319761.729651943</v>
      </c>
      <c r="AA29" s="2">
        <f t="shared" si="10"/>
        <v>31893050.799601704</v>
      </c>
    </row>
    <row r="30" spans="1:27">
      <c r="E30">
        <v>27</v>
      </c>
      <c r="F30" s="2">
        <f t="shared" si="20"/>
        <v>142612800</v>
      </c>
      <c r="G30" s="2">
        <f t="shared" si="21"/>
        <v>19600000</v>
      </c>
      <c r="H30" s="2">
        <f t="shared" si="22"/>
        <v>123012800</v>
      </c>
      <c r="I30" s="2">
        <f t="shared" si="11"/>
        <v>104689.1807254478</v>
      </c>
      <c r="J30" s="2">
        <f t="shared" si="6"/>
        <v>31406.754217634341</v>
      </c>
      <c r="K30" s="2">
        <f t="shared" si="7"/>
        <v>122981393.24578236</v>
      </c>
      <c r="L30" s="2">
        <f t="shared" si="12"/>
        <v>33204976.17636124</v>
      </c>
      <c r="M30" s="2">
        <f t="shared" si="13"/>
        <v>89807823.823638767</v>
      </c>
      <c r="N30" s="2">
        <f t="shared" si="2"/>
        <v>39591787.168006726</v>
      </c>
      <c r="O30" s="2"/>
      <c r="P30">
        <v>27</v>
      </c>
      <c r="Q30" s="3">
        <f t="shared" si="19"/>
        <v>335332800</v>
      </c>
      <c r="R30" s="6">
        <f>$C$13+$C$6*$A$18*$C$10+50*'Carbon Tax'!$B$6</f>
        <v>256018039.71138734</v>
      </c>
      <c r="S30" s="3">
        <f t="shared" si="3"/>
        <v>79314760.288612664</v>
      </c>
      <c r="T30" s="7">
        <f t="shared" si="16"/>
        <v>207024.70534119153</v>
      </c>
      <c r="U30" s="7">
        <f t="shared" si="8"/>
        <v>51756.176335297881</v>
      </c>
      <c r="V30" s="7">
        <f t="shared" si="9"/>
        <v>79263004.112277359</v>
      </c>
      <c r="W30" s="7">
        <f t="shared" si="14"/>
        <v>21401011.110314887</v>
      </c>
      <c r="X30" s="11">
        <f t="shared" si="15"/>
        <v>57913749.178297773</v>
      </c>
      <c r="Y30" s="7">
        <f t="shared" si="5"/>
        <v>25531281.506956656</v>
      </c>
      <c r="AA30" s="2">
        <f t="shared" si="10"/>
        <v>31894074.645340994</v>
      </c>
    </row>
    <row r="31" spans="1:27">
      <c r="A31" t="s">
        <v>60</v>
      </c>
      <c r="B31" t="s">
        <v>61</v>
      </c>
      <c r="E31">
        <v>28</v>
      </c>
      <c r="F31" s="2">
        <f t="shared" si="20"/>
        <v>142612800</v>
      </c>
      <c r="G31" s="2">
        <f t="shared" si="21"/>
        <v>19600000</v>
      </c>
      <c r="H31" s="2">
        <f t="shared" si="22"/>
        <v>123012800</v>
      </c>
      <c r="I31" s="2">
        <f t="shared" si="11"/>
        <v>73282.426507813463</v>
      </c>
      <c r="J31" s="2">
        <f t="shared" si="6"/>
        <v>21984.727952344037</v>
      </c>
      <c r="K31" s="2">
        <f t="shared" si="7"/>
        <v>122990815.27204765</v>
      </c>
      <c r="L31" s="2">
        <f t="shared" si="12"/>
        <v>33207520.123452868</v>
      </c>
      <c r="M31" s="2">
        <f t="shared" si="13"/>
        <v>89805279.876547128</v>
      </c>
      <c r="N31" s="2">
        <f t="shared" si="2"/>
        <v>38407708.254466191</v>
      </c>
      <c r="O31" s="2"/>
      <c r="P31">
        <v>28</v>
      </c>
      <c r="Q31" s="3">
        <f t="shared" si="19"/>
        <v>335332800</v>
      </c>
      <c r="R31" s="6">
        <f>$C$13+$C$6*$A$18*$C$10+50*'Carbon Tax'!$B$6</f>
        <v>256018039.71138734</v>
      </c>
      <c r="S31" s="3">
        <f t="shared" si="3"/>
        <v>79314760.288612664</v>
      </c>
      <c r="T31" s="7">
        <f t="shared" si="16"/>
        <v>155268.52900589365</v>
      </c>
      <c r="U31" s="7">
        <f t="shared" si="8"/>
        <v>38817.132251473413</v>
      </c>
      <c r="V31" s="7">
        <f t="shared" si="9"/>
        <v>79275943.156361192</v>
      </c>
      <c r="W31" s="7">
        <f t="shared" si="14"/>
        <v>21404504.652217522</v>
      </c>
      <c r="X31" s="11">
        <f t="shared" si="15"/>
        <v>57910255.636395141</v>
      </c>
      <c r="Y31" s="7">
        <f t="shared" si="5"/>
        <v>24766920.235444605</v>
      </c>
      <c r="AA31" s="2">
        <f t="shared" si="10"/>
        <v>31895024.240151986</v>
      </c>
    </row>
    <row r="32" spans="1:27">
      <c r="A32" t="s">
        <v>62</v>
      </c>
      <c r="B32" s="4">
        <f>C27</f>
        <v>0.10724331231805517</v>
      </c>
      <c r="E32">
        <v>29</v>
      </c>
      <c r="F32" s="2">
        <f t="shared" si="20"/>
        <v>142612800</v>
      </c>
      <c r="G32" s="2">
        <f t="shared" si="21"/>
        <v>19600000</v>
      </c>
      <c r="H32" s="2">
        <f t="shared" si="22"/>
        <v>123012800</v>
      </c>
      <c r="I32" s="2">
        <f t="shared" si="11"/>
        <v>51297.698555469426</v>
      </c>
      <c r="J32" s="2">
        <f t="shared" si="6"/>
        <v>15389.309566640826</v>
      </c>
      <c r="K32" s="2">
        <f t="shared" si="7"/>
        <v>122997410.69043335</v>
      </c>
      <c r="L32" s="2">
        <f t="shared" si="12"/>
        <v>33209300.886417009</v>
      </c>
      <c r="M32" s="2">
        <f t="shared" si="13"/>
        <v>89803499.113582999</v>
      </c>
      <c r="N32" s="2">
        <f t="shared" si="2"/>
        <v>37259358.422586367</v>
      </c>
      <c r="O32" s="2"/>
      <c r="P32">
        <v>29</v>
      </c>
      <c r="Q32" s="3">
        <f t="shared" si="19"/>
        <v>335332800</v>
      </c>
      <c r="R32" s="6">
        <f>$C$13+$C$6*$A$18*$C$10+50*'Carbon Tax'!$B$6</f>
        <v>256018039.71138734</v>
      </c>
      <c r="S32" s="3">
        <f t="shared" si="3"/>
        <v>79314760.288612664</v>
      </c>
      <c r="T32" s="7">
        <f t="shared" si="16"/>
        <v>116451.39675442025</v>
      </c>
      <c r="U32" s="7">
        <f t="shared" si="8"/>
        <v>29112.849188605061</v>
      </c>
      <c r="V32" s="7">
        <f t="shared" si="9"/>
        <v>79285647.439424053</v>
      </c>
      <c r="W32" s="7">
        <f t="shared" si="14"/>
        <v>21407124.808644496</v>
      </c>
      <c r="X32" s="11">
        <f t="shared" si="15"/>
        <v>57907635.479968168</v>
      </c>
      <c r="Y32" s="7">
        <f t="shared" si="5"/>
        <v>24025804.863390569</v>
      </c>
      <c r="AA32" s="2">
        <f t="shared" si="10"/>
        <v>31895863.633614831</v>
      </c>
    </row>
    <row r="33" spans="1:27">
      <c r="A33" t="s">
        <v>63</v>
      </c>
      <c r="B33" s="8">
        <f>IRR(AA3:AA168,1)</f>
        <v>2.530281356575137E-2</v>
      </c>
      <c r="E33">
        <v>30</v>
      </c>
      <c r="F33" s="2">
        <f t="shared" si="20"/>
        <v>142612800</v>
      </c>
      <c r="G33" s="2">
        <f t="shared" si="21"/>
        <v>19600000</v>
      </c>
      <c r="H33" s="2">
        <f t="shared" si="22"/>
        <v>123012800</v>
      </c>
      <c r="I33" s="2">
        <f t="shared" si="11"/>
        <v>35908.388988828599</v>
      </c>
      <c r="J33" s="2">
        <f t="shared" si="6"/>
        <v>10772.516696648579</v>
      </c>
      <c r="K33" s="2">
        <f t="shared" si="7"/>
        <v>123002027.48330335</v>
      </c>
      <c r="L33" s="2">
        <f t="shared" si="12"/>
        <v>33210547.420491908</v>
      </c>
      <c r="M33" s="2">
        <f t="shared" si="13"/>
        <v>89802252.579508096</v>
      </c>
      <c r="N33" s="2">
        <f t="shared" si="2"/>
        <v>36145558.04925514</v>
      </c>
      <c r="O33" s="2"/>
      <c r="P33">
        <v>30</v>
      </c>
      <c r="Q33" s="3">
        <f t="shared" si="19"/>
        <v>335332800</v>
      </c>
      <c r="R33" s="6">
        <f>$C$13+$C$6*$A$18*$C$10+50*'Carbon Tax'!$B$6</f>
        <v>256018039.71138734</v>
      </c>
      <c r="S33" s="3">
        <f t="shared" si="3"/>
        <v>79314760.288612664</v>
      </c>
      <c r="T33" s="7">
        <f t="shared" si="16"/>
        <v>87338.547565815184</v>
      </c>
      <c r="U33" s="7">
        <f t="shared" si="8"/>
        <v>21834.636891453796</v>
      </c>
      <c r="V33" s="7">
        <f t="shared" si="9"/>
        <v>79292925.651721209</v>
      </c>
      <c r="W33" s="7">
        <f t="shared" si="14"/>
        <v>21409089.925964728</v>
      </c>
      <c r="X33" s="11">
        <f t="shared" si="15"/>
        <v>57905670.362647936</v>
      </c>
      <c r="Y33" s="7">
        <f t="shared" si="5"/>
        <v>23307129.936646283</v>
      </c>
      <c r="AA33" s="2">
        <f t="shared" si="10"/>
        <v>31896582.21686016</v>
      </c>
    </row>
    <row r="34" spans="1:27">
      <c r="A34" t="s">
        <v>64</v>
      </c>
      <c r="E34">
        <v>31</v>
      </c>
      <c r="F34" s="2">
        <f t="shared" si="20"/>
        <v>142612800</v>
      </c>
      <c r="G34" s="2">
        <f t="shared" si="21"/>
        <v>19600000</v>
      </c>
      <c r="H34" s="2">
        <f t="shared" si="22"/>
        <v>123012800</v>
      </c>
      <c r="I34" s="2">
        <f t="shared" si="11"/>
        <v>25135.872292180022</v>
      </c>
      <c r="J34" s="2">
        <f t="shared" si="6"/>
        <v>7540.761687654006</v>
      </c>
      <c r="K34" s="2">
        <f t="shared" si="7"/>
        <v>123005259.23831235</v>
      </c>
      <c r="L34" s="2">
        <f t="shared" si="12"/>
        <v>33211419.994344335</v>
      </c>
      <c r="M34" s="2">
        <f t="shared" si="13"/>
        <v>89801380.005655661</v>
      </c>
      <c r="N34" s="2">
        <f t="shared" si="2"/>
        <v>35065198.716345154</v>
      </c>
      <c r="O34" s="2"/>
      <c r="P34">
        <v>31</v>
      </c>
      <c r="Q34" s="3">
        <f t="shared" si="19"/>
        <v>335332800</v>
      </c>
      <c r="R34" s="6">
        <f>$C$13+$C$6*$A$18*$C$10+50*'Carbon Tax'!$B$6</f>
        <v>256018039.71138734</v>
      </c>
      <c r="S34" s="3">
        <f t="shared" si="3"/>
        <v>79314760.288612664</v>
      </c>
      <c r="T34" s="7">
        <f t="shared" si="16"/>
        <v>65503.910674361388</v>
      </c>
      <c r="U34" s="7">
        <f t="shared" si="8"/>
        <v>16375.977668590347</v>
      </c>
      <c r="V34" s="7">
        <f t="shared" si="9"/>
        <v>79298384.31094408</v>
      </c>
      <c r="W34" s="7">
        <f t="shared" si="14"/>
        <v>21410563.763954904</v>
      </c>
      <c r="X34" s="11">
        <f t="shared" si="15"/>
        <v>57904196.524657756</v>
      </c>
      <c r="Y34" s="7">
        <f t="shared" si="5"/>
        <v>22610144.270829149</v>
      </c>
      <c r="AA34" s="2">
        <f t="shared" si="10"/>
        <v>31897183.480997905</v>
      </c>
    </row>
    <row r="35" spans="1:27">
      <c r="A35" t="s">
        <v>65</v>
      </c>
      <c r="B35" s="9">
        <f>MIRR(AA3:AA168,B16,B16)</f>
        <v>3.048532506571644E-2</v>
      </c>
      <c r="E35">
        <v>32</v>
      </c>
      <c r="F35" s="2">
        <f t="shared" si="20"/>
        <v>142612800</v>
      </c>
      <c r="G35" s="2">
        <f t="shared" si="21"/>
        <v>19600000</v>
      </c>
      <c r="H35" s="2">
        <f t="shared" si="22"/>
        <v>123012800</v>
      </c>
      <c r="I35" s="2">
        <f t="shared" si="11"/>
        <v>17595.110604526017</v>
      </c>
      <c r="J35" s="2">
        <f t="shared" si="6"/>
        <v>5278.533181357805</v>
      </c>
      <c r="K35" s="2">
        <f t="shared" si="7"/>
        <v>123007521.46681865</v>
      </c>
      <c r="L35" s="2">
        <f t="shared" si="12"/>
        <v>33212030.796041038</v>
      </c>
      <c r="M35" s="2">
        <f t="shared" si="13"/>
        <v>89800769.203958958</v>
      </c>
      <c r="N35" s="2">
        <f t="shared" ref="N35:N66" si="23">M35/((1+$B$16)^E35)</f>
        <v>34017229.543577388</v>
      </c>
      <c r="O35" s="2"/>
      <c r="P35">
        <v>32</v>
      </c>
      <c r="Q35" s="3">
        <f t="shared" si="19"/>
        <v>335332800</v>
      </c>
      <c r="R35" s="6">
        <f>$C$13+$C$6*$A$18*$C$10+50*'Carbon Tax'!$B$6</f>
        <v>256018039.71138734</v>
      </c>
      <c r="S35" s="3">
        <f t="shared" si="3"/>
        <v>79314760.288612664</v>
      </c>
      <c r="T35" s="7">
        <f t="shared" si="16"/>
        <v>49127.933005771039</v>
      </c>
      <c r="U35" s="7">
        <f t="shared" si="8"/>
        <v>12281.98325144276</v>
      </c>
      <c r="V35" s="7">
        <f t="shared" si="9"/>
        <v>79302478.305361226</v>
      </c>
      <c r="W35" s="7">
        <f t="shared" si="14"/>
        <v>21411669.142447531</v>
      </c>
      <c r="X35" s="11">
        <f t="shared" si="15"/>
        <v>57903091.146165133</v>
      </c>
      <c r="Y35" s="7">
        <f t="shared" ref="Y35:Y66" si="24">X35/((1+$B$16)^P35)</f>
        <v>21934141.102156024</v>
      </c>
      <c r="AA35" s="2">
        <f t="shared" si="10"/>
        <v>31897678.057793826</v>
      </c>
    </row>
    <row r="36" spans="1:27">
      <c r="E36">
        <v>33</v>
      </c>
      <c r="F36" s="2">
        <f t="shared" si="20"/>
        <v>142612800</v>
      </c>
      <c r="G36" s="2">
        <f>$B$13+$B$12</f>
        <v>1134800000</v>
      </c>
      <c r="H36" s="2">
        <f t="shared" si="22"/>
        <v>-992187200</v>
      </c>
      <c r="I36" s="2">
        <f t="shared" si="11"/>
        <v>12316.577423168212</v>
      </c>
      <c r="J36" s="13">
        <v>0</v>
      </c>
      <c r="K36" s="13">
        <f>H36-J36+$B$12+$B$14</f>
        <v>123025116.57742317</v>
      </c>
      <c r="L36" s="2">
        <f t="shared" si="12"/>
        <v>33216781.47590426</v>
      </c>
      <c r="M36" s="13">
        <f>IF(L36&lt;0,H36,H36-L36+$B$14)</f>
        <v>-1025391664.898481</v>
      </c>
      <c r="N36" s="2">
        <f t="shared" si="23"/>
        <v>-376820270.39184421</v>
      </c>
      <c r="O36" s="2"/>
      <c r="P36">
        <v>33</v>
      </c>
      <c r="Q36" s="3">
        <f t="shared" si="19"/>
        <v>335332800</v>
      </c>
      <c r="R36" s="6">
        <f>$C$13+$C$6*$A$18*$C$10+50*'Carbon Tax'!$B$6</f>
        <v>256018039.71138734</v>
      </c>
      <c r="S36" s="3">
        <f t="shared" si="3"/>
        <v>79314760.288612664</v>
      </c>
      <c r="T36" s="7">
        <f t="shared" si="16"/>
        <v>36845.949754328278</v>
      </c>
      <c r="U36" s="7">
        <f t="shared" ref="U36:U57" si="25">T36*$B$29</f>
        <v>9211.4874385820694</v>
      </c>
      <c r="V36" s="7">
        <f t="shared" si="9"/>
        <v>79305548.801174074</v>
      </c>
      <c r="W36" s="7">
        <f t="shared" si="14"/>
        <v>21412498.176317003</v>
      </c>
      <c r="X36" s="11">
        <f t="shared" si="15"/>
        <v>57902262.112295657</v>
      </c>
      <c r="Y36" s="7">
        <f t="shared" si="24"/>
        <v>21278450.773846358</v>
      </c>
      <c r="AA36" s="2">
        <f t="shared" si="10"/>
        <v>-1083293927.0107768</v>
      </c>
    </row>
    <row r="37" spans="1:27">
      <c r="E37">
        <v>34</v>
      </c>
      <c r="F37" s="2">
        <v>0</v>
      </c>
      <c r="G37" s="2">
        <v>0</v>
      </c>
      <c r="H37" s="2">
        <f t="shared" ref="H37:H100" si="26">$F37-$G37</f>
        <v>0</v>
      </c>
      <c r="I37" s="2">
        <v>1115200000</v>
      </c>
      <c r="J37" s="2">
        <f t="shared" si="6"/>
        <v>334560000</v>
      </c>
      <c r="K37" s="2">
        <f t="shared" si="7"/>
        <v>-334560000</v>
      </c>
      <c r="L37" s="2">
        <f>K37*$B$15</f>
        <v>-90331200</v>
      </c>
      <c r="M37" s="2">
        <f t="shared" si="13"/>
        <v>0</v>
      </c>
      <c r="N37" s="2">
        <f t="shared" si="23"/>
        <v>0</v>
      </c>
      <c r="P37">
        <v>34</v>
      </c>
      <c r="Q37" s="3">
        <f t="shared" si="19"/>
        <v>335332800</v>
      </c>
      <c r="R37" s="6">
        <f>$C$13+$C$6*$A$18*$C$10+50*'Carbon Tax'!$B$6</f>
        <v>256018039.71138734</v>
      </c>
      <c r="S37" s="3">
        <f t="shared" si="3"/>
        <v>79314760.288612664</v>
      </c>
      <c r="T37" s="7">
        <f t="shared" si="16"/>
        <v>27634.462315746208</v>
      </c>
      <c r="U37" s="7">
        <f t="shared" si="25"/>
        <v>6908.6155789365521</v>
      </c>
      <c r="V37" s="7">
        <f t="shared" si="9"/>
        <v>79307851.673033729</v>
      </c>
      <c r="W37" s="7">
        <f t="shared" ref="W37:W68" si="27">IF(W36&lt;0,V37*$B$15+W36,V37*$B$15)</f>
        <v>21413119.951719109</v>
      </c>
      <c r="X37" s="11">
        <f t="shared" si="15"/>
        <v>57901640.336893559</v>
      </c>
      <c r="Y37" s="7">
        <f t="shared" si="24"/>
        <v>20642435.271786172</v>
      </c>
      <c r="AA37" s="2">
        <f t="shared" si="10"/>
        <v>-57901640.336893559</v>
      </c>
    </row>
    <row r="38" spans="1:27">
      <c r="E38">
        <v>35</v>
      </c>
      <c r="F38" s="2">
        <v>0</v>
      </c>
      <c r="G38" s="2">
        <v>0</v>
      </c>
      <c r="H38" s="2">
        <f t="shared" si="26"/>
        <v>0</v>
      </c>
      <c r="I38" s="2">
        <f>I37-J37</f>
        <v>780640000</v>
      </c>
      <c r="J38" s="2">
        <f t="shared" si="6"/>
        <v>234192000</v>
      </c>
      <c r="K38" s="2">
        <f t="shared" si="7"/>
        <v>-234192000</v>
      </c>
      <c r="L38" s="2">
        <f t="shared" ref="L38:L69" si="28">IF(L37&lt;0,K38*$B$15+L37,K38*$B$15)</f>
        <v>-153563040</v>
      </c>
      <c r="M38" s="2">
        <f t="shared" si="13"/>
        <v>0</v>
      </c>
      <c r="N38" s="2">
        <f t="shared" si="23"/>
        <v>0</v>
      </c>
      <c r="P38">
        <v>35</v>
      </c>
      <c r="Q38" s="3">
        <f t="shared" si="19"/>
        <v>335332800</v>
      </c>
      <c r="R38" s="6">
        <f>$C$13+$C$6*$A$18*$C$10+50*'Carbon Tax'!$B$6</f>
        <v>256018039.71138734</v>
      </c>
      <c r="S38" s="3">
        <f t="shared" si="3"/>
        <v>79314760.288612664</v>
      </c>
      <c r="T38" s="7">
        <f t="shared" si="16"/>
        <v>20725.846736809657</v>
      </c>
      <c r="U38" s="7">
        <f t="shared" si="25"/>
        <v>5181.4616842024143</v>
      </c>
      <c r="V38" s="7">
        <f t="shared" si="9"/>
        <v>79309578.826928467</v>
      </c>
      <c r="W38" s="7">
        <f t="shared" si="27"/>
        <v>21413586.283270687</v>
      </c>
      <c r="X38" s="11">
        <f t="shared" si="15"/>
        <v>57901174.005341977</v>
      </c>
      <c r="Y38" s="7">
        <f t="shared" si="24"/>
        <v>20025484.109970067</v>
      </c>
      <c r="AA38" s="2">
        <f t="shared" si="10"/>
        <v>-57901174.005341977</v>
      </c>
    </row>
    <row r="39" spans="1:27">
      <c r="E39">
        <v>36</v>
      </c>
      <c r="F39" s="2">
        <v>0</v>
      </c>
      <c r="G39" s="2">
        <v>0</v>
      </c>
      <c r="H39" s="2">
        <f t="shared" si="26"/>
        <v>0</v>
      </c>
      <c r="I39" s="2">
        <f t="shared" ref="I39:I69" si="29">I38-J38</f>
        <v>546448000</v>
      </c>
      <c r="J39" s="2">
        <f t="shared" ref="J39:J68" si="30">I39*0.3</f>
        <v>163934400</v>
      </c>
      <c r="K39" s="2">
        <f t="shared" si="7"/>
        <v>-163934400</v>
      </c>
      <c r="L39" s="2">
        <f t="shared" si="28"/>
        <v>-197825328</v>
      </c>
      <c r="M39" s="2">
        <f t="shared" si="13"/>
        <v>0</v>
      </c>
      <c r="N39" s="2">
        <f t="shared" si="23"/>
        <v>0</v>
      </c>
      <c r="P39">
        <v>36</v>
      </c>
      <c r="Q39" s="3">
        <f t="shared" si="19"/>
        <v>335332800</v>
      </c>
      <c r="R39" s="6">
        <f>$C$13+$C$6*$A$18*$C$10+50*'Carbon Tax'!$B$6</f>
        <v>256018039.71138734</v>
      </c>
      <c r="S39" s="3">
        <f t="shared" si="3"/>
        <v>79314760.288612664</v>
      </c>
      <c r="T39" s="7">
        <f t="shared" si="16"/>
        <v>15544.385052607242</v>
      </c>
      <c r="U39" s="7">
        <f t="shared" si="25"/>
        <v>3886.0962631518105</v>
      </c>
      <c r="V39" s="7">
        <f t="shared" si="9"/>
        <v>79310874.192349508</v>
      </c>
      <c r="W39" s="7">
        <f t="shared" si="27"/>
        <v>21413936.031934369</v>
      </c>
      <c r="X39" s="11">
        <f t="shared" si="15"/>
        <v>57900824.256678298</v>
      </c>
      <c r="Y39" s="7">
        <f t="shared" si="24"/>
        <v>19427011.202174589</v>
      </c>
      <c r="AA39" s="2">
        <f t="shared" si="10"/>
        <v>-57900824.256678298</v>
      </c>
    </row>
    <row r="40" spans="1:27">
      <c r="E40">
        <v>37</v>
      </c>
      <c r="F40" s="2">
        <f t="shared" ref="F40:F51" si="31">$B$11</f>
        <v>142612800</v>
      </c>
      <c r="G40" s="2">
        <f t="shared" ref="G40:G51" si="32">$B$13</f>
        <v>19600000</v>
      </c>
      <c r="H40" s="2">
        <f t="shared" si="26"/>
        <v>123012800</v>
      </c>
      <c r="I40" s="2">
        <f t="shared" si="29"/>
        <v>382513600</v>
      </c>
      <c r="J40" s="2">
        <f t="shared" si="30"/>
        <v>114754080</v>
      </c>
      <c r="K40" s="2">
        <f t="shared" si="7"/>
        <v>8258720</v>
      </c>
      <c r="L40" s="2">
        <f t="shared" si="28"/>
        <v>-195595473.59999999</v>
      </c>
      <c r="M40" s="2">
        <f t="shared" si="13"/>
        <v>123012800</v>
      </c>
      <c r="N40" s="2">
        <f t="shared" si="23"/>
        <v>40040283.007602386</v>
      </c>
      <c r="P40">
        <v>37</v>
      </c>
      <c r="Q40" s="3">
        <f t="shared" si="19"/>
        <v>335332800</v>
      </c>
      <c r="R40" s="6">
        <f>$C$13+$C$6*$A$18*$C$10+50*'Carbon Tax'!$B$6</f>
        <v>256018039.71138734</v>
      </c>
      <c r="S40" s="3">
        <f t="shared" si="3"/>
        <v>79314760.288612664</v>
      </c>
      <c r="T40" s="7">
        <f t="shared" si="16"/>
        <v>11658.288789455431</v>
      </c>
      <c r="U40" s="7">
        <f t="shared" si="25"/>
        <v>2914.5721973638579</v>
      </c>
      <c r="V40" s="7">
        <f t="shared" si="9"/>
        <v>79311845.716415301</v>
      </c>
      <c r="W40" s="7">
        <f t="shared" si="27"/>
        <v>21414198.343432132</v>
      </c>
      <c r="X40" s="11">
        <f t="shared" si="15"/>
        <v>57900561.945180535</v>
      </c>
      <c r="Y40" s="7">
        <f t="shared" si="24"/>
        <v>18846452.455226138</v>
      </c>
      <c r="AA40" s="2">
        <f t="shared" si="10"/>
        <v>65112238.054819465</v>
      </c>
    </row>
    <row r="41" spans="1:27">
      <c r="E41">
        <v>38</v>
      </c>
      <c r="F41" s="2">
        <f t="shared" si="31"/>
        <v>142612800</v>
      </c>
      <c r="G41" s="2">
        <f t="shared" si="32"/>
        <v>19600000</v>
      </c>
      <c r="H41" s="2">
        <f t="shared" si="26"/>
        <v>123012800</v>
      </c>
      <c r="I41" s="2">
        <f t="shared" si="29"/>
        <v>267759520</v>
      </c>
      <c r="J41" s="2">
        <f t="shared" si="30"/>
        <v>80327856</v>
      </c>
      <c r="K41" s="2">
        <f t="shared" si="7"/>
        <v>42684944</v>
      </c>
      <c r="L41" s="2">
        <f t="shared" si="28"/>
        <v>-184070538.72</v>
      </c>
      <c r="M41" s="2">
        <f t="shared" si="13"/>
        <v>123012800</v>
      </c>
      <c r="N41" s="2">
        <f t="shared" si="23"/>
        <v>38843891.159878142</v>
      </c>
      <c r="P41">
        <v>38</v>
      </c>
      <c r="Q41" s="3">
        <f t="shared" si="19"/>
        <v>335332800</v>
      </c>
      <c r="R41" s="6">
        <f>$C$13+$C$6*$A$18*$C$10+50*'Carbon Tax'!$B$6</f>
        <v>256018039.71138734</v>
      </c>
      <c r="S41" s="3">
        <f t="shared" si="3"/>
        <v>79314760.288612664</v>
      </c>
      <c r="T41" s="7">
        <f t="shared" si="16"/>
        <v>8743.7165920915741</v>
      </c>
      <c r="U41" s="7">
        <f t="shared" si="25"/>
        <v>2185.9291480228935</v>
      </c>
      <c r="V41" s="7">
        <f t="shared" si="9"/>
        <v>79312574.359464645</v>
      </c>
      <c r="W41" s="7">
        <f t="shared" si="27"/>
        <v>21414395.077055454</v>
      </c>
      <c r="X41" s="11">
        <f t="shared" si="15"/>
        <v>57900365.211557209</v>
      </c>
      <c r="Y41" s="7">
        <f t="shared" si="24"/>
        <v>18283263.891196061</v>
      </c>
      <c r="AA41" s="2">
        <f t="shared" si="10"/>
        <v>65112434.788442791</v>
      </c>
    </row>
    <row r="42" spans="1:27">
      <c r="E42">
        <v>39</v>
      </c>
      <c r="F42" s="2">
        <f t="shared" si="31"/>
        <v>142612800</v>
      </c>
      <c r="G42" s="2">
        <f t="shared" si="32"/>
        <v>19600000</v>
      </c>
      <c r="H42" s="2">
        <f t="shared" si="26"/>
        <v>123012800</v>
      </c>
      <c r="I42" s="2">
        <f t="shared" si="29"/>
        <v>187431664</v>
      </c>
      <c r="J42" s="2">
        <f t="shared" si="30"/>
        <v>56229499.199999996</v>
      </c>
      <c r="K42" s="2">
        <f t="shared" si="7"/>
        <v>66783300.800000004</v>
      </c>
      <c r="L42" s="2">
        <f t="shared" si="28"/>
        <v>-166039047.50400001</v>
      </c>
      <c r="M42" s="2">
        <f t="shared" si="13"/>
        <v>123012800</v>
      </c>
      <c r="N42" s="2">
        <f t="shared" si="23"/>
        <v>37683247.147728123</v>
      </c>
      <c r="P42">
        <v>39</v>
      </c>
      <c r="Q42" s="3">
        <f t="shared" si="19"/>
        <v>335332800</v>
      </c>
      <c r="R42" s="6">
        <f>$C$13+$C$6*$A$18*$C$10+50*'Carbon Tax'!$B$6</f>
        <v>256018039.71138734</v>
      </c>
      <c r="S42" s="3">
        <f t="shared" si="3"/>
        <v>79314760.288612664</v>
      </c>
      <c r="T42" s="7">
        <f t="shared" si="16"/>
        <v>6557.787444068681</v>
      </c>
      <c r="U42" s="7">
        <f t="shared" si="25"/>
        <v>1639.4468610171702</v>
      </c>
      <c r="V42" s="7">
        <f t="shared" si="9"/>
        <v>79313120.84175165</v>
      </c>
      <c r="W42" s="7">
        <f t="shared" si="27"/>
        <v>21414542.627272949</v>
      </c>
      <c r="X42" s="11">
        <f t="shared" si="15"/>
        <v>57900217.661339715</v>
      </c>
      <c r="Y42" s="7">
        <f t="shared" si="24"/>
        <v>17736920.158223514</v>
      </c>
      <c r="AA42" s="2">
        <f t="shared" si="10"/>
        <v>65112582.338660285</v>
      </c>
    </row>
    <row r="43" spans="1:27">
      <c r="E43">
        <v>40</v>
      </c>
      <c r="F43" s="2">
        <f t="shared" si="31"/>
        <v>142612800</v>
      </c>
      <c r="G43" s="2">
        <f t="shared" si="32"/>
        <v>19600000</v>
      </c>
      <c r="H43" s="2">
        <f t="shared" si="26"/>
        <v>123012800</v>
      </c>
      <c r="I43" s="2">
        <f t="shared" si="29"/>
        <v>131202164.80000001</v>
      </c>
      <c r="J43" s="2">
        <f t="shared" si="30"/>
        <v>39360649.440000005</v>
      </c>
      <c r="K43" s="2">
        <f t="shared" si="7"/>
        <v>83652150.560000002</v>
      </c>
      <c r="L43" s="2">
        <f t="shared" si="28"/>
        <v>-143452966.85280001</v>
      </c>
      <c r="M43" s="2">
        <f t="shared" si="13"/>
        <v>123012800</v>
      </c>
      <c r="N43" s="2">
        <f t="shared" si="23"/>
        <v>36557282.83636798</v>
      </c>
      <c r="P43">
        <v>40</v>
      </c>
      <c r="Q43" s="3">
        <f t="shared" si="19"/>
        <v>335332800</v>
      </c>
      <c r="R43" s="6">
        <f>$C$13+$C$6*$A$18*$C$10+50*'Carbon Tax'!$B$6</f>
        <v>256018039.71138734</v>
      </c>
      <c r="S43" s="3">
        <f t="shared" si="3"/>
        <v>79314760.288612664</v>
      </c>
      <c r="T43" s="7">
        <f t="shared" si="16"/>
        <v>4918.3405830515112</v>
      </c>
      <c r="U43" s="7">
        <f t="shared" si="25"/>
        <v>1229.5851457628778</v>
      </c>
      <c r="V43" s="7">
        <f t="shared" si="9"/>
        <v>79313530.703466907</v>
      </c>
      <c r="W43" s="7">
        <f t="shared" si="27"/>
        <v>21414653.289936066</v>
      </c>
      <c r="X43" s="11">
        <f t="shared" si="15"/>
        <v>57900106.998676598</v>
      </c>
      <c r="Y43" s="7">
        <f t="shared" si="24"/>
        <v>17206913.327772308</v>
      </c>
      <c r="AA43" s="2">
        <f t="shared" si="10"/>
        <v>65112693.001323402</v>
      </c>
    </row>
    <row r="44" spans="1:27">
      <c r="E44">
        <v>41</v>
      </c>
      <c r="F44" s="2">
        <f t="shared" si="31"/>
        <v>142612800</v>
      </c>
      <c r="G44" s="2">
        <f t="shared" si="32"/>
        <v>19600000</v>
      </c>
      <c r="H44" s="2">
        <f t="shared" si="26"/>
        <v>123012800</v>
      </c>
      <c r="I44" s="2">
        <f t="shared" si="29"/>
        <v>91841515.360000014</v>
      </c>
      <c r="J44" s="2">
        <f t="shared" si="30"/>
        <v>27552454.608000003</v>
      </c>
      <c r="K44" s="2">
        <f t="shared" si="7"/>
        <v>95460345.39199999</v>
      </c>
      <c r="L44" s="2">
        <f t="shared" si="28"/>
        <v>-117678673.59696001</v>
      </c>
      <c r="M44" s="2">
        <f t="shared" si="13"/>
        <v>123012800</v>
      </c>
      <c r="N44" s="2">
        <f t="shared" si="23"/>
        <v>35464962.006565757</v>
      </c>
      <c r="P44">
        <v>41</v>
      </c>
      <c r="Q44" s="3">
        <f t="shared" si="19"/>
        <v>335332800</v>
      </c>
      <c r="R44" s="6">
        <f>$C$13+$C$6*$A$18*$C$10+50*'Carbon Tax'!$B$6</f>
        <v>256018039.71138734</v>
      </c>
      <c r="S44" s="3">
        <f t="shared" si="3"/>
        <v>79314760.288612664</v>
      </c>
      <c r="T44" s="7">
        <f t="shared" si="16"/>
        <v>3688.7554372886334</v>
      </c>
      <c r="U44" s="7">
        <f t="shared" si="25"/>
        <v>922.18885932215835</v>
      </c>
      <c r="V44" s="7">
        <f t="shared" si="9"/>
        <v>79313838.099753335</v>
      </c>
      <c r="W44" s="7">
        <f t="shared" si="27"/>
        <v>21414736.286933403</v>
      </c>
      <c r="X44" s="11">
        <f t="shared" si="15"/>
        <v>57900024.001679257</v>
      </c>
      <c r="Y44" s="7">
        <f t="shared" si="24"/>
        <v>16692751.903857162</v>
      </c>
      <c r="AA44" s="2">
        <f t="shared" si="10"/>
        <v>65112775.998320743</v>
      </c>
    </row>
    <row r="45" spans="1:27">
      <c r="E45">
        <v>42</v>
      </c>
      <c r="F45" s="2">
        <f t="shared" si="31"/>
        <v>142612800</v>
      </c>
      <c r="G45" s="2">
        <f t="shared" si="32"/>
        <v>19600000</v>
      </c>
      <c r="H45" s="2">
        <f t="shared" si="26"/>
        <v>123012800</v>
      </c>
      <c r="I45" s="2">
        <f t="shared" si="29"/>
        <v>64289060.752000012</v>
      </c>
      <c r="J45" s="2">
        <f t="shared" si="30"/>
        <v>19286718.225600004</v>
      </c>
      <c r="K45" s="2">
        <f t="shared" si="7"/>
        <v>103726081.7744</v>
      </c>
      <c r="L45" s="2">
        <f t="shared" si="28"/>
        <v>-89672631.517872006</v>
      </c>
      <c r="M45" s="2">
        <f t="shared" si="13"/>
        <v>123012800</v>
      </c>
      <c r="N45" s="2">
        <f t="shared" si="23"/>
        <v>34405279.401014514</v>
      </c>
      <c r="P45">
        <v>42</v>
      </c>
      <c r="Q45" s="3">
        <f t="shared" si="19"/>
        <v>335332800</v>
      </c>
      <c r="R45" s="6">
        <f>$C$13+$C$6*$A$18*$C$10+50*'Carbon Tax'!$B$6</f>
        <v>256018039.71138734</v>
      </c>
      <c r="S45" s="3">
        <f t="shared" si="3"/>
        <v>79314760.288612664</v>
      </c>
      <c r="T45" s="7">
        <f t="shared" si="16"/>
        <v>2766.5665779664751</v>
      </c>
      <c r="U45" s="7">
        <f t="shared" si="25"/>
        <v>691.64164449161876</v>
      </c>
      <c r="V45" s="7">
        <f t="shared" si="9"/>
        <v>79314068.646968171</v>
      </c>
      <c r="W45" s="7">
        <f t="shared" si="27"/>
        <v>21414798.534681406</v>
      </c>
      <c r="X45" s="11">
        <f t="shared" si="15"/>
        <v>57899961.753931254</v>
      </c>
      <c r="Y45" s="7">
        <f t="shared" si="24"/>
        <v>16193959.989952745</v>
      </c>
      <c r="AA45" s="2">
        <f t="shared" si="10"/>
        <v>65112838.246068746</v>
      </c>
    </row>
    <row r="46" spans="1:27">
      <c r="E46">
        <v>43</v>
      </c>
      <c r="F46" s="2">
        <f t="shared" si="31"/>
        <v>142612800</v>
      </c>
      <c r="G46" s="2">
        <f t="shared" si="32"/>
        <v>19600000</v>
      </c>
      <c r="H46" s="2">
        <f t="shared" si="26"/>
        <v>123012800</v>
      </c>
      <c r="I46" s="2">
        <f t="shared" si="29"/>
        <v>45002342.526400007</v>
      </c>
      <c r="J46" s="2">
        <f t="shared" si="30"/>
        <v>13500702.757920003</v>
      </c>
      <c r="K46" s="2">
        <f t="shared" si="7"/>
        <v>109512097.24208</v>
      </c>
      <c r="L46" s="2">
        <f t="shared" si="28"/>
        <v>-60104365.262510404</v>
      </c>
      <c r="M46" s="2">
        <f t="shared" si="13"/>
        <v>123012800</v>
      </c>
      <c r="N46" s="2">
        <f t="shared" si="23"/>
        <v>33377259.799199183</v>
      </c>
      <c r="P46">
        <v>43</v>
      </c>
      <c r="Q46" s="3">
        <f t="shared" si="19"/>
        <v>335332800</v>
      </c>
      <c r="R46" s="6">
        <f>$C$13+$C$6*$A$18*$C$10+50*'Carbon Tax'!$B$6</f>
        <v>256018039.71138734</v>
      </c>
      <c r="S46" s="3">
        <f t="shared" si="3"/>
        <v>79314760.288612664</v>
      </c>
      <c r="T46" s="7">
        <f t="shared" si="16"/>
        <v>2074.9249334748565</v>
      </c>
      <c r="U46" s="7">
        <f t="shared" si="25"/>
        <v>518.73123336871413</v>
      </c>
      <c r="V46" s="7">
        <f t="shared" si="9"/>
        <v>79314241.55737929</v>
      </c>
      <c r="W46" s="7">
        <f t="shared" si="27"/>
        <v>21414845.220492411</v>
      </c>
      <c r="X46" s="11">
        <f t="shared" si="15"/>
        <v>57899915.068120256</v>
      </c>
      <c r="Y46" s="7">
        <f t="shared" si="24"/>
        <v>15710076.57398431</v>
      </c>
      <c r="AA46" s="2">
        <f t="shared" si="10"/>
        <v>65112884.931879744</v>
      </c>
    </row>
    <row r="47" spans="1:27">
      <c r="E47">
        <v>44</v>
      </c>
      <c r="F47" s="2">
        <f t="shared" si="31"/>
        <v>142612800</v>
      </c>
      <c r="G47" s="2">
        <f t="shared" si="32"/>
        <v>19600000</v>
      </c>
      <c r="H47" s="2">
        <f t="shared" si="26"/>
        <v>123012800</v>
      </c>
      <c r="I47" s="2">
        <f t="shared" si="29"/>
        <v>31501639.768480003</v>
      </c>
      <c r="J47" s="2">
        <f t="shared" si="30"/>
        <v>9450491.9305440001</v>
      </c>
      <c r="K47" s="2">
        <f t="shared" si="7"/>
        <v>113562308.069456</v>
      </c>
      <c r="L47" s="2">
        <f t="shared" si="28"/>
        <v>-29442542.083757281</v>
      </c>
      <c r="M47" s="2">
        <f t="shared" si="13"/>
        <v>123012800</v>
      </c>
      <c r="N47" s="2">
        <f t="shared" si="23"/>
        <v>32379957.119906072</v>
      </c>
      <c r="P47">
        <v>44</v>
      </c>
      <c r="Q47" s="3">
        <f t="shared" si="19"/>
        <v>335332800</v>
      </c>
      <c r="R47" s="6">
        <f>$C$13+$C$6*$A$18*$C$10+50*'Carbon Tax'!$B$6</f>
        <v>256018039.71138734</v>
      </c>
      <c r="S47" s="3">
        <f t="shared" si="3"/>
        <v>79314760.288612664</v>
      </c>
      <c r="T47" s="7">
        <f t="shared" si="16"/>
        <v>1556.1937001061424</v>
      </c>
      <c r="U47" s="7">
        <f t="shared" si="25"/>
        <v>389.0484250265356</v>
      </c>
      <c r="V47" s="7">
        <f t="shared" si="9"/>
        <v>79314371.24018763</v>
      </c>
      <c r="W47" s="7">
        <f t="shared" si="27"/>
        <v>21414880.23485066</v>
      </c>
      <c r="X47" s="11">
        <f t="shared" si="15"/>
        <v>57899880.053762004</v>
      </c>
      <c r="Y47" s="7">
        <f t="shared" si="24"/>
        <v>15240654.902485907</v>
      </c>
      <c r="AA47" s="2">
        <f t="shared" si="10"/>
        <v>65112919.946237996</v>
      </c>
    </row>
    <row r="48" spans="1:27">
      <c r="E48">
        <v>45</v>
      </c>
      <c r="F48" s="2">
        <f t="shared" si="31"/>
        <v>142612800</v>
      </c>
      <c r="G48" s="2">
        <f t="shared" si="32"/>
        <v>19600000</v>
      </c>
      <c r="H48" s="2">
        <f t="shared" si="26"/>
        <v>123012800</v>
      </c>
      <c r="I48" s="2">
        <f t="shared" si="29"/>
        <v>22051147.837936003</v>
      </c>
      <c r="J48" s="2">
        <f t="shared" si="30"/>
        <v>6615344.3513808008</v>
      </c>
      <c r="K48" s="2">
        <f t="shared" si="7"/>
        <v>116397455.6486192</v>
      </c>
      <c r="L48" s="2">
        <f t="shared" si="28"/>
        <v>1984770.9413699061</v>
      </c>
      <c r="M48" s="2">
        <f t="shared" si="13"/>
        <v>121028029.05863009</v>
      </c>
      <c r="N48" s="2">
        <f t="shared" si="23"/>
        <v>30905623.976681545</v>
      </c>
      <c r="P48">
        <v>45</v>
      </c>
      <c r="Q48" s="3">
        <f t="shared" si="19"/>
        <v>335332800</v>
      </c>
      <c r="R48" s="6">
        <f>$C$13+$C$6*$A$18*$C$10+50*'Carbon Tax'!$B$6</f>
        <v>256018039.71138734</v>
      </c>
      <c r="S48" s="3">
        <f t="shared" si="3"/>
        <v>79314760.288612664</v>
      </c>
      <c r="T48" s="7">
        <f t="shared" si="16"/>
        <v>1167.1452750796068</v>
      </c>
      <c r="U48" s="7">
        <f t="shared" si="25"/>
        <v>291.7863187699017</v>
      </c>
      <c r="V48" s="7">
        <f t="shared" si="9"/>
        <v>79314468.5022939</v>
      </c>
      <c r="W48" s="7">
        <f t="shared" si="27"/>
        <v>21414906.495619353</v>
      </c>
      <c r="X48" s="11">
        <f t="shared" si="15"/>
        <v>57899853.792993307</v>
      </c>
      <c r="Y48" s="7">
        <f t="shared" si="24"/>
        <v>14785261.922791691</v>
      </c>
      <c r="AA48" s="2">
        <f t="shared" si="10"/>
        <v>63128175.265636787</v>
      </c>
    </row>
    <row r="49" spans="5:27">
      <c r="E49">
        <v>46</v>
      </c>
      <c r="F49" s="2">
        <f t="shared" si="31"/>
        <v>142612800</v>
      </c>
      <c r="G49" s="2">
        <f t="shared" si="32"/>
        <v>19600000</v>
      </c>
      <c r="H49" s="2">
        <f t="shared" si="26"/>
        <v>123012800</v>
      </c>
      <c r="I49" s="2">
        <f t="shared" si="29"/>
        <v>15435803.486555202</v>
      </c>
      <c r="J49" s="2">
        <f t="shared" si="30"/>
        <v>4630741.04596656</v>
      </c>
      <c r="K49" s="2">
        <f t="shared" si="7"/>
        <v>118382058.95403343</v>
      </c>
      <c r="L49" s="2">
        <f t="shared" si="28"/>
        <v>31963155.917589031</v>
      </c>
      <c r="M49" s="2">
        <f t="shared" si="13"/>
        <v>91049644.082410961</v>
      </c>
      <c r="N49" s="2">
        <f t="shared" si="23"/>
        <v>22555652.653068464</v>
      </c>
      <c r="P49">
        <v>46</v>
      </c>
      <c r="Q49" s="3">
        <f t="shared" si="19"/>
        <v>335332800</v>
      </c>
      <c r="R49" s="6">
        <f>$C$13+$C$6*$A$18*$C$10+50*'Carbon Tax'!$B$6</f>
        <v>256018039.71138734</v>
      </c>
      <c r="S49" s="3">
        <f t="shared" si="3"/>
        <v>79314760.288612664</v>
      </c>
      <c r="T49" s="7">
        <f t="shared" si="16"/>
        <v>875.35895630970504</v>
      </c>
      <c r="U49" s="7">
        <f t="shared" si="25"/>
        <v>218.83973907742626</v>
      </c>
      <c r="V49" s="7">
        <f t="shared" si="9"/>
        <v>79314541.44887358</v>
      </c>
      <c r="W49" s="7">
        <f t="shared" si="27"/>
        <v>21414926.191195868</v>
      </c>
      <c r="X49" s="11">
        <f t="shared" si="15"/>
        <v>57899834.097416796</v>
      </c>
      <c r="Y49" s="7">
        <f t="shared" si="24"/>
        <v>14343477.777788602</v>
      </c>
      <c r="AA49" s="2">
        <f t="shared" si="10"/>
        <v>33149809.984994166</v>
      </c>
    </row>
    <row r="50" spans="5:27">
      <c r="E50">
        <v>47</v>
      </c>
      <c r="F50" s="2">
        <f t="shared" si="31"/>
        <v>142612800</v>
      </c>
      <c r="G50" s="2">
        <f t="shared" si="32"/>
        <v>19600000</v>
      </c>
      <c r="H50" s="2">
        <f t="shared" si="26"/>
        <v>123012800</v>
      </c>
      <c r="I50" s="2">
        <f t="shared" si="29"/>
        <v>10805062.440588642</v>
      </c>
      <c r="J50" s="2">
        <f t="shared" si="30"/>
        <v>3241518.7321765926</v>
      </c>
      <c r="K50" s="2">
        <f t="shared" si="7"/>
        <v>119771281.26782341</v>
      </c>
      <c r="L50" s="2">
        <f t="shared" si="28"/>
        <v>32338245.942312323</v>
      </c>
      <c r="M50" s="2">
        <f t="shared" si="13"/>
        <v>90674554.05768767</v>
      </c>
      <c r="N50" s="2">
        <f t="shared" si="23"/>
        <v>21791552.108069476</v>
      </c>
      <c r="P50">
        <v>47</v>
      </c>
      <c r="Q50" s="3">
        <f t="shared" si="19"/>
        <v>335332800</v>
      </c>
      <c r="R50" s="6">
        <f>$C$13+$C$6*$A$18*$C$10+50*'Carbon Tax'!$B$6</f>
        <v>256018039.71138734</v>
      </c>
      <c r="S50" s="3">
        <f t="shared" si="3"/>
        <v>79314760.288612664</v>
      </c>
      <c r="T50" s="7">
        <f t="shared" si="16"/>
        <v>656.51921723227883</v>
      </c>
      <c r="U50" s="7">
        <f t="shared" si="25"/>
        <v>164.12980430806971</v>
      </c>
      <c r="V50" s="7">
        <f t="shared" si="9"/>
        <v>79314596.158808351</v>
      </c>
      <c r="W50" s="7">
        <f t="shared" si="27"/>
        <v>21414940.962878257</v>
      </c>
      <c r="X50" s="11">
        <f t="shared" si="15"/>
        <v>57899819.325734407</v>
      </c>
      <c r="Y50" s="7">
        <f t="shared" si="24"/>
        <v>13914895.341882041</v>
      </c>
      <c r="AA50" s="2">
        <f t="shared" si="10"/>
        <v>32774734.731953263</v>
      </c>
    </row>
    <row r="51" spans="5:27">
      <c r="E51">
        <v>48</v>
      </c>
      <c r="F51" s="2">
        <f t="shared" si="31"/>
        <v>142612800</v>
      </c>
      <c r="G51" s="2">
        <f t="shared" si="32"/>
        <v>19600000</v>
      </c>
      <c r="H51" s="2">
        <f t="shared" si="26"/>
        <v>123012800</v>
      </c>
      <c r="I51" s="2">
        <f t="shared" si="29"/>
        <v>7563543.7084120493</v>
      </c>
      <c r="J51" s="2">
        <f t="shared" si="30"/>
        <v>2269063.1125236149</v>
      </c>
      <c r="K51" s="2">
        <f t="shared" si="7"/>
        <v>120743736.88747638</v>
      </c>
      <c r="L51" s="2">
        <f t="shared" si="28"/>
        <v>32600808.959618624</v>
      </c>
      <c r="M51" s="2">
        <f t="shared" si="13"/>
        <v>90411991.040381372</v>
      </c>
      <c r="N51" s="2">
        <f t="shared" si="23"/>
        <v>21079211.390218038</v>
      </c>
      <c r="P51">
        <v>48</v>
      </c>
      <c r="Q51" s="3">
        <f t="shared" si="19"/>
        <v>335332800</v>
      </c>
      <c r="R51" s="6">
        <f>$C$13+$C$6*$A$18*$C$10+50*'Carbon Tax'!$B$6</f>
        <v>256018039.71138734</v>
      </c>
      <c r="S51" s="3">
        <f t="shared" si="3"/>
        <v>79314760.288612664</v>
      </c>
      <c r="T51" s="7">
        <f t="shared" si="16"/>
        <v>492.38941292420913</v>
      </c>
      <c r="U51" s="7">
        <f t="shared" si="25"/>
        <v>123.09735323105228</v>
      </c>
      <c r="V51" s="7">
        <f t="shared" si="9"/>
        <v>79314637.191259429</v>
      </c>
      <c r="W51" s="7">
        <f t="shared" si="27"/>
        <v>21414952.041640047</v>
      </c>
      <c r="X51" s="11">
        <f t="shared" si="15"/>
        <v>57899808.24697262</v>
      </c>
      <c r="Y51" s="7">
        <f t="shared" si="24"/>
        <v>13499119.789828682</v>
      </c>
      <c r="AA51" s="2">
        <f t="shared" si="10"/>
        <v>32512182.793408751</v>
      </c>
    </row>
    <row r="52" spans="5:27">
      <c r="E52">
        <v>49</v>
      </c>
      <c r="F52" s="2">
        <f t="shared" ref="F52:F69" si="33">$B$11</f>
        <v>142612800</v>
      </c>
      <c r="G52" s="2">
        <f t="shared" ref="G52:G68" si="34">$B$13</f>
        <v>19600000</v>
      </c>
      <c r="H52" s="2">
        <f t="shared" si="26"/>
        <v>123012800</v>
      </c>
      <c r="I52" s="2">
        <f t="shared" si="29"/>
        <v>5294480.595888434</v>
      </c>
      <c r="J52" s="2">
        <f t="shared" si="30"/>
        <v>1588344.1787665302</v>
      </c>
      <c r="K52" s="2">
        <f t="shared" si="7"/>
        <v>121424455.82123347</v>
      </c>
      <c r="L52" s="2">
        <f t="shared" si="28"/>
        <v>32784603.071733039</v>
      </c>
      <c r="M52" s="2">
        <f t="shared" si="13"/>
        <v>90228196.928266957</v>
      </c>
      <c r="N52" s="2">
        <f t="shared" si="23"/>
        <v>20407800.245374046</v>
      </c>
      <c r="P52">
        <v>49</v>
      </c>
      <c r="Q52" s="3">
        <f t="shared" si="19"/>
        <v>335332800</v>
      </c>
      <c r="R52" s="6">
        <f>$C$13+$C$6*$A$18*$C$10+50*'Carbon Tax'!$B$6</f>
        <v>256018039.71138734</v>
      </c>
      <c r="S52" s="3">
        <f t="shared" si="3"/>
        <v>79314760.288612664</v>
      </c>
      <c r="T52" s="7">
        <f t="shared" si="16"/>
        <v>369.29205969315683</v>
      </c>
      <c r="U52" s="7">
        <f t="shared" si="25"/>
        <v>92.323014923289207</v>
      </c>
      <c r="V52" s="7">
        <f t="shared" si="9"/>
        <v>79314667.965597734</v>
      </c>
      <c r="W52" s="7">
        <f t="shared" si="27"/>
        <v>21414960.35071139</v>
      </c>
      <c r="X52" s="11">
        <f t="shared" si="15"/>
        <v>57899799.937901273</v>
      </c>
      <c r="Y52" s="7">
        <f t="shared" si="24"/>
        <v>13095768.192278177</v>
      </c>
      <c r="AA52" s="2">
        <f t="shared" si="10"/>
        <v>32328396.990365684</v>
      </c>
    </row>
    <row r="53" spans="5:27">
      <c r="E53">
        <v>50</v>
      </c>
      <c r="F53" s="2">
        <f t="shared" si="33"/>
        <v>142612800</v>
      </c>
      <c r="G53" s="2">
        <f t="shared" si="34"/>
        <v>19600000</v>
      </c>
      <c r="H53" s="2">
        <f t="shared" si="26"/>
        <v>123012800</v>
      </c>
      <c r="I53" s="2">
        <f t="shared" si="29"/>
        <v>3706136.417121904</v>
      </c>
      <c r="J53" s="2">
        <f t="shared" si="30"/>
        <v>1111840.9251365711</v>
      </c>
      <c r="K53" s="2">
        <f t="shared" si="7"/>
        <v>121900959.07486343</v>
      </c>
      <c r="L53" s="2">
        <f t="shared" si="28"/>
        <v>32913258.950213131</v>
      </c>
      <c r="M53" s="2">
        <f t="shared" si="13"/>
        <v>90099541.049786866</v>
      </c>
      <c r="N53" s="2">
        <f t="shared" si="23"/>
        <v>19769791.305582989</v>
      </c>
      <c r="P53">
        <v>50</v>
      </c>
      <c r="Q53" s="3">
        <f t="shared" si="19"/>
        <v>335332800</v>
      </c>
      <c r="R53" s="6">
        <f>$C$13+$C$6*$A$18*$C$10+50*'Carbon Tax'!$B$6</f>
        <v>256018039.71138734</v>
      </c>
      <c r="S53" s="3">
        <f t="shared" si="3"/>
        <v>79314760.288612664</v>
      </c>
      <c r="T53" s="7">
        <f t="shared" si="16"/>
        <v>276.96904476986765</v>
      </c>
      <c r="U53" s="7">
        <f t="shared" si="25"/>
        <v>69.242261192466913</v>
      </c>
      <c r="V53" s="7">
        <f t="shared" si="9"/>
        <v>79314691.046351478</v>
      </c>
      <c r="W53" s="7">
        <f t="shared" si="27"/>
        <v>21414966.582514901</v>
      </c>
      <c r="X53" s="11">
        <f t="shared" si="15"/>
        <v>57899793.706097767</v>
      </c>
      <c r="Y53" s="7">
        <f t="shared" si="24"/>
        <v>12704469.133459233</v>
      </c>
      <c r="AA53" s="2">
        <f t="shared" si="10"/>
        <v>32199747.343689099</v>
      </c>
    </row>
    <row r="54" spans="5:27">
      <c r="E54">
        <v>51</v>
      </c>
      <c r="F54" s="2">
        <f t="shared" si="33"/>
        <v>142612800</v>
      </c>
      <c r="G54" s="2">
        <f t="shared" si="34"/>
        <v>19600000</v>
      </c>
      <c r="H54" s="2">
        <f t="shared" si="26"/>
        <v>123012800</v>
      </c>
      <c r="I54" s="2">
        <f t="shared" si="29"/>
        <v>2594295.4919853332</v>
      </c>
      <c r="J54" s="2">
        <f t="shared" si="30"/>
        <v>778288.64759559988</v>
      </c>
      <c r="K54" s="2">
        <f t="shared" si="7"/>
        <v>122234511.3524044</v>
      </c>
      <c r="L54" s="2">
        <f t="shared" si="28"/>
        <v>33003318.065149192</v>
      </c>
      <c r="M54" s="2">
        <f t="shared" si="13"/>
        <v>90009481.934850812</v>
      </c>
      <c r="N54" s="2">
        <f t="shared" si="23"/>
        <v>19159905.301360685</v>
      </c>
      <c r="P54">
        <v>51</v>
      </c>
      <c r="Q54" s="3">
        <f t="shared" si="19"/>
        <v>335332800</v>
      </c>
      <c r="R54" s="6">
        <f>$C$13+$C$6*$A$18*$C$10+50*'Carbon Tax'!$B$6</f>
        <v>256018039.71138734</v>
      </c>
      <c r="S54" s="3">
        <f t="shared" si="3"/>
        <v>79314760.288612664</v>
      </c>
      <c r="T54" s="7">
        <f t="shared" si="16"/>
        <v>207.72678357740074</v>
      </c>
      <c r="U54" s="7">
        <f t="shared" si="25"/>
        <v>51.931695894350185</v>
      </c>
      <c r="V54" s="7">
        <f t="shared" si="9"/>
        <v>79314708.35691677</v>
      </c>
      <c r="W54" s="7">
        <f t="shared" si="27"/>
        <v>21414971.256367531</v>
      </c>
      <c r="X54" s="11">
        <f t="shared" si="15"/>
        <v>57899789.032245129</v>
      </c>
      <c r="Y54" s="7">
        <f t="shared" si="24"/>
        <v>12324862.347608373</v>
      </c>
      <c r="AA54" s="2">
        <f t="shared" si="10"/>
        <v>32109692.902605683</v>
      </c>
    </row>
    <row r="55" spans="5:27">
      <c r="E55">
        <v>52</v>
      </c>
      <c r="F55" s="2">
        <f t="shared" si="33"/>
        <v>142612800</v>
      </c>
      <c r="G55" s="2">
        <f t="shared" si="34"/>
        <v>19600000</v>
      </c>
      <c r="H55" s="2">
        <f t="shared" si="26"/>
        <v>123012800</v>
      </c>
      <c r="I55" s="2">
        <f t="shared" si="29"/>
        <v>1816006.8443897334</v>
      </c>
      <c r="J55" s="2">
        <f t="shared" si="30"/>
        <v>544802.05331691995</v>
      </c>
      <c r="K55" s="2">
        <f t="shared" si="7"/>
        <v>122467997.94668308</v>
      </c>
      <c r="L55" s="2">
        <f t="shared" si="28"/>
        <v>33066359.445604432</v>
      </c>
      <c r="M55" s="2">
        <f t="shared" si="13"/>
        <v>89946440.554395571</v>
      </c>
      <c r="N55" s="2">
        <f t="shared" si="23"/>
        <v>18574394.617816564</v>
      </c>
      <c r="P55">
        <v>52</v>
      </c>
      <c r="Q55" s="3">
        <f t="shared" si="19"/>
        <v>335332800</v>
      </c>
      <c r="R55" s="6">
        <f>$C$13+$C$6*$A$18*$C$10+50*'Carbon Tax'!$B$6</f>
        <v>256018039.71138734</v>
      </c>
      <c r="S55" s="3">
        <f t="shared" si="3"/>
        <v>79314760.288612664</v>
      </c>
      <c r="T55" s="7">
        <f t="shared" si="16"/>
        <v>155.79508768305055</v>
      </c>
      <c r="U55" s="7">
        <f t="shared" si="25"/>
        <v>38.948771920762638</v>
      </c>
      <c r="V55" s="7">
        <f t="shared" si="9"/>
        <v>79314721.33984074</v>
      </c>
      <c r="W55" s="7">
        <f t="shared" si="27"/>
        <v>21414974.761757001</v>
      </c>
      <c r="X55" s="11">
        <f t="shared" si="15"/>
        <v>57899785.526855662</v>
      </c>
      <c r="Y55" s="7">
        <f t="shared" si="24"/>
        <v>11956598.371587314</v>
      </c>
      <c r="AA55" s="2">
        <f t="shared" si="10"/>
        <v>32046655.027539909</v>
      </c>
    </row>
    <row r="56" spans="5:27">
      <c r="E56">
        <v>53</v>
      </c>
      <c r="F56" s="2">
        <f t="shared" si="33"/>
        <v>142612800</v>
      </c>
      <c r="G56" s="2">
        <f t="shared" si="34"/>
        <v>19600000</v>
      </c>
      <c r="H56" s="2">
        <f t="shared" si="26"/>
        <v>123012800</v>
      </c>
      <c r="I56" s="2">
        <f t="shared" si="29"/>
        <v>1271204.7910728133</v>
      </c>
      <c r="J56" s="2">
        <f t="shared" si="30"/>
        <v>381361.43732184399</v>
      </c>
      <c r="K56" s="2">
        <f t="shared" si="7"/>
        <v>122631438.56267816</v>
      </c>
      <c r="L56" s="2">
        <f t="shared" si="28"/>
        <v>33110488.411923107</v>
      </c>
      <c r="M56" s="2">
        <f t="shared" si="13"/>
        <v>89902311.58807689</v>
      </c>
      <c r="N56" s="2">
        <f t="shared" si="23"/>
        <v>18010556.619341731</v>
      </c>
      <c r="P56">
        <v>53</v>
      </c>
      <c r="Q56" s="3">
        <f t="shared" si="19"/>
        <v>335332800</v>
      </c>
      <c r="R56" s="6">
        <f>$C$13+$C$6*$A$18*$C$10+50*'Carbon Tax'!$B$6</f>
        <v>256018039.71138734</v>
      </c>
      <c r="S56" s="3">
        <f t="shared" si="3"/>
        <v>79314760.288612664</v>
      </c>
      <c r="T56" s="7">
        <f t="shared" si="16"/>
        <v>116.84631576228792</v>
      </c>
      <c r="U56" s="7">
        <f t="shared" si="25"/>
        <v>29.211578940571979</v>
      </c>
      <c r="V56" s="7">
        <f t="shared" si="9"/>
        <v>79314731.077033728</v>
      </c>
      <c r="W56" s="7">
        <f t="shared" si="27"/>
        <v>21414977.390799109</v>
      </c>
      <c r="X56" s="11">
        <f t="shared" si="15"/>
        <v>57899782.897813559</v>
      </c>
      <c r="Y56" s="7">
        <f t="shared" si="24"/>
        <v>11599338.211754784</v>
      </c>
      <c r="AA56" s="2">
        <f t="shared" si="10"/>
        <v>32002528.690263331</v>
      </c>
    </row>
    <row r="57" spans="5:27">
      <c r="E57">
        <v>54</v>
      </c>
      <c r="F57" s="2">
        <f t="shared" si="33"/>
        <v>142612800</v>
      </c>
      <c r="G57" s="2">
        <f t="shared" si="34"/>
        <v>19600000</v>
      </c>
      <c r="H57" s="2">
        <f t="shared" si="26"/>
        <v>123012800</v>
      </c>
      <c r="I57" s="2">
        <f t="shared" si="29"/>
        <v>889843.35375096928</v>
      </c>
      <c r="J57" s="2">
        <f t="shared" si="30"/>
        <v>266953.00612529076</v>
      </c>
      <c r="K57" s="2">
        <f t="shared" si="7"/>
        <v>122745846.99387471</v>
      </c>
      <c r="L57" s="2">
        <f t="shared" si="28"/>
        <v>33141378.688346174</v>
      </c>
      <c r="M57" s="2">
        <f t="shared" si="13"/>
        <v>89871421.311653823</v>
      </c>
      <c r="N57" s="2">
        <f t="shared" si="23"/>
        <v>17466403.01097</v>
      </c>
      <c r="P57">
        <v>54</v>
      </c>
      <c r="Q57" s="3">
        <f t="shared" si="19"/>
        <v>335332800</v>
      </c>
      <c r="R57" s="6">
        <f>$C$13+$C$6*$A$18*$C$10+50*'Carbon Tax'!$B$6</f>
        <v>256018039.71138734</v>
      </c>
      <c r="S57" s="3">
        <f t="shared" si="3"/>
        <v>79314760.288612664</v>
      </c>
      <c r="T57" s="7">
        <f t="shared" si="16"/>
        <v>87.634736821715933</v>
      </c>
      <c r="U57" s="7">
        <f t="shared" si="25"/>
        <v>21.908684205428983</v>
      </c>
      <c r="V57" s="7">
        <f t="shared" si="9"/>
        <v>79314738.379928455</v>
      </c>
      <c r="W57" s="7">
        <f t="shared" si="27"/>
        <v>21414979.362580683</v>
      </c>
      <c r="X57" s="11">
        <f t="shared" si="15"/>
        <v>57899780.926031977</v>
      </c>
      <c r="Y57" s="7">
        <f t="shared" si="24"/>
        <v>11252753.023611197</v>
      </c>
      <c r="AA57" s="2">
        <f t="shared" si="10"/>
        <v>31971640.385621846</v>
      </c>
    </row>
    <row r="58" spans="5:27">
      <c r="E58">
        <v>55</v>
      </c>
      <c r="F58" s="2">
        <f t="shared" si="33"/>
        <v>142612800</v>
      </c>
      <c r="G58" s="2">
        <f t="shared" si="34"/>
        <v>19600000</v>
      </c>
      <c r="H58" s="2">
        <f t="shared" si="26"/>
        <v>123012800</v>
      </c>
      <c r="I58" s="2">
        <f t="shared" si="29"/>
        <v>622890.34762567852</v>
      </c>
      <c r="J58" s="2">
        <f t="shared" si="30"/>
        <v>186867.10428770355</v>
      </c>
      <c r="K58" s="2">
        <f t="shared" si="7"/>
        <v>122825932.8957123</v>
      </c>
      <c r="L58" s="2">
        <f t="shared" si="28"/>
        <v>33163001.881842323</v>
      </c>
      <c r="M58" s="2">
        <f t="shared" si="13"/>
        <v>89849798.118157685</v>
      </c>
      <c r="N58" s="2">
        <f t="shared" si="23"/>
        <v>16940435.166115489</v>
      </c>
      <c r="P58">
        <v>55</v>
      </c>
      <c r="Q58" s="3">
        <f t="shared" si="19"/>
        <v>335332800</v>
      </c>
      <c r="R58" s="6">
        <f>$C$13+$C$6*$A$18*$C$10+50*'Carbon Tax'!$B$6+$C$12</f>
        <v>622818039.7113874</v>
      </c>
      <c r="S58" s="3">
        <f t="shared" si="3"/>
        <v>-287485239.7113874</v>
      </c>
      <c r="T58" s="7">
        <f t="shared" si="16"/>
        <v>65.72605261628695</v>
      </c>
      <c r="U58" s="15">
        <v>0</v>
      </c>
      <c r="V58" s="15">
        <f>S58-U58+$C$12+$C$14</f>
        <v>79314826.014665216</v>
      </c>
      <c r="W58" s="7">
        <f t="shared" si="27"/>
        <v>21415003.023959611</v>
      </c>
      <c r="X58" s="16">
        <f>IF(W58&lt;0,S58,S58-W58+$C$14)</f>
        <v>-308900177.00929439</v>
      </c>
      <c r="Y58" s="7">
        <f t="shared" si="24"/>
        <v>-58240569.606466778</v>
      </c>
      <c r="AA58" s="2">
        <f t="shared" si="10"/>
        <v>398749975.12745208</v>
      </c>
    </row>
    <row r="59" spans="5:27">
      <c r="E59">
        <v>56</v>
      </c>
      <c r="F59" s="2">
        <f t="shared" si="33"/>
        <v>142612800</v>
      </c>
      <c r="G59" s="2">
        <f t="shared" si="34"/>
        <v>19600000</v>
      </c>
      <c r="H59" s="2">
        <f t="shared" si="26"/>
        <v>123012800</v>
      </c>
      <c r="I59" s="2">
        <f t="shared" si="29"/>
        <v>436023.243337975</v>
      </c>
      <c r="J59" s="2">
        <f t="shared" si="30"/>
        <v>130806.9730013925</v>
      </c>
      <c r="K59" s="2">
        <f t="shared" si="7"/>
        <v>122881993.02699861</v>
      </c>
      <c r="L59" s="2">
        <f t="shared" si="28"/>
        <v>33178138.117289625</v>
      </c>
      <c r="M59" s="2">
        <f t="shared" si="13"/>
        <v>89834661.882710367</v>
      </c>
      <c r="N59" s="2">
        <f t="shared" si="23"/>
        <v>16431491.418609437</v>
      </c>
      <c r="P59">
        <v>56</v>
      </c>
      <c r="Q59" s="7">
        <v>0</v>
      </c>
      <c r="R59" s="7">
        <v>0</v>
      </c>
      <c r="S59" s="3">
        <f t="shared" si="3"/>
        <v>0</v>
      </c>
      <c r="T59" s="3">
        <f>$C$12</f>
        <v>366800000</v>
      </c>
      <c r="U59" s="7">
        <f t="shared" ref="U59:U90" si="35">T59*$B$29</f>
        <v>91700000</v>
      </c>
      <c r="V59" s="7">
        <f t="shared" si="9"/>
        <v>-91700000</v>
      </c>
      <c r="W59" s="7">
        <f t="shared" si="27"/>
        <v>-24759000</v>
      </c>
      <c r="X59" s="11">
        <f t="shared" si="15"/>
        <v>0</v>
      </c>
      <c r="Y59" s="7">
        <f t="shared" si="24"/>
        <v>0</v>
      </c>
      <c r="AA59" s="2">
        <f t="shared" si="10"/>
        <v>89834661.882710367</v>
      </c>
    </row>
    <row r="60" spans="5:27">
      <c r="E60">
        <v>57</v>
      </c>
      <c r="F60" s="2">
        <f t="shared" si="33"/>
        <v>142612800</v>
      </c>
      <c r="G60" s="2">
        <f t="shared" si="34"/>
        <v>19600000</v>
      </c>
      <c r="H60" s="2">
        <f t="shared" si="26"/>
        <v>123012800</v>
      </c>
      <c r="I60" s="2">
        <f t="shared" si="29"/>
        <v>305216.2703365825</v>
      </c>
      <c r="J60" s="2">
        <f t="shared" si="30"/>
        <v>91564.881100974744</v>
      </c>
      <c r="K60" s="2">
        <f t="shared" si="7"/>
        <v>122921235.11889903</v>
      </c>
      <c r="L60" s="2">
        <f t="shared" si="28"/>
        <v>33188733.482102741</v>
      </c>
      <c r="M60" s="2">
        <f t="shared" si="13"/>
        <v>89824066.517897263</v>
      </c>
      <c r="N60" s="2">
        <f t="shared" si="23"/>
        <v>15938643.228637138</v>
      </c>
      <c r="P60">
        <v>57</v>
      </c>
      <c r="Q60" s="7">
        <v>0</v>
      </c>
      <c r="R60" s="7">
        <v>0</v>
      </c>
      <c r="S60" s="3">
        <f t="shared" si="3"/>
        <v>0</v>
      </c>
      <c r="T60" s="7">
        <f>T59-U59</f>
        <v>275100000</v>
      </c>
      <c r="U60" s="7">
        <f t="shared" si="35"/>
        <v>68775000</v>
      </c>
      <c r="V60" s="7">
        <f t="shared" si="9"/>
        <v>-68775000</v>
      </c>
      <c r="W60" s="7">
        <f t="shared" si="27"/>
        <v>-43328250</v>
      </c>
      <c r="X60" s="11">
        <f t="shared" si="15"/>
        <v>0</v>
      </c>
      <c r="Y60" s="7">
        <f t="shared" si="24"/>
        <v>0</v>
      </c>
      <c r="AA60" s="2">
        <f t="shared" si="10"/>
        <v>89824066.517897263</v>
      </c>
    </row>
    <row r="61" spans="5:27">
      <c r="E61">
        <v>58</v>
      </c>
      <c r="F61" s="2">
        <f t="shared" si="33"/>
        <v>142612800</v>
      </c>
      <c r="G61" s="2">
        <f t="shared" si="34"/>
        <v>19600000</v>
      </c>
      <c r="H61" s="2">
        <f t="shared" si="26"/>
        <v>123012800</v>
      </c>
      <c r="I61" s="2">
        <f t="shared" si="29"/>
        <v>213651.38923560776</v>
      </c>
      <c r="J61" s="2">
        <f t="shared" si="30"/>
        <v>64095.416770682321</v>
      </c>
      <c r="K61" s="2">
        <f t="shared" si="7"/>
        <v>122948704.58322932</v>
      </c>
      <c r="L61" s="2">
        <f t="shared" si="28"/>
        <v>33196150.23747192</v>
      </c>
      <c r="M61" s="2">
        <f t="shared" si="13"/>
        <v>89816649.762528077</v>
      </c>
      <c r="N61" s="2">
        <f t="shared" si="23"/>
        <v>15461124.54212728</v>
      </c>
      <c r="P61">
        <v>58</v>
      </c>
      <c r="Q61" s="7">
        <v>0</v>
      </c>
      <c r="R61" s="7">
        <v>0</v>
      </c>
      <c r="S61" s="3">
        <f t="shared" si="3"/>
        <v>0</v>
      </c>
      <c r="T61" s="7">
        <f t="shared" ref="T61:T113" si="36">T60-U60</f>
        <v>206325000</v>
      </c>
      <c r="U61" s="7">
        <f t="shared" si="35"/>
        <v>51581250</v>
      </c>
      <c r="V61" s="7">
        <f t="shared" si="9"/>
        <v>-51581250</v>
      </c>
      <c r="W61" s="7">
        <f t="shared" si="27"/>
        <v>-57255187.5</v>
      </c>
      <c r="X61" s="11">
        <f t="shared" si="15"/>
        <v>0</v>
      </c>
      <c r="Y61" s="7">
        <f t="shared" si="24"/>
        <v>0</v>
      </c>
      <c r="AA61" s="2">
        <f t="shared" si="10"/>
        <v>89816649.762528077</v>
      </c>
    </row>
    <row r="62" spans="5:27">
      <c r="E62">
        <v>59</v>
      </c>
      <c r="F62" s="2">
        <f t="shared" si="33"/>
        <v>142612800</v>
      </c>
      <c r="G62" s="2">
        <f t="shared" si="34"/>
        <v>19600000</v>
      </c>
      <c r="H62" s="2">
        <f t="shared" si="26"/>
        <v>123012800</v>
      </c>
      <c r="I62" s="2">
        <f t="shared" si="29"/>
        <v>149555.97246492543</v>
      </c>
      <c r="J62" s="2">
        <f t="shared" si="30"/>
        <v>44866.79173947763</v>
      </c>
      <c r="K62" s="2">
        <f t="shared" si="7"/>
        <v>122967933.20826052</v>
      </c>
      <c r="L62" s="2">
        <f t="shared" si="28"/>
        <v>33201341.966230344</v>
      </c>
      <c r="M62" s="2">
        <f t="shared" si="13"/>
        <v>89811458.033769652</v>
      </c>
      <c r="N62" s="2">
        <f t="shared" si="23"/>
        <v>14998283.695131516</v>
      </c>
      <c r="P62">
        <v>59</v>
      </c>
      <c r="Q62" s="7">
        <v>0</v>
      </c>
      <c r="R62" s="7">
        <v>0</v>
      </c>
      <c r="S62" s="3">
        <f t="shared" si="3"/>
        <v>0</v>
      </c>
      <c r="T62" s="7">
        <f t="shared" si="36"/>
        <v>154743750</v>
      </c>
      <c r="U62" s="7">
        <f t="shared" si="35"/>
        <v>38685937.5</v>
      </c>
      <c r="V62" s="7">
        <f t="shared" si="9"/>
        <v>-38685937.5</v>
      </c>
      <c r="W62" s="7">
        <f t="shared" si="27"/>
        <v>-67700390.625</v>
      </c>
      <c r="X62" s="11">
        <f t="shared" si="15"/>
        <v>0</v>
      </c>
      <c r="Y62" s="7">
        <f t="shared" si="24"/>
        <v>0</v>
      </c>
      <c r="AA62" s="2">
        <f t="shared" si="10"/>
        <v>89811458.033769652</v>
      </c>
    </row>
    <row r="63" spans="5:27">
      <c r="E63">
        <v>60</v>
      </c>
      <c r="F63" s="2">
        <f t="shared" si="33"/>
        <v>142612800</v>
      </c>
      <c r="G63" s="2">
        <f t="shared" si="34"/>
        <v>19600000</v>
      </c>
      <c r="H63" s="2">
        <f t="shared" si="26"/>
        <v>123012800</v>
      </c>
      <c r="I63" s="2">
        <f t="shared" si="29"/>
        <v>104689.1807254478</v>
      </c>
      <c r="J63" s="2">
        <f t="shared" si="30"/>
        <v>31406.754217634341</v>
      </c>
      <c r="K63" s="2">
        <f t="shared" si="7"/>
        <v>122981393.24578236</v>
      </c>
      <c r="L63" s="2">
        <f t="shared" si="28"/>
        <v>33204976.17636124</v>
      </c>
      <c r="M63" s="2">
        <f t="shared" si="13"/>
        <v>89807823.823638767</v>
      </c>
      <c r="N63" s="2">
        <f t="shared" si="23"/>
        <v>14549550.631876547</v>
      </c>
      <c r="P63">
        <v>60</v>
      </c>
      <c r="Q63" s="7">
        <v>0</v>
      </c>
      <c r="R63" s="7">
        <v>0</v>
      </c>
      <c r="S63" s="3">
        <f t="shared" si="3"/>
        <v>0</v>
      </c>
      <c r="T63" s="7">
        <f t="shared" si="36"/>
        <v>116057812.5</v>
      </c>
      <c r="U63" s="7">
        <f t="shared" si="35"/>
        <v>29014453.125</v>
      </c>
      <c r="V63" s="7">
        <f t="shared" si="9"/>
        <v>-29014453.125</v>
      </c>
      <c r="W63" s="7">
        <f t="shared" si="27"/>
        <v>-75534292.96875</v>
      </c>
      <c r="X63" s="11">
        <f t="shared" si="15"/>
        <v>0</v>
      </c>
      <c r="Y63" s="7">
        <f t="shared" si="24"/>
        <v>0</v>
      </c>
      <c r="AA63" s="2">
        <f t="shared" si="10"/>
        <v>89807823.823638767</v>
      </c>
    </row>
    <row r="64" spans="5:27">
      <c r="E64">
        <v>61</v>
      </c>
      <c r="F64" s="2">
        <f t="shared" si="33"/>
        <v>142612800</v>
      </c>
      <c r="G64" s="2">
        <f t="shared" si="34"/>
        <v>19600000</v>
      </c>
      <c r="H64" s="2">
        <f t="shared" si="26"/>
        <v>123012800</v>
      </c>
      <c r="I64" s="2">
        <f t="shared" si="29"/>
        <v>73282.426507813463</v>
      </c>
      <c r="J64" s="2">
        <f t="shared" si="30"/>
        <v>21984.727952344037</v>
      </c>
      <c r="K64" s="2">
        <f t="shared" si="7"/>
        <v>122990815.27204765</v>
      </c>
      <c r="L64" s="2">
        <f t="shared" si="28"/>
        <v>33207520.123452868</v>
      </c>
      <c r="M64" s="2">
        <f t="shared" si="13"/>
        <v>89805279.876547128</v>
      </c>
      <c r="N64" s="2">
        <f t="shared" si="23"/>
        <v>14114414.525704088</v>
      </c>
      <c r="P64">
        <v>61</v>
      </c>
      <c r="Q64" s="3">
        <f t="shared" ref="Q64:Q113" si="37">$C$11</f>
        <v>335332800</v>
      </c>
      <c r="R64" s="6">
        <f>$C$13+$C$6*$A$18*$C$10+50*'Carbon Tax'!$B$6</f>
        <v>256018039.71138734</v>
      </c>
      <c r="S64" s="3">
        <f t="shared" si="3"/>
        <v>79314760.288612664</v>
      </c>
      <c r="T64" s="7">
        <f t="shared" si="36"/>
        <v>87043359.375</v>
      </c>
      <c r="U64" s="7">
        <f t="shared" si="35"/>
        <v>21760839.84375</v>
      </c>
      <c r="V64" s="7">
        <f t="shared" si="9"/>
        <v>57553920.444862664</v>
      </c>
      <c r="W64" s="7">
        <f t="shared" si="27"/>
        <v>-59994734.448637083</v>
      </c>
      <c r="X64" s="11">
        <f t="shared" si="15"/>
        <v>79314760.288612664</v>
      </c>
      <c r="Y64" s="7">
        <f t="shared" si="24"/>
        <v>12465652.423323583</v>
      </c>
      <c r="AA64" s="2">
        <f t="shared" si="10"/>
        <v>10490519.587934464</v>
      </c>
    </row>
    <row r="65" spans="5:27">
      <c r="E65">
        <v>62</v>
      </c>
      <c r="F65" s="2">
        <f t="shared" si="33"/>
        <v>142612800</v>
      </c>
      <c r="G65" s="2">
        <f t="shared" si="34"/>
        <v>19600000</v>
      </c>
      <c r="H65" s="2">
        <f t="shared" si="26"/>
        <v>123012800</v>
      </c>
      <c r="I65" s="2">
        <f t="shared" si="29"/>
        <v>51297.698555469426</v>
      </c>
      <c r="J65" s="2">
        <f t="shared" si="30"/>
        <v>15389.309566640826</v>
      </c>
      <c r="K65" s="2">
        <f t="shared" si="7"/>
        <v>122997410.69043335</v>
      </c>
      <c r="L65" s="2">
        <f t="shared" si="28"/>
        <v>33209300.886417009</v>
      </c>
      <c r="M65" s="2">
        <f t="shared" si="13"/>
        <v>89803499.113582999</v>
      </c>
      <c r="N65" s="2">
        <f t="shared" si="23"/>
        <v>13692408.467954215</v>
      </c>
      <c r="P65">
        <v>62</v>
      </c>
      <c r="Q65" s="3">
        <f t="shared" si="37"/>
        <v>335332800</v>
      </c>
      <c r="R65" s="6">
        <f>$C$13+$C$6*$A$18*$C$10+50*'Carbon Tax'!$B$6</f>
        <v>256018039.71138734</v>
      </c>
      <c r="S65" s="3">
        <f t="shared" si="3"/>
        <v>79314760.288612664</v>
      </c>
      <c r="T65" s="7">
        <f t="shared" si="36"/>
        <v>65282519.53125</v>
      </c>
      <c r="U65" s="7">
        <f t="shared" si="35"/>
        <v>16320629.8828125</v>
      </c>
      <c r="V65" s="7">
        <f t="shared" si="9"/>
        <v>62994130.405800164</v>
      </c>
      <c r="W65" s="7">
        <f t="shared" si="27"/>
        <v>-42986319.239071041</v>
      </c>
      <c r="X65" s="11">
        <f t="shared" si="15"/>
        <v>79314760.288612664</v>
      </c>
      <c r="Y65" s="7">
        <f t="shared" si="24"/>
        <v>12093182.405242125</v>
      </c>
      <c r="AA65" s="2">
        <f t="shared" si="10"/>
        <v>10488738.824970335</v>
      </c>
    </row>
    <row r="66" spans="5:27">
      <c r="E66">
        <v>63</v>
      </c>
      <c r="F66" s="2">
        <f t="shared" si="33"/>
        <v>142612800</v>
      </c>
      <c r="G66" s="2">
        <f t="shared" si="34"/>
        <v>19600000</v>
      </c>
      <c r="H66" s="2">
        <f t="shared" si="26"/>
        <v>123012800</v>
      </c>
      <c r="I66" s="2">
        <f t="shared" si="29"/>
        <v>35908.388988828599</v>
      </c>
      <c r="J66" s="2">
        <f t="shared" si="30"/>
        <v>10772.516696648579</v>
      </c>
      <c r="K66" s="2">
        <f t="shared" si="7"/>
        <v>123002027.48330335</v>
      </c>
      <c r="L66" s="2">
        <f t="shared" si="28"/>
        <v>33210547.420491908</v>
      </c>
      <c r="M66" s="2">
        <f t="shared" si="13"/>
        <v>89802252.579508096</v>
      </c>
      <c r="N66" s="2">
        <f t="shared" si="23"/>
        <v>13283098.95997927</v>
      </c>
      <c r="P66">
        <v>63</v>
      </c>
      <c r="Q66" s="3">
        <f t="shared" si="37"/>
        <v>335332800</v>
      </c>
      <c r="R66" s="6">
        <f>$C$13+$C$6*$A$18*$C$10+50*'Carbon Tax'!$B$6</f>
        <v>256018039.71138734</v>
      </c>
      <c r="S66" s="3">
        <f t="shared" si="3"/>
        <v>79314760.288612664</v>
      </c>
      <c r="T66" s="7">
        <f t="shared" si="36"/>
        <v>48961889.6484375</v>
      </c>
      <c r="U66" s="7">
        <f t="shared" si="35"/>
        <v>12240472.412109375</v>
      </c>
      <c r="V66" s="7">
        <f t="shared" si="9"/>
        <v>67074287.876503289</v>
      </c>
      <c r="W66" s="7">
        <f t="shared" si="27"/>
        <v>-24876261.512415152</v>
      </c>
      <c r="X66" s="11">
        <f t="shared" si="15"/>
        <v>79314760.288612664</v>
      </c>
      <c r="Y66" s="7">
        <f t="shared" si="24"/>
        <v>11731841.681453364</v>
      </c>
      <c r="AA66" s="2">
        <f t="shared" si="10"/>
        <v>10487492.290895432</v>
      </c>
    </row>
    <row r="67" spans="5:27">
      <c r="E67">
        <v>64</v>
      </c>
      <c r="F67" s="2">
        <f t="shared" si="33"/>
        <v>142612800</v>
      </c>
      <c r="G67" s="2">
        <f t="shared" si="34"/>
        <v>19600000</v>
      </c>
      <c r="H67" s="2">
        <f t="shared" si="26"/>
        <v>123012800</v>
      </c>
      <c r="I67" s="2">
        <f t="shared" si="29"/>
        <v>25135.872292180022</v>
      </c>
      <c r="J67" s="2">
        <f t="shared" si="30"/>
        <v>7540.761687654006</v>
      </c>
      <c r="K67" s="2">
        <f t="shared" si="7"/>
        <v>123005259.23831235</v>
      </c>
      <c r="L67" s="2">
        <f t="shared" si="28"/>
        <v>33211419.994344335</v>
      </c>
      <c r="M67" s="2">
        <f t="shared" si="13"/>
        <v>89801380.005655661</v>
      </c>
      <c r="N67" s="2">
        <f t="shared" ref="N67:N98" si="38">M67/((1+$B$16)^E67)</f>
        <v>12886078.670188045</v>
      </c>
      <c r="P67">
        <v>64</v>
      </c>
      <c r="Q67" s="3">
        <f t="shared" si="37"/>
        <v>335332800</v>
      </c>
      <c r="R67" s="6">
        <f>$C$13+$C$6*$A$18*$C$10+50*'Carbon Tax'!$B$6</f>
        <v>256018039.71138734</v>
      </c>
      <c r="S67" s="3">
        <f t="shared" ref="S67:S130" si="39">Q67-R67</f>
        <v>79314760.288612664</v>
      </c>
      <c r="T67" s="7">
        <f t="shared" si="36"/>
        <v>36721417.236328125</v>
      </c>
      <c r="U67" s="7">
        <f t="shared" si="35"/>
        <v>9180354.3090820313</v>
      </c>
      <c r="V67" s="7">
        <f t="shared" si="9"/>
        <v>70134405.979530632</v>
      </c>
      <c r="W67" s="7">
        <f t="shared" si="27"/>
        <v>-5939971.8979418799</v>
      </c>
      <c r="X67" s="11">
        <f t="shared" si="15"/>
        <v>79314760.288612664</v>
      </c>
      <c r="Y67" s="7">
        <f t="shared" ref="Y67:Y98" si="40">X67/((1+$B$16)^P67)</f>
        <v>11381297.711926039</v>
      </c>
      <c r="AA67" s="2">
        <f t="shared" si="10"/>
        <v>10486619.717042997</v>
      </c>
    </row>
    <row r="68" spans="5:27">
      <c r="E68">
        <v>65</v>
      </c>
      <c r="F68" s="2">
        <f t="shared" si="33"/>
        <v>142612800</v>
      </c>
      <c r="G68" s="2">
        <f t="shared" si="34"/>
        <v>19600000</v>
      </c>
      <c r="H68" s="2">
        <f t="shared" si="26"/>
        <v>123012800</v>
      </c>
      <c r="I68" s="2">
        <f t="shared" si="29"/>
        <v>17595.110604526017</v>
      </c>
      <c r="J68" s="2">
        <f t="shared" si="30"/>
        <v>5278.533181357805</v>
      </c>
      <c r="K68" s="2">
        <f t="shared" ref="K68:K131" si="41">H68-J68</f>
        <v>123007521.46681865</v>
      </c>
      <c r="L68" s="2">
        <f t="shared" si="28"/>
        <v>33212030.796041038</v>
      </c>
      <c r="M68" s="2">
        <f t="shared" si="13"/>
        <v>89800769.203958958</v>
      </c>
      <c r="N68" s="2">
        <f t="shared" si="38"/>
        <v>12500961.411522053</v>
      </c>
      <c r="P68">
        <v>65</v>
      </c>
      <c r="Q68" s="3">
        <f t="shared" si="37"/>
        <v>335332800</v>
      </c>
      <c r="R68" s="6">
        <f>$C$13+$C$6*$A$18*$C$10+50*'Carbon Tax'!$B$6</f>
        <v>256018039.71138734</v>
      </c>
      <c r="S68" s="3">
        <f t="shared" si="39"/>
        <v>79314760.288612664</v>
      </c>
      <c r="T68" s="7">
        <f t="shared" si="36"/>
        <v>27541062.927246094</v>
      </c>
      <c r="U68" s="7">
        <f t="shared" si="35"/>
        <v>6885265.7318115234</v>
      </c>
      <c r="V68" s="7">
        <f t="shared" ref="V68:V131" si="42">S68-U68</f>
        <v>72429494.55680114</v>
      </c>
      <c r="W68" s="7">
        <f t="shared" si="27"/>
        <v>13615991.632394429</v>
      </c>
      <c r="X68" s="11">
        <f t="shared" si="15"/>
        <v>65698768.656218231</v>
      </c>
      <c r="Y68" s="7">
        <f t="shared" si="40"/>
        <v>9145776.5789348148</v>
      </c>
      <c r="AA68" s="2">
        <f t="shared" ref="AA68:AA131" si="43">M68-X68</f>
        <v>24102000.547740728</v>
      </c>
    </row>
    <row r="69" spans="5:27">
      <c r="E69">
        <v>66</v>
      </c>
      <c r="F69" s="2">
        <f t="shared" si="33"/>
        <v>142612800</v>
      </c>
      <c r="G69" s="2">
        <f>$B$13+$B$12</f>
        <v>1134800000</v>
      </c>
      <c r="H69" s="2">
        <f t="shared" si="26"/>
        <v>-992187200</v>
      </c>
      <c r="I69" s="2">
        <f t="shared" si="29"/>
        <v>12316.577423168212</v>
      </c>
      <c r="J69" s="13">
        <v>0</v>
      </c>
      <c r="K69" s="13">
        <f>H69-J69+$B$12+$B$14</f>
        <v>123025116.57742317</v>
      </c>
      <c r="L69" s="2">
        <f t="shared" si="28"/>
        <v>33216781.47590426</v>
      </c>
      <c r="M69" s="13">
        <f>IF(L69&lt;0,H69,H69-L69+$B$14)</f>
        <v>-1025391664.898481</v>
      </c>
      <c r="N69" s="2">
        <f t="shared" si="38"/>
        <v>-138477345.81716213</v>
      </c>
      <c r="P69">
        <v>66</v>
      </c>
      <c r="Q69" s="3">
        <f t="shared" si="37"/>
        <v>335332800</v>
      </c>
      <c r="R69" s="6">
        <f>$C$13+$C$6*$A$18*$C$10+50*'Carbon Tax'!$B$6</f>
        <v>256018039.71138734</v>
      </c>
      <c r="S69" s="3">
        <f t="shared" si="39"/>
        <v>79314760.288612664</v>
      </c>
      <c r="T69" s="7">
        <f t="shared" si="36"/>
        <v>20655797.19543457</v>
      </c>
      <c r="U69" s="7">
        <f t="shared" si="35"/>
        <v>5163949.2988586426</v>
      </c>
      <c r="V69" s="7">
        <f t="shared" si="42"/>
        <v>74150810.989754021</v>
      </c>
      <c r="W69" s="7">
        <f t="shared" ref="W69:W100" si="44">IF(W68&lt;0,V69*$B$15+W68,V69*$B$15)</f>
        <v>20020718.967233587</v>
      </c>
      <c r="X69" s="11">
        <f t="shared" ref="X69:X132" si="45">IF(W69&lt;0,S69,S69-W69)</f>
        <v>59294041.32137908</v>
      </c>
      <c r="Y69" s="7">
        <f t="shared" si="40"/>
        <v>8007556.2792590382</v>
      </c>
      <c r="AA69" s="2">
        <f t="shared" si="43"/>
        <v>-1084685706.2198601</v>
      </c>
    </row>
    <row r="70" spans="5:27">
      <c r="E70">
        <v>67</v>
      </c>
      <c r="F70" s="2">
        <v>0</v>
      </c>
      <c r="G70" s="2">
        <v>0</v>
      </c>
      <c r="H70" s="2">
        <f t="shared" si="26"/>
        <v>0</v>
      </c>
      <c r="I70" s="2">
        <v>1115200000</v>
      </c>
      <c r="J70" s="2">
        <f>I70*0.3</f>
        <v>334560000</v>
      </c>
      <c r="K70" s="2">
        <f t="shared" si="41"/>
        <v>-334560000</v>
      </c>
      <c r="L70" s="2">
        <f>K70*$B$15</f>
        <v>-90331200</v>
      </c>
      <c r="M70" s="2">
        <f t="shared" ref="M70:M132" si="46">IF(L70&lt;0,H70,H70-L70)</f>
        <v>0</v>
      </c>
      <c r="N70" s="2">
        <f t="shared" si="38"/>
        <v>0</v>
      </c>
      <c r="P70">
        <v>67</v>
      </c>
      <c r="Q70" s="3">
        <f t="shared" si="37"/>
        <v>335332800</v>
      </c>
      <c r="R70" s="6">
        <f>$C$13+$C$6*$A$18*$C$10+50*'Carbon Tax'!$B$6</f>
        <v>256018039.71138734</v>
      </c>
      <c r="S70" s="3">
        <f t="shared" si="39"/>
        <v>79314760.288612664</v>
      </c>
      <c r="T70" s="7">
        <f t="shared" si="36"/>
        <v>15491847.896575928</v>
      </c>
      <c r="U70" s="7">
        <f t="shared" si="35"/>
        <v>3872961.9741439819</v>
      </c>
      <c r="V70" s="7">
        <f t="shared" si="42"/>
        <v>75441798.314468682</v>
      </c>
      <c r="W70" s="7">
        <f t="shared" si="44"/>
        <v>20369285.544906545</v>
      </c>
      <c r="X70" s="11">
        <f t="shared" si="45"/>
        <v>58945474.743706122</v>
      </c>
      <c r="Y70" s="7">
        <f t="shared" si="40"/>
        <v>7722626.0907322653</v>
      </c>
      <c r="AA70" s="2">
        <f t="shared" si="43"/>
        <v>-58945474.743706122</v>
      </c>
    </row>
    <row r="71" spans="5:27">
      <c r="E71">
        <v>68</v>
      </c>
      <c r="F71" s="2">
        <v>0</v>
      </c>
      <c r="G71" s="2">
        <v>0</v>
      </c>
      <c r="H71" s="2">
        <f t="shared" si="26"/>
        <v>0</v>
      </c>
      <c r="I71" s="2">
        <f>I70-J70</f>
        <v>780640000</v>
      </c>
      <c r="J71" s="2">
        <f>I71*0.3</f>
        <v>234192000</v>
      </c>
      <c r="K71" s="2">
        <f t="shared" si="41"/>
        <v>-234192000</v>
      </c>
      <c r="L71" s="2">
        <f t="shared" ref="L71:L102" si="47">IF(L70&lt;0,K71*$B$15+L70,K71*$B$15)</f>
        <v>-153563040</v>
      </c>
      <c r="M71" s="2">
        <f t="shared" si="46"/>
        <v>0</v>
      </c>
      <c r="N71" s="2">
        <f t="shared" si="38"/>
        <v>0</v>
      </c>
      <c r="P71">
        <v>68</v>
      </c>
      <c r="Q71" s="3">
        <f t="shared" si="37"/>
        <v>335332800</v>
      </c>
      <c r="R71" s="6">
        <f>$C$13+$C$6*$A$18*$C$10+50*'Carbon Tax'!$B$6</f>
        <v>256018039.71138734</v>
      </c>
      <c r="S71" s="3">
        <f t="shared" si="39"/>
        <v>79314760.288612664</v>
      </c>
      <c r="T71" s="7">
        <f t="shared" si="36"/>
        <v>11618885.922431946</v>
      </c>
      <c r="U71" s="7">
        <f t="shared" si="35"/>
        <v>2904721.4806079865</v>
      </c>
      <c r="V71" s="7">
        <f t="shared" si="42"/>
        <v>76410038.808004677</v>
      </c>
      <c r="W71" s="7">
        <f t="shared" si="44"/>
        <v>20630710.478161264</v>
      </c>
      <c r="X71" s="11">
        <f t="shared" si="45"/>
        <v>58684049.810451403</v>
      </c>
      <c r="Y71" s="7">
        <f t="shared" si="40"/>
        <v>7458649.6065042764</v>
      </c>
      <c r="AA71" s="2">
        <f t="shared" si="43"/>
        <v>-58684049.810451403</v>
      </c>
    </row>
    <row r="72" spans="5:27">
      <c r="E72">
        <v>69</v>
      </c>
      <c r="F72" s="2">
        <v>0</v>
      </c>
      <c r="G72" s="2">
        <v>0</v>
      </c>
      <c r="H72" s="2">
        <f t="shared" si="26"/>
        <v>0</v>
      </c>
      <c r="I72" s="2">
        <f t="shared" ref="I72:I102" si="48">I71-J71</f>
        <v>546448000</v>
      </c>
      <c r="J72" s="2">
        <f t="shared" ref="J72:J101" si="49">I72*0.3</f>
        <v>163934400</v>
      </c>
      <c r="K72" s="2">
        <f t="shared" si="41"/>
        <v>-163934400</v>
      </c>
      <c r="L72" s="2">
        <f t="shared" si="47"/>
        <v>-197825328</v>
      </c>
      <c r="M72" s="2">
        <f t="shared" si="46"/>
        <v>0</v>
      </c>
      <c r="N72" s="2">
        <f t="shared" si="38"/>
        <v>0</v>
      </c>
      <c r="P72">
        <v>69</v>
      </c>
      <c r="Q72" s="3">
        <f t="shared" si="37"/>
        <v>335332800</v>
      </c>
      <c r="R72" s="6">
        <f>$C$13+$C$6*$A$18*$C$10+50*'Carbon Tax'!$B$6</f>
        <v>256018039.71138734</v>
      </c>
      <c r="S72" s="3">
        <f t="shared" si="39"/>
        <v>79314760.288612664</v>
      </c>
      <c r="T72" s="7">
        <f t="shared" si="36"/>
        <v>8714164.4418239594</v>
      </c>
      <c r="U72" s="7">
        <f t="shared" si="35"/>
        <v>2178541.1104559898</v>
      </c>
      <c r="V72" s="7">
        <f t="shared" si="42"/>
        <v>77136219.178156674</v>
      </c>
      <c r="W72" s="7">
        <f t="shared" si="44"/>
        <v>20826779.178102303</v>
      </c>
      <c r="X72" s="11">
        <f t="shared" si="45"/>
        <v>58487981.110510364</v>
      </c>
      <c r="Y72" s="7">
        <f t="shared" si="40"/>
        <v>7211611.9381827684</v>
      </c>
      <c r="AA72" s="2">
        <f t="shared" si="43"/>
        <v>-58487981.110510364</v>
      </c>
    </row>
    <row r="73" spans="5:27">
      <c r="E73">
        <v>70</v>
      </c>
      <c r="F73" s="2">
        <f t="shared" ref="F73:F84" si="50">$B$11</f>
        <v>142612800</v>
      </c>
      <c r="G73" s="2">
        <f t="shared" ref="G73:G84" si="51">$B$13</f>
        <v>19600000</v>
      </c>
      <c r="H73" s="2">
        <f t="shared" si="26"/>
        <v>123012800</v>
      </c>
      <c r="I73" s="2">
        <f t="shared" si="48"/>
        <v>382513600</v>
      </c>
      <c r="J73" s="2">
        <f t="shared" si="49"/>
        <v>114754080</v>
      </c>
      <c r="K73" s="2">
        <f t="shared" si="41"/>
        <v>8258720</v>
      </c>
      <c r="L73" s="2">
        <f t="shared" si="47"/>
        <v>-195595473.59999999</v>
      </c>
      <c r="M73" s="2">
        <f t="shared" si="46"/>
        <v>123012800</v>
      </c>
      <c r="N73" s="2">
        <f t="shared" si="38"/>
        <v>14714367.968833141</v>
      </c>
      <c r="P73">
        <v>70</v>
      </c>
      <c r="Q73" s="3">
        <f t="shared" si="37"/>
        <v>335332800</v>
      </c>
      <c r="R73" s="6">
        <f>$C$13+$C$6*$A$18*$C$10+50*'Carbon Tax'!$B$6</f>
        <v>256018039.71138734</v>
      </c>
      <c r="S73" s="3">
        <f t="shared" si="39"/>
        <v>79314760.288612664</v>
      </c>
      <c r="T73" s="7">
        <f t="shared" si="36"/>
        <v>6535623.3313679695</v>
      </c>
      <c r="U73" s="7">
        <f t="shared" si="35"/>
        <v>1633905.8328419924</v>
      </c>
      <c r="V73" s="7">
        <f t="shared" si="42"/>
        <v>77680854.455770671</v>
      </c>
      <c r="W73" s="7">
        <f t="shared" si="44"/>
        <v>20973830.703058083</v>
      </c>
      <c r="X73" s="11">
        <f t="shared" si="45"/>
        <v>58340929.585554585</v>
      </c>
      <c r="Y73" s="7">
        <f t="shared" si="40"/>
        <v>6978541.3027395047</v>
      </c>
      <c r="AA73" s="2">
        <f t="shared" si="43"/>
        <v>64671870.414445415</v>
      </c>
    </row>
    <row r="74" spans="5:27">
      <c r="E74">
        <v>71</v>
      </c>
      <c r="F74" s="2">
        <f t="shared" si="50"/>
        <v>142612800</v>
      </c>
      <c r="G74" s="2">
        <f t="shared" si="51"/>
        <v>19600000</v>
      </c>
      <c r="H74" s="2">
        <f t="shared" si="26"/>
        <v>123012800</v>
      </c>
      <c r="I74" s="2">
        <f t="shared" si="48"/>
        <v>267759520</v>
      </c>
      <c r="J74" s="2">
        <f t="shared" si="49"/>
        <v>80327856</v>
      </c>
      <c r="K74" s="2">
        <f t="shared" si="41"/>
        <v>42684944</v>
      </c>
      <c r="L74" s="2">
        <f t="shared" si="47"/>
        <v>-184070538.72</v>
      </c>
      <c r="M74" s="2">
        <f t="shared" si="46"/>
        <v>123012800</v>
      </c>
      <c r="N74" s="2">
        <f t="shared" si="38"/>
        <v>14274706.993435336</v>
      </c>
      <c r="P74">
        <v>71</v>
      </c>
      <c r="Q74" s="3">
        <f t="shared" si="37"/>
        <v>335332800</v>
      </c>
      <c r="R74" s="6">
        <f>$C$13+$C$6*$A$18*$C$10+50*'Carbon Tax'!$B$6</f>
        <v>256018039.71138734</v>
      </c>
      <c r="S74" s="3">
        <f t="shared" si="39"/>
        <v>79314760.288612664</v>
      </c>
      <c r="T74" s="7">
        <f t="shared" si="36"/>
        <v>4901717.4985259771</v>
      </c>
      <c r="U74" s="7">
        <f t="shared" si="35"/>
        <v>1225429.3746314943</v>
      </c>
      <c r="V74" s="7">
        <f t="shared" si="42"/>
        <v>78089330.913981169</v>
      </c>
      <c r="W74" s="7">
        <f t="shared" si="44"/>
        <v>21084119.346774917</v>
      </c>
      <c r="X74" s="11">
        <f t="shared" si="45"/>
        <v>58230640.941837743</v>
      </c>
      <c r="Y74" s="7">
        <f t="shared" si="40"/>
        <v>6757226.3820079956</v>
      </c>
      <c r="AA74" s="2">
        <f t="shared" si="43"/>
        <v>64782159.058162257</v>
      </c>
    </row>
    <row r="75" spans="5:27">
      <c r="E75">
        <v>72</v>
      </c>
      <c r="F75" s="2">
        <f t="shared" si="50"/>
        <v>142612800</v>
      </c>
      <c r="G75" s="2">
        <f t="shared" si="51"/>
        <v>19600000</v>
      </c>
      <c r="H75" s="2">
        <f t="shared" si="26"/>
        <v>123012800</v>
      </c>
      <c r="I75" s="2">
        <f t="shared" si="48"/>
        <v>187431664</v>
      </c>
      <c r="J75" s="2">
        <f t="shared" si="49"/>
        <v>56229499.199999996</v>
      </c>
      <c r="K75" s="2">
        <f t="shared" si="41"/>
        <v>66783300.800000004</v>
      </c>
      <c r="L75" s="2">
        <f t="shared" si="47"/>
        <v>-166039047.50400001</v>
      </c>
      <c r="M75" s="2">
        <f t="shared" si="46"/>
        <v>123012800</v>
      </c>
      <c r="N75" s="2">
        <f t="shared" si="38"/>
        <v>13848182.958319105</v>
      </c>
      <c r="P75">
        <v>72</v>
      </c>
      <c r="Q75" s="3">
        <f t="shared" si="37"/>
        <v>335332800</v>
      </c>
      <c r="R75" s="6">
        <f>$C$13+$C$6*$A$18*$C$10+50*'Carbon Tax'!$B$6</f>
        <v>256018039.71138734</v>
      </c>
      <c r="S75" s="3">
        <f t="shared" si="39"/>
        <v>79314760.288612664</v>
      </c>
      <c r="T75" s="7">
        <f t="shared" si="36"/>
        <v>3676288.1238944829</v>
      </c>
      <c r="U75" s="7">
        <f t="shared" si="35"/>
        <v>919072.03097362071</v>
      </c>
      <c r="V75" s="7">
        <f t="shared" si="42"/>
        <v>78395688.25763905</v>
      </c>
      <c r="W75" s="7">
        <f t="shared" si="44"/>
        <v>21166835.829562545</v>
      </c>
      <c r="X75" s="11">
        <f t="shared" si="45"/>
        <v>58147924.459050119</v>
      </c>
      <c r="Y75" s="7">
        <f t="shared" si="40"/>
        <v>6546010.6310517648</v>
      </c>
      <c r="AA75" s="2">
        <f t="shared" si="43"/>
        <v>64864875.540949881</v>
      </c>
    </row>
    <row r="76" spans="5:27">
      <c r="E76">
        <v>73</v>
      </c>
      <c r="F76" s="2">
        <f t="shared" si="50"/>
        <v>142612800</v>
      </c>
      <c r="G76" s="2">
        <f t="shared" si="51"/>
        <v>19600000</v>
      </c>
      <c r="H76" s="2">
        <f t="shared" si="26"/>
        <v>123012800</v>
      </c>
      <c r="I76" s="2">
        <f t="shared" si="48"/>
        <v>131202164.80000001</v>
      </c>
      <c r="J76" s="2">
        <f t="shared" si="49"/>
        <v>39360649.440000005</v>
      </c>
      <c r="K76" s="2">
        <f t="shared" si="41"/>
        <v>83652150.560000002</v>
      </c>
      <c r="L76" s="2">
        <f t="shared" si="47"/>
        <v>-143452966.85280001</v>
      </c>
      <c r="M76" s="2">
        <f t="shared" si="46"/>
        <v>123012800</v>
      </c>
      <c r="N76" s="2">
        <f t="shared" si="38"/>
        <v>13434403.335583145</v>
      </c>
      <c r="P76">
        <v>73</v>
      </c>
      <c r="Q76" s="3">
        <f t="shared" si="37"/>
        <v>335332800</v>
      </c>
      <c r="R76" s="6">
        <f>$C$13+$C$6*$A$18*$C$10+50*'Carbon Tax'!$B$6</f>
        <v>256018039.71138734</v>
      </c>
      <c r="S76" s="3">
        <f t="shared" si="39"/>
        <v>79314760.288612664</v>
      </c>
      <c r="T76" s="7">
        <f t="shared" si="36"/>
        <v>2757216.0929208621</v>
      </c>
      <c r="U76" s="7">
        <f t="shared" si="35"/>
        <v>689304.02323021553</v>
      </c>
      <c r="V76" s="7">
        <f t="shared" si="42"/>
        <v>78625456.265382454</v>
      </c>
      <c r="W76" s="7">
        <f t="shared" si="44"/>
        <v>21228873.191653263</v>
      </c>
      <c r="X76" s="11">
        <f t="shared" si="45"/>
        <v>58085887.096959397</v>
      </c>
      <c r="Y76" s="7">
        <f t="shared" si="40"/>
        <v>6343642.5751279322</v>
      </c>
      <c r="AA76" s="2">
        <f t="shared" si="43"/>
        <v>64926912.903040603</v>
      </c>
    </row>
    <row r="77" spans="5:27">
      <c r="E77">
        <v>74</v>
      </c>
      <c r="F77" s="2">
        <f t="shared" si="50"/>
        <v>142612800</v>
      </c>
      <c r="G77" s="2">
        <f t="shared" si="51"/>
        <v>19600000</v>
      </c>
      <c r="H77" s="2">
        <f t="shared" si="26"/>
        <v>123012800</v>
      </c>
      <c r="I77" s="2">
        <f t="shared" si="48"/>
        <v>91841515.360000014</v>
      </c>
      <c r="J77" s="2">
        <f t="shared" si="49"/>
        <v>27552454.608000003</v>
      </c>
      <c r="K77" s="2">
        <f t="shared" si="41"/>
        <v>95460345.39199999</v>
      </c>
      <c r="L77" s="2">
        <f t="shared" si="47"/>
        <v>-117678673.59696001</v>
      </c>
      <c r="M77" s="2">
        <f t="shared" si="46"/>
        <v>123012800</v>
      </c>
      <c r="N77" s="2">
        <f t="shared" si="38"/>
        <v>13032987.32594407</v>
      </c>
      <c r="P77">
        <v>74</v>
      </c>
      <c r="Q77" s="3">
        <f t="shared" si="37"/>
        <v>335332800</v>
      </c>
      <c r="R77" s="6">
        <f>$C$13+$C$6*$A$18*$C$10+50*'Carbon Tax'!$B$6</f>
        <v>256018039.71138734</v>
      </c>
      <c r="S77" s="3">
        <f t="shared" si="39"/>
        <v>79314760.288612664</v>
      </c>
      <c r="T77" s="7">
        <f t="shared" si="36"/>
        <v>2067912.0696906466</v>
      </c>
      <c r="U77" s="7">
        <f t="shared" si="35"/>
        <v>516978.01742266165</v>
      </c>
      <c r="V77" s="7">
        <f t="shared" si="42"/>
        <v>78797782.271190003</v>
      </c>
      <c r="W77" s="7">
        <f t="shared" si="44"/>
        <v>21275401.2132213</v>
      </c>
      <c r="X77" s="11">
        <f t="shared" si="45"/>
        <v>58039359.075391367</v>
      </c>
      <c r="Y77" s="7">
        <f t="shared" si="40"/>
        <v>6149166.8447144739</v>
      </c>
      <c r="AA77" s="2">
        <f t="shared" si="43"/>
        <v>64973440.924608633</v>
      </c>
    </row>
    <row r="78" spans="5:27">
      <c r="E78">
        <v>75</v>
      </c>
      <c r="F78" s="2">
        <f t="shared" si="50"/>
        <v>142612800</v>
      </c>
      <c r="G78" s="2">
        <f t="shared" si="51"/>
        <v>19600000</v>
      </c>
      <c r="H78" s="2">
        <f t="shared" si="26"/>
        <v>123012800</v>
      </c>
      <c r="I78" s="2">
        <f t="shared" si="48"/>
        <v>64289060.752000012</v>
      </c>
      <c r="J78" s="2">
        <f t="shared" si="49"/>
        <v>19286718.225600004</v>
      </c>
      <c r="K78" s="2">
        <f t="shared" si="41"/>
        <v>103726081.7744</v>
      </c>
      <c r="L78" s="2">
        <f t="shared" si="47"/>
        <v>-89672631.517872006</v>
      </c>
      <c r="M78" s="2">
        <f t="shared" si="46"/>
        <v>123012800</v>
      </c>
      <c r="N78" s="2">
        <f t="shared" si="38"/>
        <v>12643565.508288777</v>
      </c>
      <c r="P78">
        <v>75</v>
      </c>
      <c r="Q78" s="3">
        <f t="shared" si="37"/>
        <v>335332800</v>
      </c>
      <c r="R78" s="6">
        <f>$C$13+$C$6*$A$18*$C$10+50*'Carbon Tax'!$B$6</f>
        <v>256018039.71138734</v>
      </c>
      <c r="S78" s="3">
        <f t="shared" si="39"/>
        <v>79314760.288612664</v>
      </c>
      <c r="T78" s="7">
        <f t="shared" si="36"/>
        <v>1550934.052267985</v>
      </c>
      <c r="U78" s="7">
        <f t="shared" si="35"/>
        <v>387733.51306699624</v>
      </c>
      <c r="V78" s="7">
        <f t="shared" si="42"/>
        <v>78927026.775545672</v>
      </c>
      <c r="W78" s="7">
        <f t="shared" si="44"/>
        <v>21310297.229397334</v>
      </c>
      <c r="X78" s="11">
        <f t="shared" si="45"/>
        <v>58004463.05921533</v>
      </c>
      <c r="Y78" s="7">
        <f t="shared" si="40"/>
        <v>5961844.852424345</v>
      </c>
      <c r="AA78" s="2">
        <f t="shared" si="43"/>
        <v>65008336.94078467</v>
      </c>
    </row>
    <row r="79" spans="5:27">
      <c r="E79">
        <v>76</v>
      </c>
      <c r="F79" s="2">
        <f t="shared" si="50"/>
        <v>142612800</v>
      </c>
      <c r="G79" s="2">
        <f t="shared" si="51"/>
        <v>19600000</v>
      </c>
      <c r="H79" s="2">
        <f t="shared" si="26"/>
        <v>123012800</v>
      </c>
      <c r="I79" s="2">
        <f t="shared" si="48"/>
        <v>45002342.526400007</v>
      </c>
      <c r="J79" s="2">
        <f t="shared" si="49"/>
        <v>13500702.757920003</v>
      </c>
      <c r="K79" s="2">
        <f t="shared" si="41"/>
        <v>109512097.24208</v>
      </c>
      <c r="L79" s="2">
        <f t="shared" si="47"/>
        <v>-60104365.262510404</v>
      </c>
      <c r="M79" s="2">
        <f t="shared" si="46"/>
        <v>123012800</v>
      </c>
      <c r="N79" s="2">
        <f t="shared" si="38"/>
        <v>12265779.499698075</v>
      </c>
      <c r="P79">
        <v>76</v>
      </c>
      <c r="Q79" s="3">
        <f t="shared" si="37"/>
        <v>335332800</v>
      </c>
      <c r="R79" s="6">
        <f>$C$13+$C$6*$A$18*$C$10+50*'Carbon Tax'!$B$6</f>
        <v>256018039.71138734</v>
      </c>
      <c r="S79" s="3">
        <f t="shared" si="39"/>
        <v>79314760.288612664</v>
      </c>
      <c r="T79" s="7">
        <f t="shared" si="36"/>
        <v>1163200.5392009886</v>
      </c>
      <c r="U79" s="7">
        <f t="shared" si="35"/>
        <v>290800.13480024715</v>
      </c>
      <c r="V79" s="7">
        <f t="shared" si="42"/>
        <v>79023960.153812423</v>
      </c>
      <c r="W79" s="7">
        <f t="shared" si="44"/>
        <v>21336469.241529357</v>
      </c>
      <c r="X79" s="11">
        <f t="shared" si="45"/>
        <v>57978291.047083303</v>
      </c>
      <c r="Y79" s="7">
        <f t="shared" si="40"/>
        <v>5781097.0382988015</v>
      </c>
      <c r="AA79" s="2">
        <f t="shared" si="43"/>
        <v>65034508.952916697</v>
      </c>
    </row>
    <row r="80" spans="5:27">
      <c r="E80">
        <v>77</v>
      </c>
      <c r="F80" s="2">
        <f t="shared" si="50"/>
        <v>142612800</v>
      </c>
      <c r="G80" s="2">
        <f t="shared" si="51"/>
        <v>19600000</v>
      </c>
      <c r="H80" s="2">
        <f t="shared" si="26"/>
        <v>123012800</v>
      </c>
      <c r="I80" s="2">
        <f t="shared" si="48"/>
        <v>31501639.768480003</v>
      </c>
      <c r="J80" s="2">
        <f t="shared" si="49"/>
        <v>9450491.9305440001</v>
      </c>
      <c r="K80" s="2">
        <f t="shared" si="41"/>
        <v>113562308.069456</v>
      </c>
      <c r="L80" s="2">
        <f t="shared" si="47"/>
        <v>-29442542.083757281</v>
      </c>
      <c r="M80" s="2">
        <f t="shared" si="46"/>
        <v>123012800</v>
      </c>
      <c r="N80" s="2">
        <f t="shared" si="38"/>
        <v>11899281.62562871</v>
      </c>
      <c r="P80">
        <v>77</v>
      </c>
      <c r="Q80" s="3">
        <f t="shared" si="37"/>
        <v>335332800</v>
      </c>
      <c r="R80" s="6">
        <f>$C$13+$C$6*$A$18*$C$10+50*'Carbon Tax'!$B$6</f>
        <v>256018039.71138734</v>
      </c>
      <c r="S80" s="3">
        <f t="shared" si="39"/>
        <v>79314760.288612664</v>
      </c>
      <c r="T80" s="7">
        <f t="shared" si="36"/>
        <v>872400.40440074145</v>
      </c>
      <c r="U80" s="7">
        <f t="shared" si="35"/>
        <v>218100.10110018536</v>
      </c>
      <c r="V80" s="7">
        <f t="shared" si="42"/>
        <v>79096660.187512472</v>
      </c>
      <c r="W80" s="7">
        <f t="shared" si="44"/>
        <v>21356098.250628367</v>
      </c>
      <c r="X80" s="11">
        <f t="shared" si="45"/>
        <v>57958662.037984297</v>
      </c>
      <c r="Y80" s="7">
        <f t="shared" si="40"/>
        <v>5606460.8092378257</v>
      </c>
      <c r="AA80" s="2">
        <f t="shared" si="43"/>
        <v>65054137.962015703</v>
      </c>
    </row>
    <row r="81" spans="5:27">
      <c r="E81">
        <v>78</v>
      </c>
      <c r="F81" s="2">
        <f t="shared" si="50"/>
        <v>142612800</v>
      </c>
      <c r="G81" s="2">
        <f t="shared" si="51"/>
        <v>19600000</v>
      </c>
      <c r="H81" s="2">
        <f t="shared" si="26"/>
        <v>123012800</v>
      </c>
      <c r="I81" s="2">
        <f t="shared" si="48"/>
        <v>22051147.837936003</v>
      </c>
      <c r="J81" s="2">
        <f t="shared" si="49"/>
        <v>6615344.3513808008</v>
      </c>
      <c r="K81" s="2">
        <f t="shared" si="41"/>
        <v>116397455.6486192</v>
      </c>
      <c r="L81" s="2">
        <f t="shared" si="47"/>
        <v>1984770.9413699061</v>
      </c>
      <c r="M81" s="2">
        <f t="shared" si="46"/>
        <v>121028029.05863009</v>
      </c>
      <c r="N81" s="2">
        <f t="shared" si="38"/>
        <v>11357480.250899838</v>
      </c>
      <c r="P81">
        <v>78</v>
      </c>
      <c r="Q81" s="3">
        <f t="shared" si="37"/>
        <v>335332800</v>
      </c>
      <c r="R81" s="6">
        <f>$C$13+$C$6*$A$18*$C$10+50*'Carbon Tax'!$B$6</f>
        <v>256018039.71138734</v>
      </c>
      <c r="S81" s="3">
        <f t="shared" si="39"/>
        <v>79314760.288612664</v>
      </c>
      <c r="T81" s="7">
        <f t="shared" si="36"/>
        <v>654300.30330055603</v>
      </c>
      <c r="U81" s="7">
        <f t="shared" si="35"/>
        <v>163575.07582513901</v>
      </c>
      <c r="V81" s="7">
        <f t="shared" si="42"/>
        <v>79151185.212787524</v>
      </c>
      <c r="W81" s="7">
        <f t="shared" si="44"/>
        <v>21370820.007452633</v>
      </c>
      <c r="X81" s="11">
        <f t="shared" si="45"/>
        <v>57943940.281160027</v>
      </c>
      <c r="Y81" s="7">
        <f t="shared" si="40"/>
        <v>5437559.8984908694</v>
      </c>
      <c r="AA81" s="2">
        <f t="shared" si="43"/>
        <v>63084088.777470067</v>
      </c>
    </row>
    <row r="82" spans="5:27">
      <c r="E82">
        <v>79</v>
      </c>
      <c r="F82" s="2">
        <f t="shared" si="50"/>
        <v>142612800</v>
      </c>
      <c r="G82" s="2">
        <f t="shared" si="51"/>
        <v>19600000</v>
      </c>
      <c r="H82" s="2">
        <f t="shared" si="26"/>
        <v>123012800</v>
      </c>
      <c r="I82" s="2">
        <f t="shared" si="48"/>
        <v>15435803.486555202</v>
      </c>
      <c r="J82" s="2">
        <f t="shared" si="49"/>
        <v>4630741.04596656</v>
      </c>
      <c r="K82" s="2">
        <f t="shared" si="41"/>
        <v>118382058.95403343</v>
      </c>
      <c r="L82" s="2">
        <f t="shared" si="47"/>
        <v>31963155.917589031</v>
      </c>
      <c r="M82" s="2">
        <f t="shared" si="46"/>
        <v>91049644.082410961</v>
      </c>
      <c r="N82" s="2">
        <f t="shared" si="38"/>
        <v>8288956.7201965367</v>
      </c>
      <c r="P82">
        <v>79</v>
      </c>
      <c r="Q82" s="3">
        <f t="shared" si="37"/>
        <v>335332800</v>
      </c>
      <c r="R82" s="6">
        <f>$C$13+$C$6*$A$18*$C$10+50*'Carbon Tax'!$B$6</f>
        <v>256018039.71138734</v>
      </c>
      <c r="S82" s="3">
        <f t="shared" si="39"/>
        <v>79314760.288612664</v>
      </c>
      <c r="T82" s="7">
        <f t="shared" si="36"/>
        <v>490725.22747541702</v>
      </c>
      <c r="U82" s="7">
        <f t="shared" si="35"/>
        <v>122681.30686885426</v>
      </c>
      <c r="V82" s="7">
        <f t="shared" si="42"/>
        <v>79192078.981743813</v>
      </c>
      <c r="W82" s="7">
        <f t="shared" si="44"/>
        <v>21381861.325070832</v>
      </c>
      <c r="X82" s="11">
        <f t="shared" si="45"/>
        <v>57932898.963541836</v>
      </c>
      <c r="Y82" s="7">
        <f t="shared" si="40"/>
        <v>5274082.0353968097</v>
      </c>
      <c r="AA82" s="2">
        <f t="shared" si="43"/>
        <v>33116745.118869126</v>
      </c>
    </row>
    <row r="83" spans="5:27">
      <c r="E83">
        <v>80</v>
      </c>
      <c r="F83" s="2">
        <f t="shared" si="50"/>
        <v>142612800</v>
      </c>
      <c r="G83" s="2">
        <f t="shared" si="51"/>
        <v>19600000</v>
      </c>
      <c r="H83" s="2">
        <f t="shared" si="26"/>
        <v>123012800</v>
      </c>
      <c r="I83" s="2">
        <f t="shared" si="48"/>
        <v>10805062.440588642</v>
      </c>
      <c r="J83" s="2">
        <f t="shared" si="49"/>
        <v>3241518.7321765926</v>
      </c>
      <c r="K83" s="2">
        <f t="shared" si="41"/>
        <v>119771281.26782341</v>
      </c>
      <c r="L83" s="2">
        <f t="shared" si="47"/>
        <v>32338245.942312323</v>
      </c>
      <c r="M83" s="2">
        <f t="shared" si="46"/>
        <v>90674554.05768767</v>
      </c>
      <c r="N83" s="2">
        <f t="shared" si="38"/>
        <v>8008158.0909219496</v>
      </c>
      <c r="P83">
        <v>80</v>
      </c>
      <c r="Q83" s="3">
        <f t="shared" si="37"/>
        <v>335332800</v>
      </c>
      <c r="R83" s="6">
        <f>$C$13+$C$6*$A$18*$C$10+50*'Carbon Tax'!$B$6</f>
        <v>256018039.71138734</v>
      </c>
      <c r="S83" s="3">
        <f t="shared" si="39"/>
        <v>79314760.288612664</v>
      </c>
      <c r="T83" s="7">
        <f t="shared" si="36"/>
        <v>368043.92060656275</v>
      </c>
      <c r="U83" s="7">
        <f t="shared" si="35"/>
        <v>92010.980151640688</v>
      </c>
      <c r="V83" s="7">
        <f t="shared" si="42"/>
        <v>79222749.308461025</v>
      </c>
      <c r="W83" s="7">
        <f t="shared" si="44"/>
        <v>21390142.313284479</v>
      </c>
      <c r="X83" s="11">
        <f t="shared" si="45"/>
        <v>57924617.975328185</v>
      </c>
      <c r="Y83" s="7">
        <f t="shared" si="40"/>
        <v>5115762.662671282</v>
      </c>
      <c r="AA83" s="2">
        <f t="shared" si="43"/>
        <v>32749936.082359485</v>
      </c>
    </row>
    <row r="84" spans="5:27">
      <c r="E84">
        <v>81</v>
      </c>
      <c r="F84" s="2">
        <f t="shared" si="50"/>
        <v>142612800</v>
      </c>
      <c r="G84" s="2">
        <f t="shared" si="51"/>
        <v>19600000</v>
      </c>
      <c r="H84" s="2">
        <f t="shared" si="26"/>
        <v>123012800</v>
      </c>
      <c r="I84" s="2">
        <f t="shared" si="48"/>
        <v>7563543.7084120493</v>
      </c>
      <c r="J84" s="2">
        <f t="shared" si="49"/>
        <v>2269063.1125236149</v>
      </c>
      <c r="K84" s="2">
        <f t="shared" si="41"/>
        <v>120743736.88747638</v>
      </c>
      <c r="L84" s="2">
        <f t="shared" si="47"/>
        <v>32600808.959618624</v>
      </c>
      <c r="M84" s="2">
        <f t="shared" si="46"/>
        <v>90411991.040381372</v>
      </c>
      <c r="N84" s="2">
        <f t="shared" si="38"/>
        <v>7746380.6344624516</v>
      </c>
      <c r="P84">
        <v>81</v>
      </c>
      <c r="Q84" s="3">
        <f t="shared" si="37"/>
        <v>335332800</v>
      </c>
      <c r="R84" s="6">
        <f>$C$13+$C$6*$A$18*$C$10+50*'Carbon Tax'!$B$6</f>
        <v>256018039.71138734</v>
      </c>
      <c r="S84" s="3">
        <f t="shared" si="39"/>
        <v>79314760.288612664</v>
      </c>
      <c r="T84" s="7">
        <f t="shared" si="36"/>
        <v>276032.94045492203</v>
      </c>
      <c r="U84" s="7">
        <f t="shared" si="35"/>
        <v>69008.235113730509</v>
      </c>
      <c r="V84" s="7">
        <f t="shared" si="42"/>
        <v>79245752.053498939</v>
      </c>
      <c r="W84" s="7">
        <f t="shared" si="44"/>
        <v>21396353.054444715</v>
      </c>
      <c r="X84" s="11">
        <f t="shared" si="45"/>
        <v>57918407.234167948</v>
      </c>
      <c r="Y84" s="7">
        <f t="shared" si="40"/>
        <v>4962373.0548891583</v>
      </c>
      <c r="AA84" s="2">
        <f t="shared" si="43"/>
        <v>32493583.806213424</v>
      </c>
    </row>
    <row r="85" spans="5:27">
      <c r="E85">
        <v>82</v>
      </c>
      <c r="F85" s="2">
        <f t="shared" ref="F85:F102" si="52">$B$11</f>
        <v>142612800</v>
      </c>
      <c r="G85" s="2">
        <f t="shared" ref="G85:G101" si="53">$B$13</f>
        <v>19600000</v>
      </c>
      <c r="H85" s="2">
        <f t="shared" si="26"/>
        <v>123012800</v>
      </c>
      <c r="I85" s="2">
        <f t="shared" si="48"/>
        <v>5294480.595888434</v>
      </c>
      <c r="J85" s="2">
        <f t="shared" si="49"/>
        <v>1588344.1787665302</v>
      </c>
      <c r="K85" s="2">
        <f t="shared" si="41"/>
        <v>121424455.82123347</v>
      </c>
      <c r="L85" s="2">
        <f t="shared" si="47"/>
        <v>32784603.071733039</v>
      </c>
      <c r="M85" s="2">
        <f t="shared" si="46"/>
        <v>90228196.928266957</v>
      </c>
      <c r="N85" s="2">
        <f t="shared" si="38"/>
        <v>7499644.3503624042</v>
      </c>
      <c r="P85">
        <v>82</v>
      </c>
      <c r="Q85" s="3">
        <f t="shared" si="37"/>
        <v>335332800</v>
      </c>
      <c r="R85" s="6">
        <f>$C$13+$C$6*$A$18*$C$10+50*'Carbon Tax'!$B$6</f>
        <v>256018039.71138734</v>
      </c>
      <c r="S85" s="3">
        <f t="shared" si="39"/>
        <v>79314760.288612664</v>
      </c>
      <c r="T85" s="7">
        <f t="shared" si="36"/>
        <v>207024.70534119153</v>
      </c>
      <c r="U85" s="7">
        <f t="shared" si="35"/>
        <v>51756.176335297881</v>
      </c>
      <c r="V85" s="7">
        <f t="shared" si="42"/>
        <v>79263004.112277359</v>
      </c>
      <c r="W85" s="7">
        <f t="shared" si="44"/>
        <v>21401011.110314887</v>
      </c>
      <c r="X85" s="11">
        <f t="shared" si="45"/>
        <v>57913749.178297773</v>
      </c>
      <c r="Y85" s="7">
        <f t="shared" si="40"/>
        <v>4813711.64026062</v>
      </c>
      <c r="AA85" s="2">
        <f t="shared" si="43"/>
        <v>32314447.749969184</v>
      </c>
    </row>
    <row r="86" spans="5:27">
      <c r="E86">
        <v>83</v>
      </c>
      <c r="F86" s="2">
        <f t="shared" si="52"/>
        <v>142612800</v>
      </c>
      <c r="G86" s="2">
        <f t="shared" si="53"/>
        <v>19600000</v>
      </c>
      <c r="H86" s="2">
        <f t="shared" si="26"/>
        <v>123012800</v>
      </c>
      <c r="I86" s="2">
        <f t="shared" si="48"/>
        <v>3706136.417121904</v>
      </c>
      <c r="J86" s="2">
        <f t="shared" si="49"/>
        <v>1111840.9251365711</v>
      </c>
      <c r="K86" s="2">
        <f t="shared" si="41"/>
        <v>121900959.07486343</v>
      </c>
      <c r="L86" s="2">
        <f t="shared" si="47"/>
        <v>32913258.950213131</v>
      </c>
      <c r="M86" s="2">
        <f t="shared" si="46"/>
        <v>90099541.049786866</v>
      </c>
      <c r="N86" s="2">
        <f t="shared" si="38"/>
        <v>7265183.0128711527</v>
      </c>
      <c r="P86">
        <v>83</v>
      </c>
      <c r="Q86" s="3">
        <f t="shared" si="37"/>
        <v>335332800</v>
      </c>
      <c r="R86" s="6">
        <f>$C$13+$C$6*$A$18*$C$10+50*'Carbon Tax'!$B$6</f>
        <v>256018039.71138734</v>
      </c>
      <c r="S86" s="3">
        <f t="shared" si="39"/>
        <v>79314760.288612664</v>
      </c>
      <c r="T86" s="7">
        <f t="shared" si="36"/>
        <v>155268.52900589365</v>
      </c>
      <c r="U86" s="7">
        <f t="shared" si="35"/>
        <v>38817.132251473413</v>
      </c>
      <c r="V86" s="7">
        <f t="shared" si="42"/>
        <v>79275943.156361192</v>
      </c>
      <c r="W86" s="7">
        <f t="shared" si="44"/>
        <v>21404504.652217522</v>
      </c>
      <c r="X86" s="11">
        <f t="shared" si="45"/>
        <v>57910255.636395141</v>
      </c>
      <c r="Y86" s="7">
        <f t="shared" si="40"/>
        <v>4669597.6540888185</v>
      </c>
      <c r="AA86" s="2">
        <f t="shared" si="43"/>
        <v>32189285.413391724</v>
      </c>
    </row>
    <row r="87" spans="5:27">
      <c r="E87">
        <v>84</v>
      </c>
      <c r="F87" s="2">
        <f t="shared" si="52"/>
        <v>142612800</v>
      </c>
      <c r="G87" s="2">
        <f t="shared" si="53"/>
        <v>19600000</v>
      </c>
      <c r="H87" s="2">
        <f t="shared" si="26"/>
        <v>123012800</v>
      </c>
      <c r="I87" s="2">
        <f t="shared" si="48"/>
        <v>2594295.4919853332</v>
      </c>
      <c r="J87" s="2">
        <f t="shared" si="49"/>
        <v>778288.64759559988</v>
      </c>
      <c r="K87" s="2">
        <f t="shared" si="41"/>
        <v>122234511.3524044</v>
      </c>
      <c r="L87" s="2">
        <f t="shared" si="47"/>
        <v>33003318.065149192</v>
      </c>
      <c r="M87" s="2">
        <f t="shared" si="46"/>
        <v>90009481.934850812</v>
      </c>
      <c r="N87" s="2">
        <f t="shared" si="38"/>
        <v>7041056.5479442067</v>
      </c>
      <c r="P87">
        <v>84</v>
      </c>
      <c r="Q87" s="3">
        <f t="shared" si="37"/>
        <v>335332800</v>
      </c>
      <c r="R87" s="6">
        <f>$C$13+$C$6*$A$18*$C$10+50*'Carbon Tax'!$B$6</f>
        <v>256018039.71138734</v>
      </c>
      <c r="S87" s="3">
        <f t="shared" si="39"/>
        <v>79314760.288612664</v>
      </c>
      <c r="T87" s="7">
        <f t="shared" si="36"/>
        <v>116451.39675442025</v>
      </c>
      <c r="U87" s="7">
        <f t="shared" si="35"/>
        <v>29112.849188605061</v>
      </c>
      <c r="V87" s="7">
        <f t="shared" si="42"/>
        <v>79285647.439424053</v>
      </c>
      <c r="W87" s="7">
        <f t="shared" si="44"/>
        <v>21407124.808644496</v>
      </c>
      <c r="X87" s="11">
        <f t="shared" si="45"/>
        <v>57907635.479968168</v>
      </c>
      <c r="Y87" s="7">
        <f t="shared" si="40"/>
        <v>4529866.4897028655</v>
      </c>
      <c r="AA87" s="2">
        <f t="shared" si="43"/>
        <v>32101846.454882644</v>
      </c>
    </row>
    <row r="88" spans="5:27">
      <c r="E88">
        <v>85</v>
      </c>
      <c r="F88" s="2">
        <f t="shared" si="52"/>
        <v>142612800</v>
      </c>
      <c r="G88" s="2">
        <f t="shared" si="53"/>
        <v>19600000</v>
      </c>
      <c r="H88" s="2">
        <f t="shared" si="26"/>
        <v>123012800</v>
      </c>
      <c r="I88" s="2">
        <f t="shared" si="48"/>
        <v>1816006.8443897334</v>
      </c>
      <c r="J88" s="2">
        <f t="shared" si="49"/>
        <v>544802.05331691995</v>
      </c>
      <c r="K88" s="2">
        <f t="shared" si="41"/>
        <v>122467997.94668308</v>
      </c>
      <c r="L88" s="2">
        <f t="shared" si="47"/>
        <v>33066359.445604432</v>
      </c>
      <c r="M88" s="2">
        <f t="shared" si="46"/>
        <v>89946440.554395571</v>
      </c>
      <c r="N88" s="2">
        <f t="shared" si="38"/>
        <v>6825887.7479206063</v>
      </c>
      <c r="P88">
        <v>85</v>
      </c>
      <c r="Q88" s="3">
        <f t="shared" si="37"/>
        <v>335332800</v>
      </c>
      <c r="R88" s="6">
        <f>$C$13+$C$6*$A$18*$C$10+50*'Carbon Tax'!$B$6</f>
        <v>256018039.71138734</v>
      </c>
      <c r="S88" s="3">
        <f t="shared" si="39"/>
        <v>79314760.288612664</v>
      </c>
      <c r="T88" s="7">
        <f t="shared" si="36"/>
        <v>87338.547565815184</v>
      </c>
      <c r="U88" s="7">
        <f t="shared" si="35"/>
        <v>21834.636891453796</v>
      </c>
      <c r="V88" s="7">
        <f t="shared" si="42"/>
        <v>79292925.651721209</v>
      </c>
      <c r="W88" s="7">
        <f t="shared" si="44"/>
        <v>21409089.925964728</v>
      </c>
      <c r="X88" s="11">
        <f t="shared" si="45"/>
        <v>57905670.362647936</v>
      </c>
      <c r="Y88" s="7">
        <f t="shared" si="40"/>
        <v>4394366.2853950718</v>
      </c>
      <c r="AA88" s="2">
        <f t="shared" si="43"/>
        <v>32040770.191747636</v>
      </c>
    </row>
    <row r="89" spans="5:27">
      <c r="E89">
        <v>86</v>
      </c>
      <c r="F89" s="2">
        <f t="shared" si="52"/>
        <v>142612800</v>
      </c>
      <c r="G89" s="2">
        <f t="shared" si="53"/>
        <v>19600000</v>
      </c>
      <c r="H89" s="2">
        <f t="shared" si="26"/>
        <v>123012800</v>
      </c>
      <c r="I89" s="2">
        <f t="shared" si="48"/>
        <v>1271204.7910728133</v>
      </c>
      <c r="J89" s="2">
        <f t="shared" si="49"/>
        <v>381361.43732184399</v>
      </c>
      <c r="K89" s="2">
        <f t="shared" si="41"/>
        <v>122631438.56267816</v>
      </c>
      <c r="L89" s="2">
        <f t="shared" si="47"/>
        <v>33110488.411923107</v>
      </c>
      <c r="M89" s="2">
        <f t="shared" si="46"/>
        <v>89902311.58807689</v>
      </c>
      <c r="N89" s="2">
        <f t="shared" si="38"/>
        <v>6618683.4236456286</v>
      </c>
      <c r="P89">
        <v>86</v>
      </c>
      <c r="Q89" s="3">
        <f t="shared" si="37"/>
        <v>335332800</v>
      </c>
      <c r="R89" s="6">
        <f>$C$13+$C$6*$A$18*$C$10+50*'Carbon Tax'!$B$6</f>
        <v>256018039.71138734</v>
      </c>
      <c r="S89" s="3">
        <f t="shared" si="39"/>
        <v>79314760.288612664</v>
      </c>
      <c r="T89" s="7">
        <f t="shared" si="36"/>
        <v>65503.910674361388</v>
      </c>
      <c r="U89" s="7">
        <f t="shared" si="35"/>
        <v>16375.977668590347</v>
      </c>
      <c r="V89" s="7">
        <f t="shared" si="42"/>
        <v>79298384.31094408</v>
      </c>
      <c r="W89" s="7">
        <f t="shared" si="44"/>
        <v>21410563.763954904</v>
      </c>
      <c r="X89" s="11">
        <f t="shared" si="45"/>
        <v>57904196.524657756</v>
      </c>
      <c r="Y89" s="7">
        <f t="shared" si="40"/>
        <v>4262955.4115725188</v>
      </c>
      <c r="AA89" s="2">
        <f t="shared" si="43"/>
        <v>31998115.063419133</v>
      </c>
    </row>
    <row r="90" spans="5:27">
      <c r="E90">
        <v>87</v>
      </c>
      <c r="F90" s="2">
        <f t="shared" si="52"/>
        <v>142612800</v>
      </c>
      <c r="G90" s="2">
        <f t="shared" si="53"/>
        <v>19600000</v>
      </c>
      <c r="H90" s="2">
        <f t="shared" si="26"/>
        <v>123012800</v>
      </c>
      <c r="I90" s="2">
        <f t="shared" si="48"/>
        <v>889843.35375096928</v>
      </c>
      <c r="J90" s="2">
        <f t="shared" si="49"/>
        <v>266953.00612529076</v>
      </c>
      <c r="K90" s="2">
        <f t="shared" si="41"/>
        <v>122745846.99387471</v>
      </c>
      <c r="L90" s="2">
        <f t="shared" si="47"/>
        <v>33141378.688346174</v>
      </c>
      <c r="M90" s="2">
        <f t="shared" si="46"/>
        <v>89871421.311653823</v>
      </c>
      <c r="N90" s="2">
        <f t="shared" si="38"/>
        <v>6418712.8983716294</v>
      </c>
      <c r="P90">
        <v>87</v>
      </c>
      <c r="Q90" s="3">
        <f t="shared" si="37"/>
        <v>335332800</v>
      </c>
      <c r="R90" s="6">
        <f>$C$13+$C$6*$A$18*$C$10+50*'Carbon Tax'!$B$6</f>
        <v>256018039.71138734</v>
      </c>
      <c r="S90" s="3">
        <f t="shared" si="39"/>
        <v>79314760.288612664</v>
      </c>
      <c r="T90" s="7">
        <f t="shared" si="36"/>
        <v>49127.933005771039</v>
      </c>
      <c r="U90" s="7">
        <f t="shared" si="35"/>
        <v>12281.98325144276</v>
      </c>
      <c r="V90" s="7">
        <f t="shared" si="42"/>
        <v>79302478.305361226</v>
      </c>
      <c r="W90" s="7">
        <f t="shared" si="44"/>
        <v>21411669.142447531</v>
      </c>
      <c r="X90" s="11">
        <f t="shared" si="45"/>
        <v>57903091.146165133</v>
      </c>
      <c r="Y90" s="7">
        <f t="shared" si="40"/>
        <v>4135500.613778363</v>
      </c>
      <c r="AA90" s="2">
        <f t="shared" si="43"/>
        <v>31968330.16548869</v>
      </c>
    </row>
    <row r="91" spans="5:27">
      <c r="E91">
        <v>88</v>
      </c>
      <c r="F91" s="2">
        <f t="shared" si="52"/>
        <v>142612800</v>
      </c>
      <c r="G91" s="2">
        <f t="shared" si="53"/>
        <v>19600000</v>
      </c>
      <c r="H91" s="2">
        <f t="shared" si="26"/>
        <v>123012800</v>
      </c>
      <c r="I91" s="2">
        <f t="shared" si="48"/>
        <v>622890.34762567852</v>
      </c>
      <c r="J91" s="2">
        <f t="shared" si="49"/>
        <v>186867.10428770355</v>
      </c>
      <c r="K91" s="2">
        <f t="shared" si="41"/>
        <v>122825932.8957123</v>
      </c>
      <c r="L91" s="2">
        <f t="shared" si="47"/>
        <v>33163001.881842323</v>
      </c>
      <c r="M91" s="2">
        <f t="shared" si="46"/>
        <v>89849798.118157685</v>
      </c>
      <c r="N91" s="2">
        <f t="shared" si="38"/>
        <v>6225425.443148246</v>
      </c>
      <c r="P91">
        <v>88</v>
      </c>
      <c r="Q91" s="3">
        <f t="shared" si="37"/>
        <v>335332800</v>
      </c>
      <c r="R91" s="6">
        <f>$C$13+$C$6*$A$18*$C$10+50*'Carbon Tax'!$B$6</f>
        <v>256018039.71138734</v>
      </c>
      <c r="S91" s="3">
        <f t="shared" si="39"/>
        <v>79314760.288612664</v>
      </c>
      <c r="T91" s="7">
        <f t="shared" si="36"/>
        <v>36845.949754328278</v>
      </c>
      <c r="U91" s="7">
        <f t="shared" ref="U91:U112" si="54">T91*$B$29</f>
        <v>9211.4874385820694</v>
      </c>
      <c r="V91" s="7">
        <f t="shared" si="42"/>
        <v>79305548.801174074</v>
      </c>
      <c r="W91" s="7">
        <f t="shared" si="44"/>
        <v>21412498.176317003</v>
      </c>
      <c r="X91" s="11">
        <f t="shared" si="45"/>
        <v>57902262.112295657</v>
      </c>
      <c r="Y91" s="7">
        <f t="shared" si="40"/>
        <v>4011875.6337737138</v>
      </c>
      <c r="AA91" s="2">
        <f t="shared" si="43"/>
        <v>31947536.005862027</v>
      </c>
    </row>
    <row r="92" spans="5:27">
      <c r="E92">
        <v>89</v>
      </c>
      <c r="F92" s="2">
        <f t="shared" si="52"/>
        <v>142612800</v>
      </c>
      <c r="G92" s="2">
        <f t="shared" si="53"/>
        <v>19600000</v>
      </c>
      <c r="H92" s="2">
        <f t="shared" si="26"/>
        <v>123012800</v>
      </c>
      <c r="I92" s="2">
        <f t="shared" si="48"/>
        <v>436023.243337975</v>
      </c>
      <c r="J92" s="2">
        <f t="shared" si="49"/>
        <v>130806.9730013925</v>
      </c>
      <c r="K92" s="2">
        <f t="shared" si="41"/>
        <v>122881993.02699861</v>
      </c>
      <c r="L92" s="2">
        <f t="shared" si="47"/>
        <v>33178138.117289625</v>
      </c>
      <c r="M92" s="2">
        <f t="shared" si="46"/>
        <v>89834661.882710367</v>
      </c>
      <c r="N92" s="2">
        <f t="shared" si="38"/>
        <v>6038394.1583089503</v>
      </c>
      <c r="P92">
        <v>89</v>
      </c>
      <c r="Q92" s="3">
        <f t="shared" si="37"/>
        <v>335332800</v>
      </c>
      <c r="R92" s="6">
        <f>$C$13+$C$6*$A$18*$C$10+50*'Carbon Tax'!$B$6</f>
        <v>256018039.71138734</v>
      </c>
      <c r="S92" s="3">
        <f t="shared" si="39"/>
        <v>79314760.288612664</v>
      </c>
      <c r="T92" s="7">
        <f t="shared" si="36"/>
        <v>27634.462315746208</v>
      </c>
      <c r="U92" s="7">
        <f t="shared" si="54"/>
        <v>6908.6155789365521</v>
      </c>
      <c r="V92" s="7">
        <f t="shared" si="42"/>
        <v>79307851.673033729</v>
      </c>
      <c r="W92" s="7">
        <f t="shared" si="44"/>
        <v>21413119.951719109</v>
      </c>
      <c r="X92" s="11">
        <f t="shared" si="45"/>
        <v>57901640.336893559</v>
      </c>
      <c r="Y92" s="7">
        <f t="shared" si="40"/>
        <v>3891960.1792823635</v>
      </c>
      <c r="AA92" s="2">
        <f t="shared" si="43"/>
        <v>31933021.545816809</v>
      </c>
    </row>
    <row r="93" spans="5:27">
      <c r="E93">
        <v>90</v>
      </c>
      <c r="F93" s="2">
        <f t="shared" si="52"/>
        <v>142612800</v>
      </c>
      <c r="G93" s="2">
        <f t="shared" si="53"/>
        <v>19600000</v>
      </c>
      <c r="H93" s="2">
        <f t="shared" si="26"/>
        <v>123012800</v>
      </c>
      <c r="I93" s="2">
        <f t="shared" si="48"/>
        <v>305216.2703365825</v>
      </c>
      <c r="J93" s="2">
        <f t="shared" si="49"/>
        <v>91564.881100974744</v>
      </c>
      <c r="K93" s="2">
        <f t="shared" si="41"/>
        <v>122921235.11889903</v>
      </c>
      <c r="L93" s="2">
        <f t="shared" si="47"/>
        <v>33188733.482102741</v>
      </c>
      <c r="M93" s="2">
        <f t="shared" si="46"/>
        <v>89824066.517897263</v>
      </c>
      <c r="N93" s="2">
        <f t="shared" si="38"/>
        <v>5857277.8155835774</v>
      </c>
      <c r="P93">
        <v>90</v>
      </c>
      <c r="Q93" s="3">
        <f t="shared" si="37"/>
        <v>335332800</v>
      </c>
      <c r="R93" s="6">
        <f>$C$13+$C$6*$A$18*$C$10+50*'Carbon Tax'!$B$6</f>
        <v>256018039.71138734</v>
      </c>
      <c r="S93" s="3">
        <f t="shared" si="39"/>
        <v>79314760.288612664</v>
      </c>
      <c r="T93" s="7">
        <f t="shared" si="36"/>
        <v>20725.846736809657</v>
      </c>
      <c r="U93" s="7">
        <f t="shared" si="54"/>
        <v>5181.4616842024143</v>
      </c>
      <c r="V93" s="7">
        <f t="shared" si="42"/>
        <v>79309578.826928467</v>
      </c>
      <c r="W93" s="7">
        <f t="shared" si="44"/>
        <v>21413586.283270687</v>
      </c>
      <c r="X93" s="11">
        <f t="shared" si="45"/>
        <v>57901174.005341977</v>
      </c>
      <c r="Y93" s="7">
        <f t="shared" si="40"/>
        <v>3775639.148224941</v>
      </c>
      <c r="AA93" s="2">
        <f t="shared" si="43"/>
        <v>31922892.512555286</v>
      </c>
    </row>
    <row r="94" spans="5:27">
      <c r="E94">
        <v>91</v>
      </c>
      <c r="F94" s="2">
        <f t="shared" si="52"/>
        <v>142612800</v>
      </c>
      <c r="G94" s="2">
        <f t="shared" si="53"/>
        <v>19600000</v>
      </c>
      <c r="H94" s="2">
        <f t="shared" si="26"/>
        <v>123012800</v>
      </c>
      <c r="I94" s="2">
        <f t="shared" si="48"/>
        <v>213651.38923560776</v>
      </c>
      <c r="J94" s="2">
        <f t="shared" si="49"/>
        <v>64095.416770682321</v>
      </c>
      <c r="K94" s="2">
        <f t="shared" si="41"/>
        <v>122948704.58322932</v>
      </c>
      <c r="L94" s="2">
        <f t="shared" si="47"/>
        <v>33196150.23747192</v>
      </c>
      <c r="M94" s="2">
        <f t="shared" si="46"/>
        <v>89816649.762528077</v>
      </c>
      <c r="N94" s="2">
        <f t="shared" si="38"/>
        <v>5681794.8984432118</v>
      </c>
      <c r="P94">
        <v>91</v>
      </c>
      <c r="Q94" s="3">
        <f t="shared" si="37"/>
        <v>335332800</v>
      </c>
      <c r="R94" s="6">
        <f>$C$13+$C$6*$A$18*$C$10+50*'Carbon Tax'!$B$6</f>
        <v>256018039.71138734</v>
      </c>
      <c r="S94" s="3">
        <f t="shared" si="39"/>
        <v>79314760.288612664</v>
      </c>
      <c r="T94" s="7">
        <f t="shared" si="36"/>
        <v>15544.385052607242</v>
      </c>
      <c r="U94" s="7">
        <f t="shared" si="54"/>
        <v>3886.0962631518105</v>
      </c>
      <c r="V94" s="7">
        <f t="shared" si="42"/>
        <v>79310874.192349508</v>
      </c>
      <c r="W94" s="7">
        <f t="shared" si="44"/>
        <v>21413936.031934369</v>
      </c>
      <c r="X94" s="11">
        <f t="shared" si="45"/>
        <v>57900824.256678298</v>
      </c>
      <c r="Y94" s="7">
        <f t="shared" si="40"/>
        <v>3662802.0388988494</v>
      </c>
      <c r="AA94" s="2">
        <f t="shared" si="43"/>
        <v>31915825.505849779</v>
      </c>
    </row>
    <row r="95" spans="5:27">
      <c r="E95">
        <v>92</v>
      </c>
      <c r="F95" s="2">
        <f t="shared" si="52"/>
        <v>142612800</v>
      </c>
      <c r="G95" s="2">
        <f t="shared" si="53"/>
        <v>19600000</v>
      </c>
      <c r="H95" s="2">
        <f t="shared" si="26"/>
        <v>123012800</v>
      </c>
      <c r="I95" s="2">
        <f t="shared" si="48"/>
        <v>149555.97246492543</v>
      </c>
      <c r="J95" s="2">
        <f t="shared" si="49"/>
        <v>44866.79173947763</v>
      </c>
      <c r="K95" s="2">
        <f t="shared" si="41"/>
        <v>122967933.20826052</v>
      </c>
      <c r="L95" s="2">
        <f t="shared" si="47"/>
        <v>33201341.966230344</v>
      </c>
      <c r="M95" s="2">
        <f t="shared" si="46"/>
        <v>89811458.033769652</v>
      </c>
      <c r="N95" s="2">
        <f t="shared" si="38"/>
        <v>5511705.9274834143</v>
      </c>
      <c r="P95">
        <v>92</v>
      </c>
      <c r="Q95" s="3">
        <f t="shared" si="37"/>
        <v>335332800</v>
      </c>
      <c r="R95" s="6">
        <f>$C$13+$C$6*$A$18*$C$10+50*'Carbon Tax'!$B$6</f>
        <v>256018039.71138734</v>
      </c>
      <c r="S95" s="3">
        <f t="shared" si="39"/>
        <v>79314760.288612664</v>
      </c>
      <c r="T95" s="7">
        <f t="shared" si="36"/>
        <v>11658.288789455431</v>
      </c>
      <c r="U95" s="7">
        <f t="shared" si="54"/>
        <v>2914.5721973638579</v>
      </c>
      <c r="V95" s="7">
        <f t="shared" si="42"/>
        <v>79311845.716415301</v>
      </c>
      <c r="W95" s="7">
        <f t="shared" si="44"/>
        <v>21414198.343432132</v>
      </c>
      <c r="X95" s="11">
        <f t="shared" si="45"/>
        <v>57900561.945180535</v>
      </c>
      <c r="Y95" s="7">
        <f t="shared" si="40"/>
        <v>3553342.4962088577</v>
      </c>
      <c r="AA95" s="2">
        <f t="shared" si="43"/>
        <v>31910896.088589117</v>
      </c>
    </row>
    <row r="96" spans="5:27">
      <c r="E96">
        <v>93</v>
      </c>
      <c r="F96" s="2">
        <f t="shared" si="52"/>
        <v>142612800</v>
      </c>
      <c r="G96" s="2">
        <f t="shared" si="53"/>
        <v>19600000</v>
      </c>
      <c r="H96" s="2">
        <f t="shared" si="26"/>
        <v>123012800</v>
      </c>
      <c r="I96" s="2">
        <f t="shared" si="48"/>
        <v>104689.1807254478</v>
      </c>
      <c r="J96" s="2">
        <f t="shared" si="49"/>
        <v>31406.754217634341</v>
      </c>
      <c r="K96" s="2">
        <f t="shared" si="41"/>
        <v>122981393.24578236</v>
      </c>
      <c r="L96" s="2">
        <f t="shared" si="47"/>
        <v>33204976.17636124</v>
      </c>
      <c r="M96" s="2">
        <f t="shared" si="46"/>
        <v>89807823.823638767</v>
      </c>
      <c r="N96" s="2">
        <f t="shared" si="38"/>
        <v>5346801.4134153798</v>
      </c>
      <c r="P96">
        <v>93</v>
      </c>
      <c r="Q96" s="3">
        <f t="shared" si="37"/>
        <v>335332800</v>
      </c>
      <c r="R96" s="6">
        <f>$C$13+$C$6*$A$18*$C$10+50*'Carbon Tax'!$B$6</f>
        <v>256018039.71138734</v>
      </c>
      <c r="S96" s="3">
        <f t="shared" si="39"/>
        <v>79314760.288612664</v>
      </c>
      <c r="T96" s="7">
        <f t="shared" si="36"/>
        <v>8743.7165920915741</v>
      </c>
      <c r="U96" s="7">
        <f t="shared" si="54"/>
        <v>2185.9291480228935</v>
      </c>
      <c r="V96" s="7">
        <f t="shared" si="42"/>
        <v>79312574.359464645</v>
      </c>
      <c r="W96" s="7">
        <f t="shared" si="44"/>
        <v>21414395.077055454</v>
      </c>
      <c r="X96" s="11">
        <f t="shared" si="45"/>
        <v>57900365.211557209</v>
      </c>
      <c r="Y96" s="7">
        <f t="shared" si="40"/>
        <v>3447157.9576225542</v>
      </c>
      <c r="AA96" s="2">
        <f t="shared" si="43"/>
        <v>31907458.612081558</v>
      </c>
    </row>
    <row r="97" spans="5:27">
      <c r="E97">
        <v>94</v>
      </c>
      <c r="F97" s="2">
        <f t="shared" si="52"/>
        <v>142612800</v>
      </c>
      <c r="G97" s="2">
        <f t="shared" si="53"/>
        <v>19600000</v>
      </c>
      <c r="H97" s="2">
        <f t="shared" si="26"/>
        <v>123012800</v>
      </c>
      <c r="I97" s="2">
        <f t="shared" si="48"/>
        <v>73282.426507813463</v>
      </c>
      <c r="J97" s="2">
        <f t="shared" si="49"/>
        <v>21984.727952344037</v>
      </c>
      <c r="K97" s="2">
        <f t="shared" si="41"/>
        <v>122990815.27204765</v>
      </c>
      <c r="L97" s="2">
        <f t="shared" si="47"/>
        <v>33207520.123452868</v>
      </c>
      <c r="M97" s="2">
        <f t="shared" si="46"/>
        <v>89805279.876547128</v>
      </c>
      <c r="N97" s="2">
        <f t="shared" si="38"/>
        <v>5186893.6330050584</v>
      </c>
      <c r="P97">
        <v>94</v>
      </c>
      <c r="Q97" s="3">
        <f t="shared" si="37"/>
        <v>335332800</v>
      </c>
      <c r="R97" s="6">
        <f>$C$13+$C$6*$A$18*$C$10+50*'Carbon Tax'!$B$6</f>
        <v>256018039.71138734</v>
      </c>
      <c r="S97" s="3">
        <f t="shared" si="39"/>
        <v>79314760.288612664</v>
      </c>
      <c r="T97" s="7">
        <f t="shared" si="36"/>
        <v>6557.787444068681</v>
      </c>
      <c r="U97" s="7">
        <f t="shared" si="54"/>
        <v>1639.4468610171702</v>
      </c>
      <c r="V97" s="7">
        <f t="shared" si="42"/>
        <v>79313120.84175165</v>
      </c>
      <c r="W97" s="7">
        <f t="shared" si="44"/>
        <v>21414542.627272949</v>
      </c>
      <c r="X97" s="11">
        <f t="shared" si="45"/>
        <v>57900217.661339715</v>
      </c>
      <c r="Y97" s="7">
        <f t="shared" si="40"/>
        <v>3344149.3723983136</v>
      </c>
      <c r="AA97" s="2">
        <f t="shared" si="43"/>
        <v>31905062.215207413</v>
      </c>
    </row>
    <row r="98" spans="5:27">
      <c r="E98">
        <v>95</v>
      </c>
      <c r="F98" s="2">
        <f t="shared" si="52"/>
        <v>142612800</v>
      </c>
      <c r="G98" s="2">
        <f t="shared" si="53"/>
        <v>19600000</v>
      </c>
      <c r="H98" s="2">
        <f t="shared" si="26"/>
        <v>123012800</v>
      </c>
      <c r="I98" s="2">
        <f t="shared" si="48"/>
        <v>51297.698555469426</v>
      </c>
      <c r="J98" s="2">
        <f t="shared" si="49"/>
        <v>15389.309566640826</v>
      </c>
      <c r="K98" s="2">
        <f t="shared" si="41"/>
        <v>122997410.69043335</v>
      </c>
      <c r="L98" s="2">
        <f t="shared" si="47"/>
        <v>33209300.886417009</v>
      </c>
      <c r="M98" s="2">
        <f t="shared" si="46"/>
        <v>89803499.113582999</v>
      </c>
      <c r="N98" s="2">
        <f t="shared" si="38"/>
        <v>5031811.0024045389</v>
      </c>
      <c r="P98">
        <v>95</v>
      </c>
      <c r="Q98" s="3">
        <f t="shared" si="37"/>
        <v>335332800</v>
      </c>
      <c r="R98" s="6">
        <f>$C$13+$C$6*$A$18*$C$10+50*'Carbon Tax'!$B$6</f>
        <v>256018039.71138734</v>
      </c>
      <c r="S98" s="3">
        <f t="shared" si="39"/>
        <v>79314760.288612664</v>
      </c>
      <c r="T98" s="7">
        <f t="shared" si="36"/>
        <v>4918.3405830515112</v>
      </c>
      <c r="U98" s="7">
        <f t="shared" si="54"/>
        <v>1229.5851457628778</v>
      </c>
      <c r="V98" s="7">
        <f t="shared" si="42"/>
        <v>79313530.703466907</v>
      </c>
      <c r="W98" s="7">
        <f t="shared" si="44"/>
        <v>21414653.289936066</v>
      </c>
      <c r="X98" s="11">
        <f t="shared" si="45"/>
        <v>57900106.998676598</v>
      </c>
      <c r="Y98" s="7">
        <f t="shared" si="40"/>
        <v>3244220.9748180592</v>
      </c>
      <c r="AA98" s="2">
        <f t="shared" si="43"/>
        <v>31903392.1149064</v>
      </c>
    </row>
    <row r="99" spans="5:27">
      <c r="E99">
        <v>96</v>
      </c>
      <c r="F99" s="2">
        <f t="shared" si="52"/>
        <v>142612800</v>
      </c>
      <c r="G99" s="2">
        <f t="shared" si="53"/>
        <v>19600000</v>
      </c>
      <c r="H99" s="2">
        <f t="shared" si="26"/>
        <v>123012800</v>
      </c>
      <c r="I99" s="2">
        <f t="shared" si="48"/>
        <v>35908.388988828599</v>
      </c>
      <c r="J99" s="2">
        <f t="shared" si="49"/>
        <v>10772.516696648579</v>
      </c>
      <c r="K99" s="2">
        <f t="shared" si="41"/>
        <v>123002027.48330335</v>
      </c>
      <c r="L99" s="2">
        <f t="shared" si="47"/>
        <v>33210547.420491908</v>
      </c>
      <c r="M99" s="2">
        <f t="shared" si="46"/>
        <v>89802252.579508096</v>
      </c>
      <c r="N99" s="2">
        <f t="shared" ref="N99:N130" si="55">M99/((1+$B$16)^E99)</f>
        <v>4881394.2155815801</v>
      </c>
      <c r="P99">
        <v>96</v>
      </c>
      <c r="Q99" s="3">
        <f t="shared" si="37"/>
        <v>335332800</v>
      </c>
      <c r="R99" s="6">
        <f>$C$13+$C$6*$A$18*$C$10+50*'Carbon Tax'!$B$6</f>
        <v>256018039.71138734</v>
      </c>
      <c r="S99" s="3">
        <f t="shared" si="39"/>
        <v>79314760.288612664</v>
      </c>
      <c r="T99" s="7">
        <f t="shared" si="36"/>
        <v>3688.7554372886334</v>
      </c>
      <c r="U99" s="7">
        <f t="shared" si="54"/>
        <v>922.18885932215835</v>
      </c>
      <c r="V99" s="7">
        <f t="shared" si="42"/>
        <v>79313838.099753335</v>
      </c>
      <c r="W99" s="7">
        <f t="shared" si="44"/>
        <v>21414736.286933403</v>
      </c>
      <c r="X99" s="11">
        <f t="shared" si="45"/>
        <v>57900024.001679257</v>
      </c>
      <c r="Y99" s="7">
        <f t="shared" ref="Y99:Y130" si="56">X99/((1+$B$16)^P99)</f>
        <v>3147280.0973850577</v>
      </c>
      <c r="AA99" s="2">
        <f t="shared" si="43"/>
        <v>31902228.577828839</v>
      </c>
    </row>
    <row r="100" spans="5:27">
      <c r="E100">
        <v>97</v>
      </c>
      <c r="F100" s="2">
        <f t="shared" si="52"/>
        <v>142612800</v>
      </c>
      <c r="G100" s="2">
        <f t="shared" si="53"/>
        <v>19600000</v>
      </c>
      <c r="H100" s="2">
        <f t="shared" si="26"/>
        <v>123012800</v>
      </c>
      <c r="I100" s="2">
        <f t="shared" si="48"/>
        <v>25135.872292180022</v>
      </c>
      <c r="J100" s="2">
        <f t="shared" si="49"/>
        <v>7540.761687654006</v>
      </c>
      <c r="K100" s="2">
        <f t="shared" si="41"/>
        <v>123005259.23831235</v>
      </c>
      <c r="L100" s="2">
        <f t="shared" si="47"/>
        <v>33211419.994344335</v>
      </c>
      <c r="M100" s="2">
        <f t="shared" si="46"/>
        <v>89801380.005655661</v>
      </c>
      <c r="N100" s="2">
        <f t="shared" si="55"/>
        <v>4735493.5826122388</v>
      </c>
      <c r="P100">
        <v>97</v>
      </c>
      <c r="Q100" s="3">
        <f t="shared" si="37"/>
        <v>335332800</v>
      </c>
      <c r="R100" s="6">
        <f>$C$13+$C$6*$A$18*$C$10+50*'Carbon Tax'!$B$6</f>
        <v>256018039.71138734</v>
      </c>
      <c r="S100" s="3">
        <f t="shared" si="39"/>
        <v>79314760.288612664</v>
      </c>
      <c r="T100" s="7">
        <f t="shared" si="36"/>
        <v>2766.5665779664751</v>
      </c>
      <c r="U100" s="7">
        <f t="shared" si="54"/>
        <v>691.64164449161876</v>
      </c>
      <c r="V100" s="7">
        <f t="shared" si="42"/>
        <v>79314068.646968171</v>
      </c>
      <c r="W100" s="7">
        <f t="shared" si="44"/>
        <v>21414798.534681406</v>
      </c>
      <c r="X100" s="11">
        <f t="shared" si="45"/>
        <v>57899961.753931254</v>
      </c>
      <c r="Y100" s="7">
        <f t="shared" si="56"/>
        <v>3053237.0137515422</v>
      </c>
      <c r="AA100" s="2">
        <f t="shared" si="43"/>
        <v>31901418.251724407</v>
      </c>
    </row>
    <row r="101" spans="5:27">
      <c r="E101">
        <v>98</v>
      </c>
      <c r="F101" s="2">
        <f t="shared" si="52"/>
        <v>142612800</v>
      </c>
      <c r="G101" s="2">
        <f t="shared" si="53"/>
        <v>19600000</v>
      </c>
      <c r="H101" s="2">
        <f t="shared" ref="H101:H164" si="57">$F101-$G101</f>
        <v>123012800</v>
      </c>
      <c r="I101" s="2">
        <f t="shared" si="48"/>
        <v>17595.110604526017</v>
      </c>
      <c r="J101" s="2">
        <f t="shared" si="49"/>
        <v>5278.533181357805</v>
      </c>
      <c r="K101" s="2">
        <f t="shared" si="41"/>
        <v>123007521.46681865</v>
      </c>
      <c r="L101" s="2">
        <f t="shared" si="47"/>
        <v>33212030.796041038</v>
      </c>
      <c r="M101" s="2">
        <f t="shared" si="46"/>
        <v>89800769.203958958</v>
      </c>
      <c r="N101" s="2">
        <f t="shared" si="55"/>
        <v>4593967.1839580694</v>
      </c>
      <c r="P101">
        <v>98</v>
      </c>
      <c r="Q101" s="3">
        <f t="shared" si="37"/>
        <v>335332800</v>
      </c>
      <c r="R101" s="6">
        <f>$C$13+$C$6*$A$18*$C$10+50*'Carbon Tax'!$B$6</f>
        <v>256018039.71138734</v>
      </c>
      <c r="S101" s="3">
        <f t="shared" si="39"/>
        <v>79314760.288612664</v>
      </c>
      <c r="T101" s="7">
        <f t="shared" si="36"/>
        <v>2074.9249334748565</v>
      </c>
      <c r="U101" s="7">
        <f t="shared" si="54"/>
        <v>518.73123336871413</v>
      </c>
      <c r="V101" s="7">
        <f t="shared" si="42"/>
        <v>79314241.55737929</v>
      </c>
      <c r="W101" s="7">
        <f t="shared" ref="W101:W132" si="58">IF(W100&lt;0,V101*$B$15+W100,V101*$B$15)</f>
        <v>21414845.220492411</v>
      </c>
      <c r="X101" s="11">
        <f t="shared" si="45"/>
        <v>57899915.068120256</v>
      </c>
      <c r="Y101" s="7">
        <f t="shared" si="56"/>
        <v>2962004.8039096007</v>
      </c>
      <c r="AA101" s="2">
        <f t="shared" si="43"/>
        <v>31900854.135838702</v>
      </c>
    </row>
    <row r="102" spans="5:27">
      <c r="E102">
        <v>99</v>
      </c>
      <c r="F102" s="2">
        <f t="shared" si="52"/>
        <v>142612800</v>
      </c>
      <c r="G102" s="2">
        <f>$B$13+$B$12</f>
        <v>1134800000</v>
      </c>
      <c r="H102" s="2">
        <f t="shared" si="57"/>
        <v>-992187200</v>
      </c>
      <c r="I102" s="2">
        <f t="shared" si="48"/>
        <v>12316.577423168212</v>
      </c>
      <c r="J102" s="13">
        <v>0</v>
      </c>
      <c r="K102" s="13">
        <f>H102-J102+$B$12+$B$14</f>
        <v>123025116.57742317</v>
      </c>
      <c r="L102" s="2">
        <f t="shared" si="47"/>
        <v>33216781.47590426</v>
      </c>
      <c r="M102" s="13">
        <f>IF(L102&lt;0,H102,H102-L102+$B$14)</f>
        <v>-1025391664.898481</v>
      </c>
      <c r="N102" s="2">
        <f t="shared" si="55"/>
        <v>-50888916.577193104</v>
      </c>
      <c r="P102">
        <v>99</v>
      </c>
      <c r="Q102" s="3">
        <f t="shared" si="37"/>
        <v>335332800</v>
      </c>
      <c r="R102" s="6">
        <f>$C$13+$C$6*$A$18*$C$10+50*'Carbon Tax'!$B$6</f>
        <v>256018039.71138734</v>
      </c>
      <c r="S102" s="3">
        <f t="shared" si="39"/>
        <v>79314760.288612664</v>
      </c>
      <c r="T102" s="7">
        <f t="shared" si="36"/>
        <v>1556.1937001061424</v>
      </c>
      <c r="U102" s="7">
        <f t="shared" si="54"/>
        <v>389.0484250265356</v>
      </c>
      <c r="V102" s="7">
        <f t="shared" si="42"/>
        <v>79314371.24018763</v>
      </c>
      <c r="W102" s="7">
        <f t="shared" si="58"/>
        <v>21414880.23485066</v>
      </c>
      <c r="X102" s="11">
        <f t="shared" si="45"/>
        <v>57899880.053762004</v>
      </c>
      <c r="Y102" s="7">
        <f t="shared" si="56"/>
        <v>2873499.2361939047</v>
      </c>
      <c r="AA102" s="2">
        <f t="shared" si="43"/>
        <v>-1083291544.9522431</v>
      </c>
    </row>
    <row r="103" spans="5:27">
      <c r="E103">
        <v>100</v>
      </c>
      <c r="F103" s="2">
        <v>0</v>
      </c>
      <c r="G103" s="2">
        <v>0</v>
      </c>
      <c r="H103" s="2">
        <f t="shared" si="57"/>
        <v>0</v>
      </c>
      <c r="I103" s="2">
        <v>1115200000</v>
      </c>
      <c r="J103" s="2">
        <f>I103*0.3</f>
        <v>334560000</v>
      </c>
      <c r="K103" s="2">
        <f t="shared" si="41"/>
        <v>-334560000</v>
      </c>
      <c r="L103" s="2">
        <f>K103*$B$15</f>
        <v>-90331200</v>
      </c>
      <c r="M103" s="2">
        <f t="shared" si="46"/>
        <v>0</v>
      </c>
      <c r="N103" s="2">
        <f t="shared" si="55"/>
        <v>0</v>
      </c>
      <c r="P103">
        <v>100</v>
      </c>
      <c r="Q103" s="3">
        <f t="shared" si="37"/>
        <v>335332800</v>
      </c>
      <c r="R103" s="6">
        <f>$C$13+$C$6*$A$18*$C$10+50*'Carbon Tax'!$B$6</f>
        <v>256018039.71138734</v>
      </c>
      <c r="S103" s="3">
        <f t="shared" si="39"/>
        <v>79314760.288612664</v>
      </c>
      <c r="T103" s="7">
        <f t="shared" si="36"/>
        <v>1167.1452750796068</v>
      </c>
      <c r="U103" s="7">
        <f t="shared" si="54"/>
        <v>291.7863187699017</v>
      </c>
      <c r="V103" s="7">
        <f t="shared" si="42"/>
        <v>79314468.5022939</v>
      </c>
      <c r="W103" s="7">
        <f t="shared" si="58"/>
        <v>21414906.495619353</v>
      </c>
      <c r="X103" s="11">
        <f t="shared" si="45"/>
        <v>57899853.792993307</v>
      </c>
      <c r="Y103" s="7">
        <f t="shared" si="56"/>
        <v>2787638.6621114905</v>
      </c>
      <c r="AA103" s="2">
        <f t="shared" si="43"/>
        <v>-57899853.792993307</v>
      </c>
    </row>
    <row r="104" spans="5:27">
      <c r="E104">
        <v>101</v>
      </c>
      <c r="F104" s="2">
        <v>0</v>
      </c>
      <c r="G104" s="2">
        <v>0</v>
      </c>
      <c r="H104" s="2">
        <f t="shared" si="57"/>
        <v>0</v>
      </c>
      <c r="I104" s="2">
        <f>I103-J103</f>
        <v>780640000</v>
      </c>
      <c r="J104" s="2">
        <f>I104*0.3</f>
        <v>234192000</v>
      </c>
      <c r="K104" s="2">
        <f t="shared" si="41"/>
        <v>-234192000</v>
      </c>
      <c r="L104" s="2">
        <f t="shared" ref="L104:L135" si="59">IF(L103&lt;0,K104*$B$15+L103,K104*$B$15)</f>
        <v>-153563040</v>
      </c>
      <c r="M104" s="2">
        <f t="shared" si="46"/>
        <v>0</v>
      </c>
      <c r="N104" s="2">
        <f t="shared" si="55"/>
        <v>0</v>
      </c>
      <c r="P104">
        <v>101</v>
      </c>
      <c r="Q104" s="3">
        <f t="shared" si="37"/>
        <v>335332800</v>
      </c>
      <c r="R104" s="6">
        <f>$C$13+$C$6*$A$18*$C$10+50*'Carbon Tax'!$B$6</f>
        <v>256018039.71138734</v>
      </c>
      <c r="S104" s="3">
        <f t="shared" si="39"/>
        <v>79314760.288612664</v>
      </c>
      <c r="T104" s="7">
        <f t="shared" si="36"/>
        <v>875.35895630970504</v>
      </c>
      <c r="U104" s="7">
        <f t="shared" si="54"/>
        <v>218.83973907742626</v>
      </c>
      <c r="V104" s="7">
        <f t="shared" si="42"/>
        <v>79314541.44887358</v>
      </c>
      <c r="W104" s="7">
        <f t="shared" si="58"/>
        <v>21414926.191195868</v>
      </c>
      <c r="X104" s="11">
        <f t="shared" si="45"/>
        <v>57899834.097416796</v>
      </c>
      <c r="Y104" s="7">
        <f t="shared" si="56"/>
        <v>2704343.9210815709</v>
      </c>
      <c r="AA104" s="2">
        <f t="shared" si="43"/>
        <v>-57899834.097416796</v>
      </c>
    </row>
    <row r="105" spans="5:27">
      <c r="E105">
        <v>102</v>
      </c>
      <c r="F105" s="2">
        <v>0</v>
      </c>
      <c r="G105" s="2">
        <v>0</v>
      </c>
      <c r="H105" s="2">
        <f t="shared" si="57"/>
        <v>0</v>
      </c>
      <c r="I105" s="2">
        <f t="shared" ref="I105:I135" si="60">I104-J104</f>
        <v>546448000</v>
      </c>
      <c r="J105" s="2">
        <f t="shared" ref="J105:J134" si="61">I105*0.3</f>
        <v>163934400</v>
      </c>
      <c r="K105" s="2">
        <f t="shared" si="41"/>
        <v>-163934400</v>
      </c>
      <c r="L105" s="2">
        <f t="shared" si="59"/>
        <v>-197825328</v>
      </c>
      <c r="M105" s="2">
        <f t="shared" si="46"/>
        <v>0</v>
      </c>
      <c r="N105" s="2">
        <f t="shared" si="55"/>
        <v>0</v>
      </c>
      <c r="P105">
        <v>102</v>
      </c>
      <c r="Q105" s="3">
        <f t="shared" si="37"/>
        <v>335332800</v>
      </c>
      <c r="R105" s="6">
        <f>$C$13+$C$6*$A$18*$C$10+50*'Carbon Tax'!$B$6</f>
        <v>256018039.71138734</v>
      </c>
      <c r="S105" s="3">
        <f t="shared" si="39"/>
        <v>79314760.288612664</v>
      </c>
      <c r="T105" s="7">
        <f t="shared" si="36"/>
        <v>656.51921723227883</v>
      </c>
      <c r="U105" s="7">
        <f t="shared" si="54"/>
        <v>164.12980430806971</v>
      </c>
      <c r="V105" s="7">
        <f t="shared" si="42"/>
        <v>79314596.158808351</v>
      </c>
      <c r="W105" s="7">
        <f t="shared" si="58"/>
        <v>21414940.962878257</v>
      </c>
      <c r="X105" s="11">
        <f t="shared" si="45"/>
        <v>57899819.325734407</v>
      </c>
      <c r="Y105" s="7">
        <f t="shared" si="56"/>
        <v>2623538.2529456974</v>
      </c>
      <c r="AA105" s="2">
        <f t="shared" si="43"/>
        <v>-57899819.325734407</v>
      </c>
    </row>
    <row r="106" spans="5:27">
      <c r="E106">
        <v>103</v>
      </c>
      <c r="F106" s="2">
        <f t="shared" ref="F106:F117" si="62">$B$11</f>
        <v>142612800</v>
      </c>
      <c r="G106" s="2">
        <f t="shared" ref="G106:G117" si="63">$B$13</f>
        <v>19600000</v>
      </c>
      <c r="H106" s="2">
        <f t="shared" si="57"/>
        <v>123012800</v>
      </c>
      <c r="I106" s="2">
        <f t="shared" si="60"/>
        <v>382513600</v>
      </c>
      <c r="J106" s="2">
        <f t="shared" si="61"/>
        <v>114754080</v>
      </c>
      <c r="K106" s="2">
        <f t="shared" si="41"/>
        <v>8258720</v>
      </c>
      <c r="L106" s="2">
        <f t="shared" si="59"/>
        <v>-195595473.59999999</v>
      </c>
      <c r="M106" s="2">
        <f t="shared" si="46"/>
        <v>123012800</v>
      </c>
      <c r="N106" s="2">
        <f t="shared" si="55"/>
        <v>5407369.989895273</v>
      </c>
      <c r="P106">
        <v>103</v>
      </c>
      <c r="Q106" s="3">
        <f t="shared" si="37"/>
        <v>335332800</v>
      </c>
      <c r="R106" s="6">
        <f>$C$13+$C$6*$A$18*$C$10+50*'Carbon Tax'!$B$6</f>
        <v>256018039.71138734</v>
      </c>
      <c r="S106" s="3">
        <f t="shared" si="39"/>
        <v>79314760.288612664</v>
      </c>
      <c r="T106" s="7">
        <f t="shared" si="36"/>
        <v>492.38941292420913</v>
      </c>
      <c r="U106" s="7">
        <f t="shared" si="54"/>
        <v>123.09735323105228</v>
      </c>
      <c r="V106" s="7">
        <f t="shared" si="42"/>
        <v>79314637.191259429</v>
      </c>
      <c r="W106" s="7">
        <f t="shared" si="58"/>
        <v>21414952.041640047</v>
      </c>
      <c r="X106" s="11">
        <f t="shared" si="45"/>
        <v>57899808.24697262</v>
      </c>
      <c r="Y106" s="7">
        <f t="shared" si="56"/>
        <v>2545147.2166747735</v>
      </c>
      <c r="AA106" s="2">
        <f t="shared" si="43"/>
        <v>65112991.75302738</v>
      </c>
    </row>
    <row r="107" spans="5:27">
      <c r="E107">
        <v>104</v>
      </c>
      <c r="F107" s="2">
        <f t="shared" si="62"/>
        <v>142612800</v>
      </c>
      <c r="G107" s="2">
        <f t="shared" si="63"/>
        <v>19600000</v>
      </c>
      <c r="H107" s="2">
        <f t="shared" si="57"/>
        <v>123012800</v>
      </c>
      <c r="I107" s="2">
        <f t="shared" si="60"/>
        <v>267759520</v>
      </c>
      <c r="J107" s="2">
        <f t="shared" si="61"/>
        <v>80327856</v>
      </c>
      <c r="K107" s="2">
        <f t="shared" si="41"/>
        <v>42684944</v>
      </c>
      <c r="L107" s="2">
        <f t="shared" si="59"/>
        <v>-184070538.72</v>
      </c>
      <c r="M107" s="2">
        <f t="shared" si="46"/>
        <v>123012800</v>
      </c>
      <c r="N107" s="2">
        <f t="shared" si="55"/>
        <v>5245799.3693202101</v>
      </c>
      <c r="P107">
        <v>104</v>
      </c>
      <c r="Q107" s="3">
        <f t="shared" si="37"/>
        <v>335332800</v>
      </c>
      <c r="R107" s="6">
        <f>$C$13+$C$6*$A$18*$C$10+50*'Carbon Tax'!$B$6</f>
        <v>256018039.71138734</v>
      </c>
      <c r="S107" s="3">
        <f t="shared" si="39"/>
        <v>79314760.288612664</v>
      </c>
      <c r="T107" s="7">
        <f t="shared" si="36"/>
        <v>369.29205969315683</v>
      </c>
      <c r="U107" s="7">
        <f t="shared" si="54"/>
        <v>92.323014923289207</v>
      </c>
      <c r="V107" s="7">
        <f t="shared" si="42"/>
        <v>79314667.965597734</v>
      </c>
      <c r="W107" s="7">
        <f t="shared" si="58"/>
        <v>21414960.35071139</v>
      </c>
      <c r="X107" s="11">
        <f t="shared" si="45"/>
        <v>57899799.937901273</v>
      </c>
      <c r="Y107" s="7">
        <f t="shared" si="56"/>
        <v>2469098.6141117741</v>
      </c>
      <c r="AA107" s="2">
        <f t="shared" si="43"/>
        <v>65113000.062098727</v>
      </c>
    </row>
    <row r="108" spans="5:27">
      <c r="E108">
        <v>105</v>
      </c>
      <c r="F108" s="2">
        <f t="shared" si="62"/>
        <v>142612800</v>
      </c>
      <c r="G108" s="2">
        <f t="shared" si="63"/>
        <v>19600000</v>
      </c>
      <c r="H108" s="2">
        <f t="shared" si="57"/>
        <v>123012800</v>
      </c>
      <c r="I108" s="2">
        <f t="shared" si="60"/>
        <v>187431664</v>
      </c>
      <c r="J108" s="2">
        <f t="shared" si="61"/>
        <v>56229499.199999996</v>
      </c>
      <c r="K108" s="2">
        <f t="shared" si="41"/>
        <v>66783300.800000004</v>
      </c>
      <c r="L108" s="2">
        <f t="shared" si="59"/>
        <v>-166039047.50400001</v>
      </c>
      <c r="M108" s="2">
        <f t="shared" si="46"/>
        <v>123012800</v>
      </c>
      <c r="N108" s="2">
        <f t="shared" si="55"/>
        <v>5089056.4312380776</v>
      </c>
      <c r="P108">
        <v>105</v>
      </c>
      <c r="Q108" s="3">
        <f t="shared" si="37"/>
        <v>335332800</v>
      </c>
      <c r="R108" s="6">
        <f>$C$13+$C$6*$A$18*$C$10+50*'Carbon Tax'!$B$6</f>
        <v>256018039.71138734</v>
      </c>
      <c r="S108" s="3">
        <f t="shared" si="39"/>
        <v>79314760.288612664</v>
      </c>
      <c r="T108" s="7">
        <f t="shared" si="36"/>
        <v>276.96904476986765</v>
      </c>
      <c r="U108" s="7">
        <f t="shared" si="54"/>
        <v>69.242261192466913</v>
      </c>
      <c r="V108" s="7">
        <f t="shared" si="42"/>
        <v>79314691.046351478</v>
      </c>
      <c r="W108" s="7">
        <f t="shared" si="58"/>
        <v>21414966.582514901</v>
      </c>
      <c r="X108" s="11">
        <f t="shared" si="45"/>
        <v>57899793.706097767</v>
      </c>
      <c r="Y108" s="7">
        <f t="shared" si="56"/>
        <v>2395322.4178896407</v>
      </c>
      <c r="AA108" s="2">
        <f t="shared" si="43"/>
        <v>65113006.293902233</v>
      </c>
    </row>
    <row r="109" spans="5:27">
      <c r="E109">
        <v>106</v>
      </c>
      <c r="F109" s="2">
        <f t="shared" si="62"/>
        <v>142612800</v>
      </c>
      <c r="G109" s="2">
        <f t="shared" si="63"/>
        <v>19600000</v>
      </c>
      <c r="H109" s="2">
        <f t="shared" si="57"/>
        <v>123012800</v>
      </c>
      <c r="I109" s="2">
        <f t="shared" si="60"/>
        <v>131202164.80000001</v>
      </c>
      <c r="J109" s="2">
        <f t="shared" si="61"/>
        <v>39360649.440000005</v>
      </c>
      <c r="K109" s="2">
        <f t="shared" si="41"/>
        <v>83652150.560000002</v>
      </c>
      <c r="L109" s="2">
        <f t="shared" si="59"/>
        <v>-143452966.85280001</v>
      </c>
      <c r="M109" s="2">
        <f t="shared" si="46"/>
        <v>123012800</v>
      </c>
      <c r="N109" s="2">
        <f t="shared" si="55"/>
        <v>4936996.9259197488</v>
      </c>
      <c r="P109">
        <v>106</v>
      </c>
      <c r="Q109" s="3">
        <f t="shared" si="37"/>
        <v>335332800</v>
      </c>
      <c r="R109" s="6">
        <f>$C$13+$C$6*$A$18*$C$10+50*'Carbon Tax'!$B$6</f>
        <v>256018039.71138734</v>
      </c>
      <c r="S109" s="3">
        <f t="shared" si="39"/>
        <v>79314760.288612664</v>
      </c>
      <c r="T109" s="7">
        <f t="shared" si="36"/>
        <v>207.72678357740074</v>
      </c>
      <c r="U109" s="7">
        <f t="shared" si="54"/>
        <v>51.931695894350185</v>
      </c>
      <c r="V109" s="7">
        <f t="shared" si="42"/>
        <v>79314708.35691677</v>
      </c>
      <c r="W109" s="7">
        <f t="shared" si="58"/>
        <v>21414971.256367531</v>
      </c>
      <c r="X109" s="11">
        <f t="shared" si="45"/>
        <v>57899789.032245129</v>
      </c>
      <c r="Y109" s="7">
        <f t="shared" si="56"/>
        <v>2323750.7028829213</v>
      </c>
      <c r="AA109" s="2">
        <f t="shared" si="43"/>
        <v>65113010.967754871</v>
      </c>
    </row>
    <row r="110" spans="5:27">
      <c r="E110">
        <v>107</v>
      </c>
      <c r="F110" s="2">
        <f t="shared" si="62"/>
        <v>142612800</v>
      </c>
      <c r="G110" s="2">
        <f t="shared" si="63"/>
        <v>19600000</v>
      </c>
      <c r="H110" s="2">
        <f t="shared" si="57"/>
        <v>123012800</v>
      </c>
      <c r="I110" s="2">
        <f t="shared" si="60"/>
        <v>91841515.360000014</v>
      </c>
      <c r="J110" s="2">
        <f t="shared" si="61"/>
        <v>27552454.608000003</v>
      </c>
      <c r="K110" s="2">
        <f t="shared" si="41"/>
        <v>95460345.39199999</v>
      </c>
      <c r="L110" s="2">
        <f t="shared" si="59"/>
        <v>-117678673.59696001</v>
      </c>
      <c r="M110" s="2">
        <f t="shared" si="46"/>
        <v>123012800</v>
      </c>
      <c r="N110" s="2">
        <f t="shared" si="55"/>
        <v>4789480.9137754655</v>
      </c>
      <c r="P110">
        <v>107</v>
      </c>
      <c r="Q110" s="3">
        <f t="shared" si="37"/>
        <v>335332800</v>
      </c>
      <c r="R110" s="6">
        <f>$C$13+$C$6*$A$18*$C$10+50*'Carbon Tax'!$B$6</f>
        <v>256018039.71138734</v>
      </c>
      <c r="S110" s="3">
        <f t="shared" si="39"/>
        <v>79314760.288612664</v>
      </c>
      <c r="T110" s="7">
        <f t="shared" si="36"/>
        <v>155.79508768305055</v>
      </c>
      <c r="U110" s="7">
        <f t="shared" si="54"/>
        <v>38.948771920762638</v>
      </c>
      <c r="V110" s="7">
        <f t="shared" si="42"/>
        <v>79314721.33984074</v>
      </c>
      <c r="W110" s="7">
        <f t="shared" si="58"/>
        <v>21414974.761757001</v>
      </c>
      <c r="X110" s="11">
        <f t="shared" si="45"/>
        <v>57899785.526855662</v>
      </c>
      <c r="Y110" s="7">
        <f t="shared" si="56"/>
        <v>2254317.580711667</v>
      </c>
      <c r="AA110" s="2">
        <f t="shared" si="43"/>
        <v>65113014.473144338</v>
      </c>
    </row>
    <row r="111" spans="5:27">
      <c r="E111">
        <v>108</v>
      </c>
      <c r="F111" s="2">
        <f t="shared" si="62"/>
        <v>142612800</v>
      </c>
      <c r="G111" s="2">
        <f t="shared" si="63"/>
        <v>19600000</v>
      </c>
      <c r="H111" s="2">
        <f t="shared" si="57"/>
        <v>123012800</v>
      </c>
      <c r="I111" s="2">
        <f t="shared" si="60"/>
        <v>64289060.752000012</v>
      </c>
      <c r="J111" s="2">
        <f t="shared" si="61"/>
        <v>19286718.225600004</v>
      </c>
      <c r="K111" s="2">
        <f t="shared" si="41"/>
        <v>103726081.7744</v>
      </c>
      <c r="L111" s="2">
        <f t="shared" si="59"/>
        <v>-89672631.517872006</v>
      </c>
      <c r="M111" s="2">
        <f t="shared" si="46"/>
        <v>123012800</v>
      </c>
      <c r="N111" s="2">
        <f t="shared" si="55"/>
        <v>4646372.6365691358</v>
      </c>
      <c r="P111">
        <v>108</v>
      </c>
      <c r="Q111" s="3">
        <f t="shared" si="37"/>
        <v>335332800</v>
      </c>
      <c r="R111" s="6">
        <f>$C$13+$C$6*$A$18*$C$10+50*'Carbon Tax'!$B$6</f>
        <v>256018039.71138734</v>
      </c>
      <c r="S111" s="3">
        <f t="shared" si="39"/>
        <v>79314760.288612664</v>
      </c>
      <c r="T111" s="7">
        <f t="shared" si="36"/>
        <v>116.84631576228792</v>
      </c>
      <c r="U111" s="7">
        <f t="shared" si="54"/>
        <v>29.211578940571979</v>
      </c>
      <c r="V111" s="7">
        <f t="shared" si="42"/>
        <v>79314731.077033728</v>
      </c>
      <c r="W111" s="7">
        <f t="shared" si="58"/>
        <v>21414977.390799109</v>
      </c>
      <c r="X111" s="11">
        <f t="shared" si="45"/>
        <v>57899782.897813559</v>
      </c>
      <c r="Y111" s="7">
        <f t="shared" si="56"/>
        <v>2186959.1369328601</v>
      </c>
      <c r="AA111" s="2">
        <f t="shared" si="43"/>
        <v>65113017.102186441</v>
      </c>
    </row>
    <row r="112" spans="5:27">
      <c r="E112">
        <v>109</v>
      </c>
      <c r="F112" s="2">
        <f t="shared" si="62"/>
        <v>142612800</v>
      </c>
      <c r="G112" s="2">
        <f t="shared" si="63"/>
        <v>19600000</v>
      </c>
      <c r="H112" s="2">
        <f t="shared" si="57"/>
        <v>123012800</v>
      </c>
      <c r="I112" s="2">
        <f t="shared" si="60"/>
        <v>45002342.526400007</v>
      </c>
      <c r="J112" s="2">
        <f t="shared" si="61"/>
        <v>13500702.757920003</v>
      </c>
      <c r="K112" s="2">
        <f t="shared" si="41"/>
        <v>109512097.24208</v>
      </c>
      <c r="L112" s="2">
        <f t="shared" si="59"/>
        <v>-60104365.262510404</v>
      </c>
      <c r="M112" s="2">
        <f t="shared" si="46"/>
        <v>123012800</v>
      </c>
      <c r="N112" s="2">
        <f t="shared" si="55"/>
        <v>4507540.3924807291</v>
      </c>
      <c r="P112">
        <v>109</v>
      </c>
      <c r="Q112" s="3">
        <f t="shared" si="37"/>
        <v>335332800</v>
      </c>
      <c r="R112" s="6">
        <f>$C$13+$C$6*$A$18*$C$10+50*'Carbon Tax'!$B$6</f>
        <v>256018039.71138734</v>
      </c>
      <c r="S112" s="3">
        <f t="shared" si="39"/>
        <v>79314760.288612664</v>
      </c>
      <c r="T112" s="7">
        <f t="shared" si="36"/>
        <v>87.634736821715933</v>
      </c>
      <c r="U112" s="7">
        <f t="shared" si="54"/>
        <v>21.908684205428983</v>
      </c>
      <c r="V112" s="7">
        <f t="shared" si="42"/>
        <v>79314738.379928455</v>
      </c>
      <c r="W112" s="7">
        <f t="shared" si="58"/>
        <v>21414979.362580683</v>
      </c>
      <c r="X112" s="11">
        <f t="shared" si="45"/>
        <v>57899780.926031977</v>
      </c>
      <c r="Y112" s="7">
        <f t="shared" si="56"/>
        <v>2121613.3706400832</v>
      </c>
      <c r="AA112" s="2">
        <f t="shared" si="43"/>
        <v>65113019.073968023</v>
      </c>
    </row>
    <row r="113" spans="5:27">
      <c r="E113">
        <v>110</v>
      </c>
      <c r="F113" s="2">
        <f t="shared" si="62"/>
        <v>142612800</v>
      </c>
      <c r="G113" s="2">
        <f t="shared" si="63"/>
        <v>19600000</v>
      </c>
      <c r="H113" s="2">
        <f t="shared" si="57"/>
        <v>123012800</v>
      </c>
      <c r="I113" s="2">
        <f t="shared" si="60"/>
        <v>31501639.768480003</v>
      </c>
      <c r="J113" s="2">
        <f t="shared" si="61"/>
        <v>9450491.9305440001</v>
      </c>
      <c r="K113" s="2">
        <f t="shared" si="41"/>
        <v>113562308.069456</v>
      </c>
      <c r="L113" s="2">
        <f t="shared" si="59"/>
        <v>-29442542.083757281</v>
      </c>
      <c r="M113" s="2">
        <f t="shared" si="46"/>
        <v>123012800</v>
      </c>
      <c r="N113" s="2">
        <f t="shared" si="55"/>
        <v>4372856.4149017548</v>
      </c>
      <c r="P113">
        <v>110</v>
      </c>
      <c r="Q113" s="3">
        <f t="shared" si="37"/>
        <v>335332800</v>
      </c>
      <c r="R113" s="6">
        <f>$C$13+$C$6*$A$18*$C$10+50*'Carbon Tax'!$B$6+$C$12</f>
        <v>622818039.7113874</v>
      </c>
      <c r="S113" s="3">
        <f t="shared" si="39"/>
        <v>-287485239.7113874</v>
      </c>
      <c r="T113" s="7">
        <f t="shared" si="36"/>
        <v>65.72605261628695</v>
      </c>
      <c r="U113" s="15">
        <v>0</v>
      </c>
      <c r="V113" s="15">
        <f>S58-U58+$C$12+$C$14</f>
        <v>79314826.014665216</v>
      </c>
      <c r="W113" s="7">
        <f t="shared" si="58"/>
        <v>21415003.023959611</v>
      </c>
      <c r="X113" s="16">
        <f>IF(W113&lt;0,S113,S113-W113+$C$14)</f>
        <v>-308900177.00929439</v>
      </c>
      <c r="Y113" s="7">
        <f t="shared" si="56"/>
        <v>-10980776.964668561</v>
      </c>
      <c r="AA113" s="2">
        <f t="shared" si="43"/>
        <v>431912977.00929439</v>
      </c>
    </row>
    <row r="114" spans="5:27">
      <c r="E114">
        <v>111</v>
      </c>
      <c r="F114" s="2">
        <f t="shared" si="62"/>
        <v>142612800</v>
      </c>
      <c r="G114" s="2">
        <f t="shared" si="63"/>
        <v>19600000</v>
      </c>
      <c r="H114" s="2">
        <f t="shared" si="57"/>
        <v>123012800</v>
      </c>
      <c r="I114" s="2">
        <f t="shared" si="60"/>
        <v>22051147.837936003</v>
      </c>
      <c r="J114" s="2">
        <f t="shared" si="61"/>
        <v>6615344.3513808008</v>
      </c>
      <c r="K114" s="2">
        <f t="shared" si="41"/>
        <v>116397455.6486192</v>
      </c>
      <c r="L114" s="2">
        <f t="shared" si="59"/>
        <v>1984770.9413699061</v>
      </c>
      <c r="M114" s="2">
        <f t="shared" si="46"/>
        <v>121028029.05863009</v>
      </c>
      <c r="N114" s="2">
        <f t="shared" si="55"/>
        <v>4173750.3098758105</v>
      </c>
      <c r="P114">
        <v>111</v>
      </c>
      <c r="Q114" s="7">
        <v>0</v>
      </c>
      <c r="R114" s="7">
        <v>0</v>
      </c>
      <c r="S114" s="3">
        <f t="shared" si="39"/>
        <v>0</v>
      </c>
      <c r="T114" s="3">
        <f>$C$12</f>
        <v>366800000</v>
      </c>
      <c r="U114" s="7">
        <f t="shared" ref="U114:U145" si="64">T114*$B$29</f>
        <v>91700000</v>
      </c>
      <c r="V114" s="7">
        <f t="shared" si="42"/>
        <v>-91700000</v>
      </c>
      <c r="W114" s="7">
        <f t="shared" si="58"/>
        <v>-24759000</v>
      </c>
      <c r="X114" s="11">
        <f t="shared" si="45"/>
        <v>0</v>
      </c>
      <c r="Y114" s="7">
        <f t="shared" si="56"/>
        <v>0</v>
      </c>
      <c r="AA114" s="2">
        <f t="shared" si="43"/>
        <v>121028029.05863009</v>
      </c>
    </row>
    <row r="115" spans="5:27">
      <c r="E115">
        <v>112</v>
      </c>
      <c r="F115" s="2">
        <f t="shared" si="62"/>
        <v>142612800</v>
      </c>
      <c r="G115" s="2">
        <f t="shared" si="63"/>
        <v>19600000</v>
      </c>
      <c r="H115" s="2">
        <f t="shared" si="57"/>
        <v>123012800</v>
      </c>
      <c r="I115" s="2">
        <f t="shared" si="60"/>
        <v>15435803.486555202</v>
      </c>
      <c r="J115" s="2">
        <f t="shared" si="61"/>
        <v>4630741.04596656</v>
      </c>
      <c r="K115" s="2">
        <f t="shared" si="41"/>
        <v>118382058.95403343</v>
      </c>
      <c r="L115" s="2">
        <f t="shared" si="59"/>
        <v>31963155.917589031</v>
      </c>
      <c r="M115" s="2">
        <f t="shared" si="46"/>
        <v>91049644.082410961</v>
      </c>
      <c r="N115" s="2">
        <f t="shared" si="55"/>
        <v>3046101.3283933694</v>
      </c>
      <c r="P115">
        <v>112</v>
      </c>
      <c r="Q115" s="7">
        <v>0</v>
      </c>
      <c r="R115" s="7">
        <v>0</v>
      </c>
      <c r="S115" s="3">
        <f t="shared" si="39"/>
        <v>0</v>
      </c>
      <c r="T115" s="7">
        <f>T114-U114</f>
        <v>275100000</v>
      </c>
      <c r="U115" s="7">
        <f t="shared" si="64"/>
        <v>68775000</v>
      </c>
      <c r="V115" s="7">
        <f t="shared" si="42"/>
        <v>-68775000</v>
      </c>
      <c r="W115" s="7">
        <f t="shared" si="58"/>
        <v>-43328250</v>
      </c>
      <c r="X115" s="11">
        <f t="shared" si="45"/>
        <v>0</v>
      </c>
      <c r="Y115" s="7">
        <f t="shared" si="56"/>
        <v>0</v>
      </c>
      <c r="AA115" s="2">
        <f t="shared" si="43"/>
        <v>91049644.082410961</v>
      </c>
    </row>
    <row r="116" spans="5:27">
      <c r="E116">
        <v>113</v>
      </c>
      <c r="F116" s="2">
        <f t="shared" si="62"/>
        <v>142612800</v>
      </c>
      <c r="G116" s="2">
        <f t="shared" si="63"/>
        <v>19600000</v>
      </c>
      <c r="H116" s="2">
        <f t="shared" si="57"/>
        <v>123012800</v>
      </c>
      <c r="I116" s="2">
        <f t="shared" si="60"/>
        <v>10805062.440588642</v>
      </c>
      <c r="J116" s="2">
        <f t="shared" si="61"/>
        <v>3241518.7321765926</v>
      </c>
      <c r="K116" s="2">
        <f t="shared" si="41"/>
        <v>119771281.26782341</v>
      </c>
      <c r="L116" s="2">
        <f t="shared" si="59"/>
        <v>32338245.942312323</v>
      </c>
      <c r="M116" s="2">
        <f t="shared" si="46"/>
        <v>90674554.05768767</v>
      </c>
      <c r="N116" s="2">
        <f t="shared" si="55"/>
        <v>2942910.8900164561</v>
      </c>
      <c r="P116">
        <v>113</v>
      </c>
      <c r="Q116" s="7">
        <v>0</v>
      </c>
      <c r="R116" s="7">
        <v>0</v>
      </c>
      <c r="S116" s="3">
        <f t="shared" si="39"/>
        <v>0</v>
      </c>
      <c r="T116" s="7">
        <f t="shared" ref="T116:T168" si="65">T115-U115</f>
        <v>206325000</v>
      </c>
      <c r="U116" s="7">
        <f t="shared" si="64"/>
        <v>51581250</v>
      </c>
      <c r="V116" s="7">
        <f t="shared" si="42"/>
        <v>-51581250</v>
      </c>
      <c r="W116" s="7">
        <f t="shared" si="58"/>
        <v>-57255187.5</v>
      </c>
      <c r="X116" s="11">
        <f t="shared" si="45"/>
        <v>0</v>
      </c>
      <c r="Y116" s="7">
        <f t="shared" si="56"/>
        <v>0</v>
      </c>
      <c r="AA116" s="2">
        <f t="shared" si="43"/>
        <v>90674554.05768767</v>
      </c>
    </row>
    <row r="117" spans="5:27">
      <c r="E117">
        <v>114</v>
      </c>
      <c r="F117" s="2">
        <f t="shared" si="62"/>
        <v>142612800</v>
      </c>
      <c r="G117" s="2">
        <f t="shared" si="63"/>
        <v>19600000</v>
      </c>
      <c r="H117" s="2">
        <f t="shared" si="57"/>
        <v>123012800</v>
      </c>
      <c r="I117" s="2">
        <f t="shared" si="60"/>
        <v>7563543.7084120493</v>
      </c>
      <c r="J117" s="2">
        <f t="shared" si="61"/>
        <v>2269063.1125236149</v>
      </c>
      <c r="K117" s="2">
        <f t="shared" si="41"/>
        <v>120743736.88747638</v>
      </c>
      <c r="L117" s="2">
        <f t="shared" si="59"/>
        <v>32600808.959618624</v>
      </c>
      <c r="M117" s="2">
        <f t="shared" si="46"/>
        <v>90411991.040381372</v>
      </c>
      <c r="N117" s="2">
        <f t="shared" si="55"/>
        <v>2846710.5255095684</v>
      </c>
      <c r="P117">
        <v>114</v>
      </c>
      <c r="Q117" s="7">
        <v>0</v>
      </c>
      <c r="R117" s="7">
        <v>0</v>
      </c>
      <c r="S117" s="3">
        <f t="shared" si="39"/>
        <v>0</v>
      </c>
      <c r="T117" s="7">
        <f t="shared" si="65"/>
        <v>154743750</v>
      </c>
      <c r="U117" s="7">
        <f t="shared" si="64"/>
        <v>38685937.5</v>
      </c>
      <c r="V117" s="7">
        <f t="shared" si="42"/>
        <v>-38685937.5</v>
      </c>
      <c r="W117" s="7">
        <f t="shared" si="58"/>
        <v>-67700390.625</v>
      </c>
      <c r="X117" s="11">
        <f t="shared" si="45"/>
        <v>0</v>
      </c>
      <c r="Y117" s="7">
        <f t="shared" si="56"/>
        <v>0</v>
      </c>
      <c r="AA117" s="2">
        <f t="shared" si="43"/>
        <v>90411991.040381372</v>
      </c>
    </row>
    <row r="118" spans="5:27">
      <c r="E118">
        <v>115</v>
      </c>
      <c r="F118" s="2">
        <f t="shared" ref="F118:F135" si="66">$B$11</f>
        <v>142612800</v>
      </c>
      <c r="G118" s="2">
        <f t="shared" ref="G118:G134" si="67">$B$13</f>
        <v>19600000</v>
      </c>
      <c r="H118" s="2">
        <f t="shared" si="57"/>
        <v>123012800</v>
      </c>
      <c r="I118" s="2">
        <f t="shared" si="60"/>
        <v>5294480.595888434</v>
      </c>
      <c r="J118" s="2">
        <f t="shared" si="61"/>
        <v>1588344.1787665302</v>
      </c>
      <c r="K118" s="2">
        <f t="shared" si="41"/>
        <v>121424455.82123347</v>
      </c>
      <c r="L118" s="2">
        <f t="shared" si="59"/>
        <v>32784603.071733039</v>
      </c>
      <c r="M118" s="2">
        <f t="shared" si="46"/>
        <v>90228196.928266957</v>
      </c>
      <c r="N118" s="2">
        <f t="shared" si="55"/>
        <v>2756037.6280472479</v>
      </c>
      <c r="P118">
        <v>115</v>
      </c>
      <c r="Q118" s="7">
        <v>0</v>
      </c>
      <c r="R118" s="7">
        <v>0</v>
      </c>
      <c r="S118" s="3">
        <f t="shared" si="39"/>
        <v>0</v>
      </c>
      <c r="T118" s="7">
        <f t="shared" si="65"/>
        <v>116057812.5</v>
      </c>
      <c r="U118" s="7">
        <f t="shared" si="64"/>
        <v>29014453.125</v>
      </c>
      <c r="V118" s="7">
        <f t="shared" si="42"/>
        <v>-29014453.125</v>
      </c>
      <c r="W118" s="7">
        <f t="shared" si="58"/>
        <v>-75534292.96875</v>
      </c>
      <c r="X118" s="11">
        <f t="shared" si="45"/>
        <v>0</v>
      </c>
      <c r="Y118" s="7">
        <f t="shared" si="56"/>
        <v>0</v>
      </c>
      <c r="AA118" s="2">
        <f t="shared" si="43"/>
        <v>90228196.928266957</v>
      </c>
    </row>
    <row r="119" spans="5:27">
      <c r="E119">
        <v>116</v>
      </c>
      <c r="F119" s="2">
        <f t="shared" si="66"/>
        <v>142612800</v>
      </c>
      <c r="G119" s="2">
        <f t="shared" si="67"/>
        <v>19600000</v>
      </c>
      <c r="H119" s="2">
        <f t="shared" si="57"/>
        <v>123012800</v>
      </c>
      <c r="I119" s="2">
        <f t="shared" si="60"/>
        <v>3706136.417121904</v>
      </c>
      <c r="J119" s="2">
        <f t="shared" si="61"/>
        <v>1111840.9251365711</v>
      </c>
      <c r="K119" s="2">
        <f t="shared" si="41"/>
        <v>121900959.07486343</v>
      </c>
      <c r="L119" s="2">
        <f t="shared" si="59"/>
        <v>32913258.950213131</v>
      </c>
      <c r="M119" s="2">
        <f t="shared" si="46"/>
        <v>90099541.049786866</v>
      </c>
      <c r="N119" s="2">
        <f t="shared" si="55"/>
        <v>2669875.6397901718</v>
      </c>
      <c r="P119">
        <v>116</v>
      </c>
      <c r="Q119" s="3">
        <f t="shared" ref="Q119:Q168" si="68">$C$11</f>
        <v>335332800</v>
      </c>
      <c r="R119" s="6">
        <f>$C$13+$C$6*$A$18*$C$10+50*'Carbon Tax'!$B$6</f>
        <v>256018039.71138734</v>
      </c>
      <c r="S119" s="3">
        <f t="shared" si="39"/>
        <v>79314760.288612664</v>
      </c>
      <c r="T119" s="7">
        <f t="shared" si="65"/>
        <v>87043359.375</v>
      </c>
      <c r="U119" s="7">
        <f t="shared" si="64"/>
        <v>21760839.84375</v>
      </c>
      <c r="V119" s="7">
        <f t="shared" si="42"/>
        <v>57553920.444862664</v>
      </c>
      <c r="W119" s="7">
        <f t="shared" si="58"/>
        <v>-59994734.448637083</v>
      </c>
      <c r="X119" s="11">
        <f t="shared" si="45"/>
        <v>79314760.288612664</v>
      </c>
      <c r="Y119" s="7">
        <f t="shared" si="56"/>
        <v>2350295.5054271584</v>
      </c>
      <c r="AA119" s="2">
        <f t="shared" si="43"/>
        <v>10784780.761174202</v>
      </c>
    </row>
    <row r="120" spans="5:27">
      <c r="E120">
        <v>117</v>
      </c>
      <c r="F120" s="2">
        <f t="shared" si="66"/>
        <v>142612800</v>
      </c>
      <c r="G120" s="2">
        <f t="shared" si="67"/>
        <v>19600000</v>
      </c>
      <c r="H120" s="2">
        <f t="shared" si="57"/>
        <v>123012800</v>
      </c>
      <c r="I120" s="2">
        <f t="shared" si="60"/>
        <v>2594295.4919853332</v>
      </c>
      <c r="J120" s="2">
        <f t="shared" si="61"/>
        <v>778288.64759559988</v>
      </c>
      <c r="K120" s="2">
        <f t="shared" si="41"/>
        <v>122234511.3524044</v>
      </c>
      <c r="L120" s="2">
        <f t="shared" si="59"/>
        <v>33003318.065149192</v>
      </c>
      <c r="M120" s="2">
        <f t="shared" si="46"/>
        <v>90009481.934850812</v>
      </c>
      <c r="N120" s="2">
        <f t="shared" si="55"/>
        <v>2587511.6046542884</v>
      </c>
      <c r="P120">
        <v>117</v>
      </c>
      <c r="Q120" s="3">
        <f t="shared" si="68"/>
        <v>335332800</v>
      </c>
      <c r="R120" s="6">
        <f>$C$13+$C$6*$A$18*$C$10+50*'Carbon Tax'!$B$6</f>
        <v>256018039.71138734</v>
      </c>
      <c r="S120" s="3">
        <f t="shared" si="39"/>
        <v>79314760.288612664</v>
      </c>
      <c r="T120" s="7">
        <f t="shared" si="65"/>
        <v>65282519.53125</v>
      </c>
      <c r="U120" s="7">
        <f t="shared" si="64"/>
        <v>16320629.8828125</v>
      </c>
      <c r="V120" s="7">
        <f t="shared" si="42"/>
        <v>62994130.405800164</v>
      </c>
      <c r="W120" s="7">
        <f t="shared" si="58"/>
        <v>-42986319.239071041</v>
      </c>
      <c r="X120" s="11">
        <f t="shared" si="45"/>
        <v>79314760.288612664</v>
      </c>
      <c r="Y120" s="7">
        <f t="shared" si="56"/>
        <v>2280069.3688660827</v>
      </c>
      <c r="AA120" s="2">
        <f t="shared" si="43"/>
        <v>10694721.646238148</v>
      </c>
    </row>
    <row r="121" spans="5:27">
      <c r="E121">
        <v>118</v>
      </c>
      <c r="F121" s="2">
        <f t="shared" si="66"/>
        <v>142612800</v>
      </c>
      <c r="G121" s="2">
        <f t="shared" si="67"/>
        <v>19600000</v>
      </c>
      <c r="H121" s="2">
        <f t="shared" si="57"/>
        <v>123012800</v>
      </c>
      <c r="I121" s="2">
        <f t="shared" si="60"/>
        <v>1816006.8443897334</v>
      </c>
      <c r="J121" s="2">
        <f t="shared" si="61"/>
        <v>544802.05331691995</v>
      </c>
      <c r="K121" s="2">
        <f t="shared" si="41"/>
        <v>122467997.94668308</v>
      </c>
      <c r="L121" s="2">
        <f t="shared" si="59"/>
        <v>33066359.445604432</v>
      </c>
      <c r="M121" s="2">
        <f t="shared" si="46"/>
        <v>89946440.554395571</v>
      </c>
      <c r="N121" s="2">
        <f t="shared" si="55"/>
        <v>2508439.4138219105</v>
      </c>
      <c r="P121">
        <v>118</v>
      </c>
      <c r="Q121" s="3">
        <f t="shared" si="68"/>
        <v>335332800</v>
      </c>
      <c r="R121" s="6">
        <f>$C$13+$C$6*$A$18*$C$10+50*'Carbon Tax'!$B$6</f>
        <v>256018039.71138734</v>
      </c>
      <c r="S121" s="3">
        <f t="shared" si="39"/>
        <v>79314760.288612664</v>
      </c>
      <c r="T121" s="7">
        <f t="shared" si="65"/>
        <v>48961889.6484375</v>
      </c>
      <c r="U121" s="7">
        <f t="shared" si="64"/>
        <v>12240472.412109375</v>
      </c>
      <c r="V121" s="7">
        <f t="shared" si="42"/>
        <v>67074287.876503289</v>
      </c>
      <c r="W121" s="7">
        <f t="shared" si="58"/>
        <v>-24876261.512415152</v>
      </c>
      <c r="X121" s="11">
        <f t="shared" si="45"/>
        <v>79314760.288612664</v>
      </c>
      <c r="Y121" s="7">
        <f t="shared" si="56"/>
        <v>2211941.5685546007</v>
      </c>
      <c r="AA121" s="2">
        <f t="shared" si="43"/>
        <v>10631680.265782908</v>
      </c>
    </row>
    <row r="122" spans="5:27">
      <c r="E122">
        <v>119</v>
      </c>
      <c r="F122" s="2">
        <f t="shared" si="66"/>
        <v>142612800</v>
      </c>
      <c r="G122" s="2">
        <f t="shared" si="67"/>
        <v>19600000</v>
      </c>
      <c r="H122" s="2">
        <f t="shared" si="57"/>
        <v>123012800</v>
      </c>
      <c r="I122" s="2">
        <f t="shared" si="60"/>
        <v>1271204.7910728133</v>
      </c>
      <c r="J122" s="2">
        <f t="shared" si="61"/>
        <v>381361.43732184399</v>
      </c>
      <c r="K122" s="2">
        <f t="shared" si="41"/>
        <v>122631438.56267816</v>
      </c>
      <c r="L122" s="2">
        <f t="shared" si="59"/>
        <v>33110488.411923107</v>
      </c>
      <c r="M122" s="2">
        <f t="shared" si="46"/>
        <v>89902311.58807689</v>
      </c>
      <c r="N122" s="2">
        <f t="shared" si="55"/>
        <v>2432294.081094454</v>
      </c>
      <c r="P122">
        <v>119</v>
      </c>
      <c r="Q122" s="3">
        <f t="shared" si="68"/>
        <v>335332800</v>
      </c>
      <c r="R122" s="6">
        <f>$C$13+$C$6*$A$18*$C$10+50*'Carbon Tax'!$B$6</f>
        <v>256018039.71138734</v>
      </c>
      <c r="S122" s="3">
        <f t="shared" si="39"/>
        <v>79314760.288612664</v>
      </c>
      <c r="T122" s="7">
        <f t="shared" si="65"/>
        <v>36721417.236328125</v>
      </c>
      <c r="U122" s="7">
        <f t="shared" si="64"/>
        <v>9180354.3090820313</v>
      </c>
      <c r="V122" s="7">
        <f t="shared" si="42"/>
        <v>70134405.979530632</v>
      </c>
      <c r="W122" s="7">
        <f t="shared" si="58"/>
        <v>-5939971.8979418799</v>
      </c>
      <c r="X122" s="11">
        <f t="shared" si="45"/>
        <v>79314760.288612664</v>
      </c>
      <c r="Y122" s="7">
        <f t="shared" si="56"/>
        <v>2145849.40682441</v>
      </c>
      <c r="AA122" s="2">
        <f t="shared" si="43"/>
        <v>10587551.299464226</v>
      </c>
    </row>
    <row r="123" spans="5:27">
      <c r="E123">
        <v>120</v>
      </c>
      <c r="F123" s="2">
        <f t="shared" si="66"/>
        <v>142612800</v>
      </c>
      <c r="G123" s="2">
        <f t="shared" si="67"/>
        <v>19600000</v>
      </c>
      <c r="H123" s="2">
        <f t="shared" si="57"/>
        <v>123012800</v>
      </c>
      <c r="I123" s="2">
        <f t="shared" si="60"/>
        <v>889843.35375096928</v>
      </c>
      <c r="J123" s="2">
        <f t="shared" si="61"/>
        <v>266953.00612529076</v>
      </c>
      <c r="K123" s="2">
        <f t="shared" si="41"/>
        <v>122745846.99387471</v>
      </c>
      <c r="L123" s="2">
        <f t="shared" si="59"/>
        <v>33141378.688346174</v>
      </c>
      <c r="M123" s="2">
        <f t="shared" si="46"/>
        <v>89871421.311653823</v>
      </c>
      <c r="N123" s="2">
        <f t="shared" si="55"/>
        <v>2358807.0907241851</v>
      </c>
      <c r="P123">
        <v>120</v>
      </c>
      <c r="Q123" s="3">
        <f t="shared" si="68"/>
        <v>335332800</v>
      </c>
      <c r="R123" s="6">
        <f>$C$13+$C$6*$A$18*$C$10+50*'Carbon Tax'!$B$6</f>
        <v>256018039.71138734</v>
      </c>
      <c r="S123" s="3">
        <f t="shared" si="39"/>
        <v>79314760.288612664</v>
      </c>
      <c r="T123" s="7">
        <f t="shared" si="65"/>
        <v>27541062.927246094</v>
      </c>
      <c r="U123" s="7">
        <f t="shared" si="64"/>
        <v>6885265.7318115234</v>
      </c>
      <c r="V123" s="7">
        <f t="shared" si="42"/>
        <v>72429494.55680114</v>
      </c>
      <c r="W123" s="7">
        <f t="shared" si="58"/>
        <v>13615991.632394429</v>
      </c>
      <c r="X123" s="11">
        <f t="shared" si="45"/>
        <v>65698768.656218231</v>
      </c>
      <c r="Y123" s="7">
        <f t="shared" si="56"/>
        <v>1724360.4150949377</v>
      </c>
      <c r="AA123" s="2">
        <f t="shared" si="43"/>
        <v>24172652.655435592</v>
      </c>
    </row>
    <row r="124" spans="5:27">
      <c r="E124">
        <v>121</v>
      </c>
      <c r="F124" s="2">
        <f t="shared" si="66"/>
        <v>142612800</v>
      </c>
      <c r="G124" s="2">
        <f t="shared" si="67"/>
        <v>19600000</v>
      </c>
      <c r="H124" s="2">
        <f t="shared" si="57"/>
        <v>123012800</v>
      </c>
      <c r="I124" s="2">
        <f t="shared" si="60"/>
        <v>622890.34762567852</v>
      </c>
      <c r="J124" s="2">
        <f t="shared" si="61"/>
        <v>186867.10428770355</v>
      </c>
      <c r="K124" s="2">
        <f t="shared" si="41"/>
        <v>122825932.8957123</v>
      </c>
      <c r="L124" s="2">
        <f t="shared" si="59"/>
        <v>33163001.881842323</v>
      </c>
      <c r="M124" s="2">
        <f t="shared" si="46"/>
        <v>89849798.118157685</v>
      </c>
      <c r="N124" s="2">
        <f t="shared" si="55"/>
        <v>2287776.0558192576</v>
      </c>
      <c r="P124">
        <v>121</v>
      </c>
      <c r="Q124" s="3">
        <f t="shared" si="68"/>
        <v>335332800</v>
      </c>
      <c r="R124" s="6">
        <f>$C$13+$C$6*$A$18*$C$10+50*'Carbon Tax'!$B$6</f>
        <v>256018039.71138734</v>
      </c>
      <c r="S124" s="3">
        <f t="shared" si="39"/>
        <v>79314760.288612664</v>
      </c>
      <c r="T124" s="7">
        <f t="shared" si="65"/>
        <v>20655797.19543457</v>
      </c>
      <c r="U124" s="7">
        <f t="shared" si="64"/>
        <v>5163949.2988586426</v>
      </c>
      <c r="V124" s="7">
        <f t="shared" si="42"/>
        <v>74150810.989754021</v>
      </c>
      <c r="W124" s="7">
        <f t="shared" si="58"/>
        <v>20020718.967233587</v>
      </c>
      <c r="X124" s="11">
        <f t="shared" si="45"/>
        <v>59294041.32137908</v>
      </c>
      <c r="Y124" s="7">
        <f t="shared" si="56"/>
        <v>1509758.4060168855</v>
      </c>
      <c r="AA124" s="2">
        <f t="shared" si="43"/>
        <v>30555756.796778604</v>
      </c>
    </row>
    <row r="125" spans="5:27">
      <c r="E125">
        <v>122</v>
      </c>
      <c r="F125" s="2">
        <f t="shared" si="66"/>
        <v>142612800</v>
      </c>
      <c r="G125" s="2">
        <f t="shared" si="67"/>
        <v>19600000</v>
      </c>
      <c r="H125" s="2">
        <f t="shared" si="57"/>
        <v>123012800</v>
      </c>
      <c r="I125" s="2">
        <f t="shared" si="60"/>
        <v>436023.243337975</v>
      </c>
      <c r="J125" s="2">
        <f t="shared" si="61"/>
        <v>130806.9730013925</v>
      </c>
      <c r="K125" s="2">
        <f t="shared" si="41"/>
        <v>122881993.02699861</v>
      </c>
      <c r="L125" s="2">
        <f t="shared" si="59"/>
        <v>33178138.117289625</v>
      </c>
      <c r="M125" s="2">
        <f t="shared" si="46"/>
        <v>89834661.882710367</v>
      </c>
      <c r="N125" s="2">
        <f t="shared" si="55"/>
        <v>2219044.0954011329</v>
      </c>
      <c r="P125">
        <v>122</v>
      </c>
      <c r="Q125" s="3">
        <f t="shared" si="68"/>
        <v>335332800</v>
      </c>
      <c r="R125" s="6">
        <f>$C$13+$C$6*$A$18*$C$10+50*'Carbon Tax'!$B$6</f>
        <v>256018039.71138734</v>
      </c>
      <c r="S125" s="3">
        <f t="shared" si="39"/>
        <v>79314760.288612664</v>
      </c>
      <c r="T125" s="7">
        <f t="shared" si="65"/>
        <v>15491847.896575928</v>
      </c>
      <c r="U125" s="7">
        <f t="shared" si="64"/>
        <v>3872961.9741439819</v>
      </c>
      <c r="V125" s="7">
        <f t="shared" si="42"/>
        <v>75441798.314468682</v>
      </c>
      <c r="W125" s="7">
        <f t="shared" si="58"/>
        <v>20369285.544906545</v>
      </c>
      <c r="X125" s="11">
        <f t="shared" si="45"/>
        <v>58945474.743706122</v>
      </c>
      <c r="Y125" s="7">
        <f t="shared" si="56"/>
        <v>1456037.1791838626</v>
      </c>
      <c r="AA125" s="2">
        <f t="shared" si="43"/>
        <v>30889187.139004245</v>
      </c>
    </row>
    <row r="126" spans="5:27">
      <c r="E126">
        <v>123</v>
      </c>
      <c r="F126" s="2">
        <f t="shared" si="66"/>
        <v>142612800</v>
      </c>
      <c r="G126" s="2">
        <f t="shared" si="67"/>
        <v>19600000</v>
      </c>
      <c r="H126" s="2">
        <f t="shared" si="57"/>
        <v>123012800</v>
      </c>
      <c r="I126" s="2">
        <f t="shared" si="60"/>
        <v>305216.2703365825</v>
      </c>
      <c r="J126" s="2">
        <f t="shared" si="61"/>
        <v>91564.881100974744</v>
      </c>
      <c r="K126" s="2">
        <f t="shared" si="41"/>
        <v>122921235.11889903</v>
      </c>
      <c r="L126" s="2">
        <f t="shared" si="59"/>
        <v>33188733.482102741</v>
      </c>
      <c r="M126" s="2">
        <f t="shared" si="46"/>
        <v>89824066.517897263</v>
      </c>
      <c r="N126" s="2">
        <f t="shared" si="55"/>
        <v>2152485.8117964836</v>
      </c>
      <c r="P126">
        <v>123</v>
      </c>
      <c r="Q126" s="3">
        <f t="shared" si="68"/>
        <v>335332800</v>
      </c>
      <c r="R126" s="6">
        <f>$C$13+$C$6*$A$18*$C$10+50*'Carbon Tax'!$B$6</f>
        <v>256018039.71138734</v>
      </c>
      <c r="S126" s="3">
        <f t="shared" si="39"/>
        <v>79314760.288612664</v>
      </c>
      <c r="T126" s="7">
        <f t="shared" si="65"/>
        <v>11618885.922431946</v>
      </c>
      <c r="U126" s="7">
        <f t="shared" si="64"/>
        <v>2904721.4806079865</v>
      </c>
      <c r="V126" s="7">
        <f t="shared" si="42"/>
        <v>76410038.808004677</v>
      </c>
      <c r="W126" s="7">
        <f t="shared" si="58"/>
        <v>20630710.478161264</v>
      </c>
      <c r="X126" s="11">
        <f t="shared" si="45"/>
        <v>58684049.810451403</v>
      </c>
      <c r="Y126" s="7">
        <f t="shared" si="56"/>
        <v>1406266.5997267717</v>
      </c>
      <c r="AA126" s="2">
        <f t="shared" si="43"/>
        <v>31140016.70744586</v>
      </c>
    </row>
    <row r="127" spans="5:27">
      <c r="E127">
        <v>124</v>
      </c>
      <c r="F127" s="2">
        <f t="shared" si="66"/>
        <v>142612800</v>
      </c>
      <c r="G127" s="2">
        <f t="shared" si="67"/>
        <v>19600000</v>
      </c>
      <c r="H127" s="2">
        <f t="shared" si="57"/>
        <v>123012800</v>
      </c>
      <c r="I127" s="2">
        <f t="shared" si="60"/>
        <v>213651.38923560776</v>
      </c>
      <c r="J127" s="2">
        <f t="shared" si="61"/>
        <v>64095.416770682321</v>
      </c>
      <c r="K127" s="2">
        <f t="shared" si="41"/>
        <v>122948704.58322932</v>
      </c>
      <c r="L127" s="2">
        <f t="shared" si="59"/>
        <v>33196150.23747192</v>
      </c>
      <c r="M127" s="2">
        <f t="shared" si="46"/>
        <v>89816649.762528077</v>
      </c>
      <c r="N127" s="2">
        <f t="shared" si="55"/>
        <v>2087997.7507466308</v>
      </c>
      <c r="P127">
        <v>124</v>
      </c>
      <c r="Q127" s="3">
        <f t="shared" si="68"/>
        <v>335332800</v>
      </c>
      <c r="R127" s="6">
        <f>$C$13+$C$6*$A$18*$C$10+50*'Carbon Tax'!$B$6</f>
        <v>256018039.71138734</v>
      </c>
      <c r="S127" s="3">
        <f t="shared" si="39"/>
        <v>79314760.288612664</v>
      </c>
      <c r="T127" s="7">
        <f t="shared" si="65"/>
        <v>8714164.4418239594</v>
      </c>
      <c r="U127" s="7">
        <f t="shared" si="64"/>
        <v>2178541.1104559898</v>
      </c>
      <c r="V127" s="7">
        <f t="shared" si="42"/>
        <v>77136219.178156674</v>
      </c>
      <c r="W127" s="7">
        <f t="shared" si="58"/>
        <v>20826779.178102303</v>
      </c>
      <c r="X127" s="11">
        <f t="shared" si="45"/>
        <v>58487981.110510364</v>
      </c>
      <c r="Y127" s="7">
        <f t="shared" si="56"/>
        <v>1359689.693696494</v>
      </c>
      <c r="AA127" s="2">
        <f t="shared" si="43"/>
        <v>31328668.652017713</v>
      </c>
    </row>
    <row r="128" spans="5:27">
      <c r="E128">
        <v>125</v>
      </c>
      <c r="F128" s="2">
        <f t="shared" si="66"/>
        <v>142612800</v>
      </c>
      <c r="G128" s="2">
        <f t="shared" si="67"/>
        <v>19600000</v>
      </c>
      <c r="H128" s="2">
        <f t="shared" si="57"/>
        <v>123012800</v>
      </c>
      <c r="I128" s="2">
        <f t="shared" si="60"/>
        <v>149555.97246492543</v>
      </c>
      <c r="J128" s="2">
        <f t="shared" si="61"/>
        <v>44866.79173947763</v>
      </c>
      <c r="K128" s="2">
        <f t="shared" si="41"/>
        <v>122967933.20826052</v>
      </c>
      <c r="L128" s="2">
        <f t="shared" si="59"/>
        <v>33201341.966230344</v>
      </c>
      <c r="M128" s="2">
        <f t="shared" si="46"/>
        <v>89811458.033769652</v>
      </c>
      <c r="N128" s="2">
        <f t="shared" si="55"/>
        <v>2025491.9061783643</v>
      </c>
      <c r="P128">
        <v>125</v>
      </c>
      <c r="Q128" s="3">
        <f t="shared" si="68"/>
        <v>335332800</v>
      </c>
      <c r="R128" s="6">
        <f>$C$13+$C$6*$A$18*$C$10+50*'Carbon Tax'!$B$6</f>
        <v>256018039.71138734</v>
      </c>
      <c r="S128" s="3">
        <f t="shared" si="39"/>
        <v>79314760.288612664</v>
      </c>
      <c r="T128" s="7">
        <f t="shared" si="65"/>
        <v>6535623.3313679695</v>
      </c>
      <c r="U128" s="7">
        <f t="shared" si="64"/>
        <v>1633905.8328419924</v>
      </c>
      <c r="V128" s="7">
        <f t="shared" si="42"/>
        <v>77680854.455770671</v>
      </c>
      <c r="W128" s="7">
        <f t="shared" si="58"/>
        <v>20973830.703058083</v>
      </c>
      <c r="X128" s="11">
        <f t="shared" si="45"/>
        <v>58340929.585554585</v>
      </c>
      <c r="Y128" s="7">
        <f t="shared" si="56"/>
        <v>1315746.1560197629</v>
      </c>
      <c r="AA128" s="2">
        <f t="shared" si="43"/>
        <v>31470528.448215067</v>
      </c>
    </row>
    <row r="129" spans="5:27">
      <c r="E129">
        <v>126</v>
      </c>
      <c r="F129" s="2">
        <f t="shared" si="66"/>
        <v>142612800</v>
      </c>
      <c r="G129" s="2">
        <f t="shared" si="67"/>
        <v>19600000</v>
      </c>
      <c r="H129" s="2">
        <f t="shared" si="57"/>
        <v>123012800</v>
      </c>
      <c r="I129" s="2">
        <f t="shared" si="60"/>
        <v>104689.1807254478</v>
      </c>
      <c r="J129" s="2">
        <f t="shared" si="61"/>
        <v>31406.754217634341</v>
      </c>
      <c r="K129" s="2">
        <f t="shared" si="41"/>
        <v>122981393.24578236</v>
      </c>
      <c r="L129" s="2">
        <f t="shared" si="59"/>
        <v>33204976.17636124</v>
      </c>
      <c r="M129" s="2">
        <f t="shared" si="46"/>
        <v>89807823.823638767</v>
      </c>
      <c r="N129" s="2">
        <f t="shared" si="55"/>
        <v>1964891.2930593716</v>
      </c>
      <c r="P129">
        <v>126</v>
      </c>
      <c r="Q129" s="3">
        <f t="shared" si="68"/>
        <v>335332800</v>
      </c>
      <c r="R129" s="6">
        <f>$C$13+$C$6*$A$18*$C$10+50*'Carbon Tax'!$B$6</f>
        <v>256018039.71138734</v>
      </c>
      <c r="S129" s="3">
        <f t="shared" si="39"/>
        <v>79314760.288612664</v>
      </c>
      <c r="T129" s="7">
        <f t="shared" si="65"/>
        <v>4901717.4985259771</v>
      </c>
      <c r="U129" s="7">
        <f t="shared" si="64"/>
        <v>1225429.3746314943</v>
      </c>
      <c r="V129" s="7">
        <f t="shared" si="42"/>
        <v>78089330.913981169</v>
      </c>
      <c r="W129" s="7">
        <f t="shared" si="58"/>
        <v>21084119.346774917</v>
      </c>
      <c r="X129" s="11">
        <f t="shared" si="45"/>
        <v>58230640.941837743</v>
      </c>
      <c r="Y129" s="7">
        <f t="shared" si="56"/>
        <v>1274019.0609736978</v>
      </c>
      <c r="AA129" s="2">
        <f t="shared" si="43"/>
        <v>31577182.881801024</v>
      </c>
    </row>
    <row r="130" spans="5:27">
      <c r="E130">
        <v>127</v>
      </c>
      <c r="F130" s="2">
        <f t="shared" si="66"/>
        <v>142612800</v>
      </c>
      <c r="G130" s="2">
        <f t="shared" si="67"/>
        <v>19600000</v>
      </c>
      <c r="H130" s="2">
        <f t="shared" si="57"/>
        <v>123012800</v>
      </c>
      <c r="I130" s="2">
        <f t="shared" si="60"/>
        <v>73282.426507813463</v>
      </c>
      <c r="J130" s="2">
        <f t="shared" si="61"/>
        <v>21984.727952344037</v>
      </c>
      <c r="K130" s="2">
        <f t="shared" si="41"/>
        <v>122990815.27204765</v>
      </c>
      <c r="L130" s="2">
        <f t="shared" si="59"/>
        <v>33207520.123452868</v>
      </c>
      <c r="M130" s="2">
        <f t="shared" si="46"/>
        <v>89805279.876547128</v>
      </c>
      <c r="N130" s="2">
        <f t="shared" si="55"/>
        <v>1906126.9251454365</v>
      </c>
      <c r="P130">
        <v>127</v>
      </c>
      <c r="Q130" s="3">
        <f t="shared" si="68"/>
        <v>335332800</v>
      </c>
      <c r="R130" s="6">
        <f>$C$13+$C$6*$A$18*$C$10+50*'Carbon Tax'!$B$6</f>
        <v>256018039.71138734</v>
      </c>
      <c r="S130" s="3">
        <f t="shared" si="39"/>
        <v>79314760.288612664</v>
      </c>
      <c r="T130" s="7">
        <f t="shared" si="65"/>
        <v>3676288.1238944829</v>
      </c>
      <c r="U130" s="7">
        <f t="shared" si="64"/>
        <v>919072.03097362071</v>
      </c>
      <c r="V130" s="7">
        <f t="shared" si="42"/>
        <v>78395688.25763905</v>
      </c>
      <c r="W130" s="7">
        <f t="shared" si="58"/>
        <v>21166835.829562545</v>
      </c>
      <c r="X130" s="11">
        <f t="shared" si="45"/>
        <v>58147924.459050119</v>
      </c>
      <c r="Y130" s="7">
        <f t="shared" si="56"/>
        <v>1234196.0807324843</v>
      </c>
      <c r="AA130" s="2">
        <f t="shared" si="43"/>
        <v>31657355.417497009</v>
      </c>
    </row>
    <row r="131" spans="5:27">
      <c r="E131">
        <v>128</v>
      </c>
      <c r="F131" s="2">
        <f t="shared" si="66"/>
        <v>142612800</v>
      </c>
      <c r="G131" s="2">
        <f t="shared" si="67"/>
        <v>19600000</v>
      </c>
      <c r="H131" s="2">
        <f t="shared" si="57"/>
        <v>123012800</v>
      </c>
      <c r="I131" s="2">
        <f t="shared" si="60"/>
        <v>51297.698555469426</v>
      </c>
      <c r="J131" s="2">
        <f t="shared" si="61"/>
        <v>15389.309566640826</v>
      </c>
      <c r="K131" s="2">
        <f t="shared" si="41"/>
        <v>122997410.69043335</v>
      </c>
      <c r="L131" s="2">
        <f t="shared" si="59"/>
        <v>33209300.886417009</v>
      </c>
      <c r="M131" s="2">
        <f t="shared" si="46"/>
        <v>89803499.113582999</v>
      </c>
      <c r="N131" s="2">
        <f t="shared" ref="N131:N162" si="69">M131/((1+$B$16)^E131)</f>
        <v>1849135.747240989</v>
      </c>
      <c r="P131">
        <v>128</v>
      </c>
      <c r="Q131" s="3">
        <f t="shared" si="68"/>
        <v>335332800</v>
      </c>
      <c r="R131" s="6">
        <f>$C$13+$C$6*$A$18*$C$10+50*'Carbon Tax'!$B$6</f>
        <v>256018039.71138734</v>
      </c>
      <c r="S131" s="3">
        <f t="shared" ref="S131:S168" si="70">Q131-R131</f>
        <v>79314760.288612664</v>
      </c>
      <c r="T131" s="7">
        <f t="shared" si="65"/>
        <v>2757216.0929208621</v>
      </c>
      <c r="U131" s="7">
        <f t="shared" si="64"/>
        <v>689304.02323021553</v>
      </c>
      <c r="V131" s="7">
        <f t="shared" si="42"/>
        <v>78625456.265382454</v>
      </c>
      <c r="W131" s="7">
        <f t="shared" si="58"/>
        <v>21228873.191653263</v>
      </c>
      <c r="X131" s="11">
        <f t="shared" si="45"/>
        <v>58085887.096959397</v>
      </c>
      <c r="Y131" s="7">
        <f t="shared" ref="Y131:Y162" si="71">X131/((1+$B$16)^P131)</f>
        <v>1196041.2600999186</v>
      </c>
      <c r="AA131" s="2">
        <f t="shared" si="43"/>
        <v>31717612.016623601</v>
      </c>
    </row>
    <row r="132" spans="5:27">
      <c r="E132">
        <v>129</v>
      </c>
      <c r="F132" s="2">
        <f t="shared" si="66"/>
        <v>142612800</v>
      </c>
      <c r="G132" s="2">
        <f t="shared" si="67"/>
        <v>19600000</v>
      </c>
      <c r="H132" s="2">
        <f t="shared" si="57"/>
        <v>123012800</v>
      </c>
      <c r="I132" s="2">
        <f t="shared" si="60"/>
        <v>35908.388988828599</v>
      </c>
      <c r="J132" s="2">
        <f t="shared" si="61"/>
        <v>10772.516696648579</v>
      </c>
      <c r="K132" s="2">
        <f t="shared" ref="K132:K167" si="72">H132-J132</f>
        <v>123002027.48330335</v>
      </c>
      <c r="L132" s="2">
        <f t="shared" si="59"/>
        <v>33210547.420491908</v>
      </c>
      <c r="M132" s="2">
        <f t="shared" si="46"/>
        <v>89802252.579508096</v>
      </c>
      <c r="N132" s="2">
        <f t="shared" si="69"/>
        <v>1793859.2161140162</v>
      </c>
      <c r="P132">
        <v>129</v>
      </c>
      <c r="Q132" s="3">
        <f t="shared" si="68"/>
        <v>335332800</v>
      </c>
      <c r="R132" s="6">
        <f>$C$13+$C$6*$A$18*$C$10+50*'Carbon Tax'!$B$6</f>
        <v>256018039.71138734</v>
      </c>
      <c r="S132" s="3">
        <f t="shared" si="70"/>
        <v>79314760.288612664</v>
      </c>
      <c r="T132" s="7">
        <f t="shared" si="65"/>
        <v>2067912.0696906466</v>
      </c>
      <c r="U132" s="7">
        <f t="shared" si="64"/>
        <v>516978.01742266165</v>
      </c>
      <c r="V132" s="7">
        <f t="shared" ref="V132:V167" si="73">S132-U132</f>
        <v>78797782.271190003</v>
      </c>
      <c r="W132" s="7">
        <f t="shared" si="58"/>
        <v>21275401.2132213</v>
      </c>
      <c r="X132" s="11">
        <f t="shared" si="45"/>
        <v>58039359.075391367</v>
      </c>
      <c r="Y132" s="7">
        <f t="shared" si="71"/>
        <v>1159374.4720664087</v>
      </c>
      <c r="AA132" s="2">
        <f t="shared" ref="AA132:AA168" si="74">M132-X132</f>
        <v>31762893.504116729</v>
      </c>
    </row>
    <row r="133" spans="5:27">
      <c r="E133">
        <v>130</v>
      </c>
      <c r="F133" s="2">
        <f t="shared" si="66"/>
        <v>142612800</v>
      </c>
      <c r="G133" s="2">
        <f t="shared" si="67"/>
        <v>19600000</v>
      </c>
      <c r="H133" s="2">
        <f t="shared" si="57"/>
        <v>123012800</v>
      </c>
      <c r="I133" s="2">
        <f t="shared" si="60"/>
        <v>25135.872292180022</v>
      </c>
      <c r="J133" s="2">
        <f t="shared" si="61"/>
        <v>7540.761687654006</v>
      </c>
      <c r="K133" s="2">
        <f t="shared" si="72"/>
        <v>123005259.23831235</v>
      </c>
      <c r="L133" s="2">
        <f t="shared" si="59"/>
        <v>33211419.994344335</v>
      </c>
      <c r="M133" s="2">
        <f t="shared" ref="M133:M167" si="75">IF(L133&lt;0,H133,H133-L133)</f>
        <v>89801380.005655661</v>
      </c>
      <c r="N133" s="2">
        <f t="shared" si="69"/>
        <v>1740242.3223475823</v>
      </c>
      <c r="P133">
        <v>130</v>
      </c>
      <c r="Q133" s="3">
        <f t="shared" si="68"/>
        <v>335332800</v>
      </c>
      <c r="R133" s="6">
        <f>$C$13+$C$6*$A$18*$C$10+50*'Carbon Tax'!$B$6</f>
        <v>256018039.71138734</v>
      </c>
      <c r="S133" s="3">
        <f t="shared" si="70"/>
        <v>79314760.288612664</v>
      </c>
      <c r="T133" s="7">
        <f t="shared" si="65"/>
        <v>1550934.052267985</v>
      </c>
      <c r="U133" s="7">
        <f t="shared" si="64"/>
        <v>387733.51306699624</v>
      </c>
      <c r="V133" s="7">
        <f t="shared" si="73"/>
        <v>78927026.775545672</v>
      </c>
      <c r="W133" s="7">
        <f t="shared" ref="W133:W164" si="76">IF(W132&lt;0,V133*$B$15+W132,V133*$B$15)</f>
        <v>21310297.229397334</v>
      </c>
      <c r="X133" s="11">
        <f t="shared" ref="X133:X167" si="77">IF(W133&lt;0,S133,S133-W133)</f>
        <v>58004463.05921533</v>
      </c>
      <c r="Y133" s="7">
        <f t="shared" si="71"/>
        <v>1124056.462098201</v>
      </c>
      <c r="AA133" s="2">
        <f t="shared" si="74"/>
        <v>31796916.946440332</v>
      </c>
    </row>
    <row r="134" spans="5:27">
      <c r="E134">
        <v>131</v>
      </c>
      <c r="F134" s="2">
        <f t="shared" si="66"/>
        <v>142612800</v>
      </c>
      <c r="G134" s="2">
        <f t="shared" si="67"/>
        <v>19600000</v>
      </c>
      <c r="H134" s="2">
        <f t="shared" si="57"/>
        <v>123012800</v>
      </c>
      <c r="I134" s="2">
        <f t="shared" si="60"/>
        <v>17595.110604526017</v>
      </c>
      <c r="J134" s="2">
        <f t="shared" si="61"/>
        <v>5278.533181357805</v>
      </c>
      <c r="K134" s="2">
        <f t="shared" si="72"/>
        <v>123007521.46681865</v>
      </c>
      <c r="L134" s="2">
        <f t="shared" si="59"/>
        <v>33212030.796041038</v>
      </c>
      <c r="M134" s="2">
        <f t="shared" si="75"/>
        <v>89800769.203958958</v>
      </c>
      <c r="N134" s="2">
        <f t="shared" si="69"/>
        <v>1688232.9120568053</v>
      </c>
      <c r="P134">
        <v>131</v>
      </c>
      <c r="Q134" s="3">
        <f t="shared" si="68"/>
        <v>335332800</v>
      </c>
      <c r="R134" s="6">
        <f>$C$13+$C$6*$A$18*$C$10+50*'Carbon Tax'!$B$6</f>
        <v>256018039.71138734</v>
      </c>
      <c r="S134" s="3">
        <f t="shared" si="70"/>
        <v>79314760.288612664</v>
      </c>
      <c r="T134" s="7">
        <f t="shared" si="65"/>
        <v>1163200.5392009886</v>
      </c>
      <c r="U134" s="7">
        <f t="shared" si="64"/>
        <v>290800.13480024715</v>
      </c>
      <c r="V134" s="7">
        <f t="shared" si="73"/>
        <v>79023960.153812423</v>
      </c>
      <c r="W134" s="7">
        <f t="shared" si="76"/>
        <v>21336469.241529357</v>
      </c>
      <c r="X134" s="11">
        <f t="shared" si="77"/>
        <v>57978291.047083303</v>
      </c>
      <c r="Y134" s="7">
        <f t="shared" si="71"/>
        <v>1089977.9589658491</v>
      </c>
      <c r="AA134" s="2">
        <f t="shared" si="74"/>
        <v>31822478.156875655</v>
      </c>
    </row>
    <row r="135" spans="5:27">
      <c r="E135">
        <v>132</v>
      </c>
      <c r="F135" s="2">
        <f t="shared" si="66"/>
        <v>142612800</v>
      </c>
      <c r="G135" s="2">
        <f>$B$13+$B$12</f>
        <v>1134800000</v>
      </c>
      <c r="H135" s="2">
        <f t="shared" si="57"/>
        <v>-992187200</v>
      </c>
      <c r="I135" s="2">
        <f t="shared" si="60"/>
        <v>12316.577423168212</v>
      </c>
      <c r="J135" s="13">
        <v>0</v>
      </c>
      <c r="K135" s="13">
        <f>H135-J135+$B$12+$B$14</f>
        <v>123025116.57742317</v>
      </c>
      <c r="L135" s="2">
        <f t="shared" si="59"/>
        <v>33216781.47590426</v>
      </c>
      <c r="M135" s="13">
        <f>IF(L135&lt;0,H135,H135-L135+$B$14)</f>
        <v>-1025391664.898481</v>
      </c>
      <c r="N135" s="2">
        <f t="shared" si="69"/>
        <v>-18701122.66463998</v>
      </c>
      <c r="P135">
        <v>132</v>
      </c>
      <c r="Q135" s="3">
        <f t="shared" si="68"/>
        <v>335332800</v>
      </c>
      <c r="R135" s="6">
        <f>$C$13+$C$6*$A$18*$C$10+50*'Carbon Tax'!$B$6</f>
        <v>256018039.71138734</v>
      </c>
      <c r="S135" s="3">
        <f t="shared" si="70"/>
        <v>79314760.288612664</v>
      </c>
      <c r="T135" s="7">
        <f t="shared" si="65"/>
        <v>872400.40440074145</v>
      </c>
      <c r="U135" s="7">
        <f t="shared" si="64"/>
        <v>218100.10110018536</v>
      </c>
      <c r="V135" s="7">
        <f t="shared" si="73"/>
        <v>79096660.187512472</v>
      </c>
      <c r="W135" s="7">
        <f t="shared" si="76"/>
        <v>21356098.250628367</v>
      </c>
      <c r="X135" s="11">
        <f t="shared" si="77"/>
        <v>57958662.037984297</v>
      </c>
      <c r="Y135" s="7">
        <f t="shared" si="71"/>
        <v>1057051.7445722241</v>
      </c>
      <c r="AA135" s="2">
        <f t="shared" si="74"/>
        <v>-1083350326.9364653</v>
      </c>
    </row>
    <row r="136" spans="5:27">
      <c r="E136">
        <v>133</v>
      </c>
      <c r="F136" s="2">
        <v>0</v>
      </c>
      <c r="G136" s="2">
        <v>0</v>
      </c>
      <c r="H136" s="2">
        <f t="shared" si="57"/>
        <v>0</v>
      </c>
      <c r="I136" s="2">
        <v>1115200000</v>
      </c>
      <c r="J136" s="2">
        <v>0</v>
      </c>
      <c r="K136" s="2">
        <f t="shared" si="72"/>
        <v>0</v>
      </c>
      <c r="L136" s="2">
        <f>K136*$B$15</f>
        <v>0</v>
      </c>
      <c r="M136" s="2">
        <f t="shared" si="75"/>
        <v>0</v>
      </c>
      <c r="N136" s="2">
        <f t="shared" si="69"/>
        <v>0</v>
      </c>
      <c r="P136">
        <v>133</v>
      </c>
      <c r="Q136" s="3">
        <f t="shared" si="68"/>
        <v>335332800</v>
      </c>
      <c r="R136" s="6">
        <f>$C$13+$C$6*$A$18*$C$10+50*'Carbon Tax'!$B$6</f>
        <v>256018039.71138734</v>
      </c>
      <c r="S136" s="3">
        <f t="shared" si="70"/>
        <v>79314760.288612664</v>
      </c>
      <c r="T136" s="7">
        <f t="shared" si="65"/>
        <v>654300.30330055603</v>
      </c>
      <c r="U136" s="7">
        <f t="shared" si="64"/>
        <v>163575.07582513901</v>
      </c>
      <c r="V136" s="7">
        <f t="shared" si="73"/>
        <v>79151185.212787524</v>
      </c>
      <c r="W136" s="7">
        <f t="shared" si="76"/>
        <v>21370820.007452633</v>
      </c>
      <c r="X136" s="11">
        <f t="shared" si="77"/>
        <v>57943940.281160027</v>
      </c>
      <c r="Y136" s="7">
        <f t="shared" si="71"/>
        <v>1025206.8769383099</v>
      </c>
      <c r="AA136" s="2">
        <f t="shared" si="74"/>
        <v>-57943940.281160027</v>
      </c>
    </row>
    <row r="137" spans="5:27">
      <c r="E137">
        <v>134</v>
      </c>
      <c r="F137" s="2">
        <v>0</v>
      </c>
      <c r="G137" s="2">
        <v>0</v>
      </c>
      <c r="H137" s="2">
        <f t="shared" si="57"/>
        <v>0</v>
      </c>
      <c r="I137" s="2">
        <f>I136-J136</f>
        <v>1115200000</v>
      </c>
      <c r="J137" s="2">
        <f>I137*0.3</f>
        <v>334560000</v>
      </c>
      <c r="K137" s="2">
        <f t="shared" si="72"/>
        <v>-334560000</v>
      </c>
      <c r="L137" s="2">
        <f t="shared" ref="L137:L168" si="78">IF(L136&lt;0,K137*$B$15+L136,K137*$B$15)</f>
        <v>-90331200</v>
      </c>
      <c r="M137" s="2">
        <f t="shared" si="75"/>
        <v>0</v>
      </c>
      <c r="N137" s="2">
        <f t="shared" si="69"/>
        <v>0</v>
      </c>
      <c r="P137">
        <v>134</v>
      </c>
      <c r="Q137" s="3">
        <f t="shared" si="68"/>
        <v>335332800</v>
      </c>
      <c r="R137" s="6">
        <f>$C$13+$C$6*$A$18*$C$10+50*'Carbon Tax'!$B$6</f>
        <v>256018039.71138734</v>
      </c>
      <c r="S137" s="3">
        <f t="shared" si="70"/>
        <v>79314760.288612664</v>
      </c>
      <c r="T137" s="7">
        <f t="shared" si="65"/>
        <v>490725.22747541702</v>
      </c>
      <c r="U137" s="7">
        <f t="shared" si="64"/>
        <v>122681.30686885426</v>
      </c>
      <c r="V137" s="7">
        <f t="shared" si="73"/>
        <v>79192078.981743813</v>
      </c>
      <c r="W137" s="7">
        <f t="shared" si="76"/>
        <v>21381861.325070832</v>
      </c>
      <c r="X137" s="11">
        <f t="shared" si="77"/>
        <v>57932898.963541836</v>
      </c>
      <c r="Y137" s="7">
        <f t="shared" si="71"/>
        <v>994384.48001763853</v>
      </c>
      <c r="AA137" s="2">
        <f t="shared" si="74"/>
        <v>-57932898.963541836</v>
      </c>
    </row>
    <row r="138" spans="5:27">
      <c r="E138">
        <v>135</v>
      </c>
      <c r="F138" s="2">
        <v>0</v>
      </c>
      <c r="G138" s="2">
        <v>0</v>
      </c>
      <c r="H138" s="2">
        <f t="shared" si="57"/>
        <v>0</v>
      </c>
      <c r="I138" s="2">
        <f t="shared" ref="I138:I168" si="79">I137-J137</f>
        <v>780640000</v>
      </c>
      <c r="J138" s="2">
        <f t="shared" ref="J138:J167" si="80">I138*0.3</f>
        <v>234192000</v>
      </c>
      <c r="K138" s="2">
        <f t="shared" si="72"/>
        <v>-234192000</v>
      </c>
      <c r="L138" s="2">
        <f t="shared" si="78"/>
        <v>-153563040</v>
      </c>
      <c r="M138" s="2">
        <f t="shared" si="75"/>
        <v>0</v>
      </c>
      <c r="N138" s="2">
        <f t="shared" si="69"/>
        <v>0</v>
      </c>
      <c r="P138">
        <v>135</v>
      </c>
      <c r="Q138" s="3">
        <f t="shared" si="68"/>
        <v>335332800</v>
      </c>
      <c r="R138" s="6">
        <f>$C$13+$C$6*$A$18*$C$10+50*'Carbon Tax'!$B$6</f>
        <v>256018039.71138734</v>
      </c>
      <c r="S138" s="3">
        <f t="shared" si="70"/>
        <v>79314760.288612664</v>
      </c>
      <c r="T138" s="7">
        <f t="shared" si="65"/>
        <v>368043.92060656275</v>
      </c>
      <c r="U138" s="7">
        <f t="shared" si="64"/>
        <v>92010.980151640688</v>
      </c>
      <c r="V138" s="7">
        <f t="shared" si="73"/>
        <v>79222749.308461025</v>
      </c>
      <c r="W138" s="7">
        <f t="shared" si="76"/>
        <v>21390142.313284479</v>
      </c>
      <c r="X138" s="11">
        <f t="shared" si="77"/>
        <v>57924617.975328185</v>
      </c>
      <c r="Y138" s="7">
        <f t="shared" si="71"/>
        <v>964534.67372569966</v>
      </c>
      <c r="AA138" s="2">
        <f t="shared" si="74"/>
        <v>-57924617.975328185</v>
      </c>
    </row>
    <row r="139" spans="5:27">
      <c r="E139">
        <v>136</v>
      </c>
      <c r="F139" s="2">
        <f t="shared" ref="F139:F150" si="81">$B$11</f>
        <v>142612800</v>
      </c>
      <c r="G139" s="2">
        <f t="shared" ref="G139:G150" si="82">$B$13</f>
        <v>19600000</v>
      </c>
      <c r="H139" s="2">
        <f t="shared" si="57"/>
        <v>123012800</v>
      </c>
      <c r="I139" s="2">
        <f t="shared" si="79"/>
        <v>546448000</v>
      </c>
      <c r="J139" s="2">
        <f t="shared" si="80"/>
        <v>163934400</v>
      </c>
      <c r="K139" s="2">
        <f t="shared" si="72"/>
        <v>-40921600</v>
      </c>
      <c r="L139" s="2">
        <f t="shared" si="78"/>
        <v>-164611872</v>
      </c>
      <c r="M139" s="2">
        <f t="shared" si="75"/>
        <v>123012800</v>
      </c>
      <c r="N139" s="2">
        <f t="shared" si="69"/>
        <v>1987149.585327294</v>
      </c>
      <c r="P139">
        <v>136</v>
      </c>
      <c r="Q139" s="3">
        <f t="shared" si="68"/>
        <v>335332800</v>
      </c>
      <c r="R139" s="6">
        <f>$C$13+$C$6*$A$18*$C$10+50*'Carbon Tax'!$B$6</f>
        <v>256018039.71138734</v>
      </c>
      <c r="S139" s="3">
        <f t="shared" si="70"/>
        <v>79314760.288612664</v>
      </c>
      <c r="T139" s="7">
        <f t="shared" si="65"/>
        <v>276032.94045492203</v>
      </c>
      <c r="U139" s="7">
        <f t="shared" si="64"/>
        <v>69008.235113730509</v>
      </c>
      <c r="V139" s="7">
        <f t="shared" si="73"/>
        <v>79245752.053498939</v>
      </c>
      <c r="W139" s="7">
        <f t="shared" si="76"/>
        <v>21396353.054444715</v>
      </c>
      <c r="X139" s="11">
        <f t="shared" si="77"/>
        <v>57918407.234167948</v>
      </c>
      <c r="Y139" s="7">
        <f t="shared" si="71"/>
        <v>935614.33377822628</v>
      </c>
      <c r="AA139" s="2">
        <f t="shared" si="74"/>
        <v>65094392.765832052</v>
      </c>
    </row>
    <row r="140" spans="5:27">
      <c r="E140">
        <v>137</v>
      </c>
      <c r="F140" s="2">
        <f t="shared" si="81"/>
        <v>142612800</v>
      </c>
      <c r="G140" s="2">
        <f t="shared" si="82"/>
        <v>19600000</v>
      </c>
      <c r="H140" s="2">
        <f t="shared" si="57"/>
        <v>123012800</v>
      </c>
      <c r="I140" s="2">
        <f t="shared" si="79"/>
        <v>382513600</v>
      </c>
      <c r="J140" s="2">
        <f t="shared" si="80"/>
        <v>114754080</v>
      </c>
      <c r="K140" s="2">
        <f t="shared" si="72"/>
        <v>8258720</v>
      </c>
      <c r="L140" s="2">
        <f t="shared" si="78"/>
        <v>-162382017.59999999</v>
      </c>
      <c r="M140" s="2">
        <f t="shared" si="75"/>
        <v>123012800</v>
      </c>
      <c r="N140" s="2">
        <f t="shared" si="69"/>
        <v>1927774.1417610536</v>
      </c>
      <c r="P140">
        <v>137</v>
      </c>
      <c r="Q140" s="3">
        <f t="shared" si="68"/>
        <v>335332800</v>
      </c>
      <c r="R140" s="6">
        <f>$C$13+$C$6*$A$18*$C$10+50*'Carbon Tax'!$B$6</f>
        <v>256018039.71138734</v>
      </c>
      <c r="S140" s="3">
        <f t="shared" si="70"/>
        <v>79314760.288612664</v>
      </c>
      <c r="T140" s="7">
        <f t="shared" si="65"/>
        <v>207024.70534119153</v>
      </c>
      <c r="U140" s="7">
        <f t="shared" si="64"/>
        <v>51756.176335297881</v>
      </c>
      <c r="V140" s="7">
        <f t="shared" si="73"/>
        <v>79263004.112277359</v>
      </c>
      <c r="W140" s="7">
        <f t="shared" si="76"/>
        <v>21401011.110314887</v>
      </c>
      <c r="X140" s="11">
        <f t="shared" si="77"/>
        <v>57913749.178297773</v>
      </c>
      <c r="Y140" s="7">
        <f t="shared" si="71"/>
        <v>907585.45548396523</v>
      </c>
      <c r="AA140" s="2">
        <f t="shared" si="74"/>
        <v>65099050.821702227</v>
      </c>
    </row>
    <row r="141" spans="5:27">
      <c r="E141">
        <v>138</v>
      </c>
      <c r="F141" s="2">
        <f t="shared" si="81"/>
        <v>142612800</v>
      </c>
      <c r="G141" s="2">
        <f t="shared" si="82"/>
        <v>19600000</v>
      </c>
      <c r="H141" s="2">
        <f t="shared" si="57"/>
        <v>123012800</v>
      </c>
      <c r="I141" s="2">
        <f t="shared" si="79"/>
        <v>267759520</v>
      </c>
      <c r="J141" s="2">
        <f t="shared" si="80"/>
        <v>80327856</v>
      </c>
      <c r="K141" s="2">
        <f t="shared" si="72"/>
        <v>42684944</v>
      </c>
      <c r="L141" s="2">
        <f t="shared" si="78"/>
        <v>-150857082.72</v>
      </c>
      <c r="M141" s="2">
        <f t="shared" si="75"/>
        <v>123012800</v>
      </c>
      <c r="N141" s="2">
        <f t="shared" si="69"/>
        <v>1870172.8189377703</v>
      </c>
      <c r="P141">
        <v>138</v>
      </c>
      <c r="Q141" s="3">
        <f t="shared" si="68"/>
        <v>335332800</v>
      </c>
      <c r="R141" s="6">
        <f>$C$13+$C$6*$A$18*$C$10+50*'Carbon Tax'!$B$6</f>
        <v>256018039.71138734</v>
      </c>
      <c r="S141" s="3">
        <f t="shared" si="70"/>
        <v>79314760.288612664</v>
      </c>
      <c r="T141" s="7">
        <f t="shared" si="65"/>
        <v>155268.52900589365</v>
      </c>
      <c r="U141" s="7">
        <f t="shared" si="64"/>
        <v>38817.132251473413</v>
      </c>
      <c r="V141" s="7">
        <f t="shared" si="73"/>
        <v>79275943.156361192</v>
      </c>
      <c r="W141" s="7">
        <f t="shared" si="76"/>
        <v>21404504.652217522</v>
      </c>
      <c r="X141" s="11">
        <f t="shared" si="77"/>
        <v>57910255.636395141</v>
      </c>
      <c r="Y141" s="7">
        <f t="shared" si="71"/>
        <v>880413.95715668611</v>
      </c>
      <c r="AA141" s="2">
        <f t="shared" si="74"/>
        <v>65102544.363604859</v>
      </c>
    </row>
    <row r="142" spans="5:27">
      <c r="E142">
        <v>139</v>
      </c>
      <c r="F142" s="2">
        <f t="shared" si="81"/>
        <v>142612800</v>
      </c>
      <c r="G142" s="2">
        <f t="shared" si="82"/>
        <v>19600000</v>
      </c>
      <c r="H142" s="2">
        <f t="shared" si="57"/>
        <v>123012800</v>
      </c>
      <c r="I142" s="2">
        <f t="shared" si="79"/>
        <v>187431664</v>
      </c>
      <c r="J142" s="2">
        <f t="shared" si="80"/>
        <v>56229499.199999996</v>
      </c>
      <c r="K142" s="2">
        <f t="shared" si="72"/>
        <v>66783300.800000004</v>
      </c>
      <c r="L142" s="2">
        <f t="shared" si="78"/>
        <v>-132825591.50399999</v>
      </c>
      <c r="M142" s="2">
        <f t="shared" si="75"/>
        <v>123012800</v>
      </c>
      <c r="N142" s="2">
        <f t="shared" si="69"/>
        <v>1814292.6066528624</v>
      </c>
      <c r="P142">
        <v>139</v>
      </c>
      <c r="Q142" s="3">
        <f t="shared" si="68"/>
        <v>335332800</v>
      </c>
      <c r="R142" s="6">
        <f>$C$13+$C$6*$A$18*$C$10+50*'Carbon Tax'!$B$6</f>
        <v>256018039.71138734</v>
      </c>
      <c r="S142" s="3">
        <f t="shared" si="70"/>
        <v>79314760.288612664</v>
      </c>
      <c r="T142" s="7">
        <f t="shared" si="65"/>
        <v>116451.39675442025</v>
      </c>
      <c r="U142" s="7">
        <f t="shared" si="64"/>
        <v>29112.849188605061</v>
      </c>
      <c r="V142" s="7">
        <f t="shared" si="73"/>
        <v>79285647.439424053</v>
      </c>
      <c r="W142" s="7">
        <f t="shared" si="76"/>
        <v>21407124.808644496</v>
      </c>
      <c r="X142" s="11">
        <f t="shared" si="77"/>
        <v>57907635.479968168</v>
      </c>
      <c r="Y142" s="7">
        <f t="shared" si="71"/>
        <v>854068.80357210978</v>
      </c>
      <c r="AA142" s="2">
        <f t="shared" si="74"/>
        <v>65105164.520031832</v>
      </c>
    </row>
    <row r="143" spans="5:27">
      <c r="E143">
        <v>140</v>
      </c>
      <c r="F143" s="2">
        <f t="shared" si="81"/>
        <v>142612800</v>
      </c>
      <c r="G143" s="2">
        <f t="shared" si="82"/>
        <v>19600000</v>
      </c>
      <c r="H143" s="2">
        <f t="shared" si="57"/>
        <v>123012800</v>
      </c>
      <c r="I143" s="2">
        <f t="shared" si="79"/>
        <v>131202164.80000001</v>
      </c>
      <c r="J143" s="2">
        <f t="shared" si="80"/>
        <v>39360649.440000005</v>
      </c>
      <c r="K143" s="2">
        <f t="shared" si="72"/>
        <v>83652150.560000002</v>
      </c>
      <c r="L143" s="2">
        <f t="shared" si="78"/>
        <v>-110239510.85279998</v>
      </c>
      <c r="M143" s="2">
        <f t="shared" si="75"/>
        <v>123012800</v>
      </c>
      <c r="N143" s="2">
        <f t="shared" si="69"/>
        <v>1760082.0786310264</v>
      </c>
      <c r="P143">
        <v>140</v>
      </c>
      <c r="Q143" s="3">
        <f t="shared" si="68"/>
        <v>335332800</v>
      </c>
      <c r="R143" s="6">
        <f>$C$13+$C$6*$A$18*$C$10+50*'Carbon Tax'!$B$6</f>
        <v>256018039.71138734</v>
      </c>
      <c r="S143" s="3">
        <f t="shared" si="70"/>
        <v>79314760.288612664</v>
      </c>
      <c r="T143" s="7">
        <f t="shared" si="65"/>
        <v>87338.547565815184</v>
      </c>
      <c r="U143" s="7">
        <f t="shared" si="64"/>
        <v>21834.636891453796</v>
      </c>
      <c r="V143" s="7">
        <f t="shared" si="73"/>
        <v>79292925.651721209</v>
      </c>
      <c r="W143" s="7">
        <f t="shared" si="76"/>
        <v>21409089.925964728</v>
      </c>
      <c r="X143" s="11">
        <f t="shared" si="77"/>
        <v>57905670.362647936</v>
      </c>
      <c r="Y143" s="7">
        <f t="shared" si="71"/>
        <v>828521.36246319406</v>
      </c>
      <c r="AA143" s="2">
        <f t="shared" si="74"/>
        <v>65107129.637352064</v>
      </c>
    </row>
    <row r="144" spans="5:27">
      <c r="E144">
        <v>141</v>
      </c>
      <c r="F144" s="2">
        <f t="shared" si="81"/>
        <v>142612800</v>
      </c>
      <c r="G144" s="2">
        <f t="shared" si="82"/>
        <v>19600000</v>
      </c>
      <c r="H144" s="2">
        <f t="shared" si="57"/>
        <v>123012800</v>
      </c>
      <c r="I144" s="2">
        <f t="shared" si="79"/>
        <v>91841515.360000014</v>
      </c>
      <c r="J144" s="2">
        <f t="shared" si="80"/>
        <v>27552454.608000003</v>
      </c>
      <c r="K144" s="2">
        <f t="shared" si="72"/>
        <v>95460345.39199999</v>
      </c>
      <c r="L144" s="2">
        <f t="shared" si="78"/>
        <v>-84465217.596959978</v>
      </c>
      <c r="M144" s="2">
        <f t="shared" si="75"/>
        <v>123012800</v>
      </c>
      <c r="N144" s="2">
        <f t="shared" si="69"/>
        <v>1707491.3451989004</v>
      </c>
      <c r="P144">
        <v>141</v>
      </c>
      <c r="Q144" s="3">
        <f t="shared" si="68"/>
        <v>335332800</v>
      </c>
      <c r="R144" s="6">
        <f>$C$13+$C$6*$A$18*$C$10+50*'Carbon Tax'!$B$6</f>
        <v>256018039.71138734</v>
      </c>
      <c r="S144" s="3">
        <f t="shared" si="70"/>
        <v>79314760.288612664</v>
      </c>
      <c r="T144" s="7">
        <f t="shared" si="65"/>
        <v>65503.910674361388</v>
      </c>
      <c r="U144" s="7">
        <f t="shared" si="64"/>
        <v>16375.977668590347</v>
      </c>
      <c r="V144" s="7">
        <f t="shared" si="73"/>
        <v>79298384.31094408</v>
      </c>
      <c r="W144" s="7">
        <f t="shared" si="76"/>
        <v>21410563.763954904</v>
      </c>
      <c r="X144" s="11">
        <f t="shared" si="77"/>
        <v>57904196.524657756</v>
      </c>
      <c r="Y144" s="7">
        <f t="shared" si="71"/>
        <v>803744.93074338092</v>
      </c>
      <c r="AA144" s="2">
        <f t="shared" si="74"/>
        <v>65108603.475342244</v>
      </c>
    </row>
    <row r="145" spans="5:27">
      <c r="E145">
        <v>142</v>
      </c>
      <c r="F145" s="2">
        <f t="shared" si="81"/>
        <v>142612800</v>
      </c>
      <c r="G145" s="2">
        <f t="shared" si="82"/>
        <v>19600000</v>
      </c>
      <c r="H145" s="2">
        <f t="shared" si="57"/>
        <v>123012800</v>
      </c>
      <c r="I145" s="2">
        <f t="shared" si="79"/>
        <v>64289060.752000012</v>
      </c>
      <c r="J145" s="2">
        <f t="shared" si="80"/>
        <v>19286718.225600004</v>
      </c>
      <c r="K145" s="2">
        <f t="shared" si="72"/>
        <v>103726081.7744</v>
      </c>
      <c r="L145" s="2">
        <f t="shared" si="78"/>
        <v>-56459175.517871976</v>
      </c>
      <c r="M145" s="2">
        <f t="shared" si="75"/>
        <v>123012800</v>
      </c>
      <c r="N145" s="2">
        <f t="shared" si="69"/>
        <v>1656472.0073718475</v>
      </c>
      <c r="P145">
        <v>142</v>
      </c>
      <c r="Q145" s="3">
        <f t="shared" si="68"/>
        <v>335332800</v>
      </c>
      <c r="R145" s="6">
        <f>$C$13+$C$6*$A$18*$C$10+50*'Carbon Tax'!$B$6</f>
        <v>256018039.71138734</v>
      </c>
      <c r="S145" s="3">
        <f t="shared" si="70"/>
        <v>79314760.288612664</v>
      </c>
      <c r="T145" s="7">
        <f t="shared" si="65"/>
        <v>49127.933005771039</v>
      </c>
      <c r="U145" s="7">
        <f t="shared" si="64"/>
        <v>12281.98325144276</v>
      </c>
      <c r="V145" s="7">
        <f t="shared" si="73"/>
        <v>79302478.305361226</v>
      </c>
      <c r="W145" s="7">
        <f t="shared" si="76"/>
        <v>21411669.142447531</v>
      </c>
      <c r="X145" s="11">
        <f t="shared" si="77"/>
        <v>57903091.146165133</v>
      </c>
      <c r="Y145" s="7">
        <f t="shared" si="71"/>
        <v>779714.38438864262</v>
      </c>
      <c r="AA145" s="2">
        <f t="shared" si="74"/>
        <v>65109708.853834867</v>
      </c>
    </row>
    <row r="146" spans="5:27">
      <c r="E146">
        <v>143</v>
      </c>
      <c r="F146" s="2">
        <f t="shared" si="81"/>
        <v>142612800</v>
      </c>
      <c r="G146" s="2">
        <f t="shared" si="82"/>
        <v>19600000</v>
      </c>
      <c r="H146" s="2">
        <f t="shared" si="57"/>
        <v>123012800</v>
      </c>
      <c r="I146" s="2">
        <f t="shared" si="79"/>
        <v>45002342.526400007</v>
      </c>
      <c r="J146" s="2">
        <f t="shared" si="80"/>
        <v>13500702.757920003</v>
      </c>
      <c r="K146" s="2">
        <f t="shared" si="72"/>
        <v>109512097.24208</v>
      </c>
      <c r="L146" s="2">
        <f t="shared" si="78"/>
        <v>-26890909.262510374</v>
      </c>
      <c r="M146" s="2">
        <f t="shared" si="75"/>
        <v>123012800</v>
      </c>
      <c r="N146" s="2">
        <f t="shared" si="69"/>
        <v>1606977.1123126193</v>
      </c>
      <c r="P146">
        <v>143</v>
      </c>
      <c r="Q146" s="3">
        <f t="shared" si="68"/>
        <v>335332800</v>
      </c>
      <c r="R146" s="6">
        <f>$C$13+$C$6*$A$18*$C$10+50*'Carbon Tax'!$B$6</f>
        <v>256018039.71138734</v>
      </c>
      <c r="S146" s="3">
        <f t="shared" si="70"/>
        <v>79314760.288612664</v>
      </c>
      <c r="T146" s="7">
        <f t="shared" si="65"/>
        <v>36845.949754328278</v>
      </c>
      <c r="U146" s="7">
        <f t="shared" ref="U146:U167" si="83">T146*$B$29</f>
        <v>9211.4874385820694</v>
      </c>
      <c r="V146" s="7">
        <f t="shared" si="73"/>
        <v>79305548.801174074</v>
      </c>
      <c r="W146" s="7">
        <f t="shared" si="76"/>
        <v>21412498.176317003</v>
      </c>
      <c r="X146" s="11">
        <f t="shared" si="77"/>
        <v>57902262.112295657</v>
      </c>
      <c r="Y146" s="7">
        <f t="shared" si="71"/>
        <v>756405.91845389479</v>
      </c>
      <c r="AA146" s="2">
        <f t="shared" si="74"/>
        <v>65110537.887704343</v>
      </c>
    </row>
    <row r="147" spans="5:27">
      <c r="E147">
        <v>144</v>
      </c>
      <c r="F147" s="2">
        <f t="shared" si="81"/>
        <v>142612800</v>
      </c>
      <c r="G147" s="2">
        <f t="shared" si="82"/>
        <v>19600000</v>
      </c>
      <c r="H147" s="2">
        <f t="shared" si="57"/>
        <v>123012800</v>
      </c>
      <c r="I147" s="2">
        <f t="shared" si="79"/>
        <v>31501639.768480003</v>
      </c>
      <c r="J147" s="2">
        <f t="shared" si="80"/>
        <v>9450491.9305440001</v>
      </c>
      <c r="K147" s="2">
        <f t="shared" si="72"/>
        <v>113562308.069456</v>
      </c>
      <c r="L147" s="2">
        <f t="shared" si="78"/>
        <v>3770913.9162427485</v>
      </c>
      <c r="M147" s="2">
        <f t="shared" si="75"/>
        <v>119241886.08375725</v>
      </c>
      <c r="N147" s="2">
        <f t="shared" si="69"/>
        <v>1511171.7081640572</v>
      </c>
      <c r="P147">
        <v>144</v>
      </c>
      <c r="Q147" s="3">
        <f t="shared" si="68"/>
        <v>335332800</v>
      </c>
      <c r="R147" s="6">
        <f>$C$13+$C$6*$A$18*$C$10+50*'Carbon Tax'!$B$6</f>
        <v>256018039.71138734</v>
      </c>
      <c r="S147" s="3">
        <f t="shared" si="70"/>
        <v>79314760.288612664</v>
      </c>
      <c r="T147" s="7">
        <f t="shared" si="65"/>
        <v>27634.462315746208</v>
      </c>
      <c r="U147" s="7">
        <f t="shared" si="83"/>
        <v>6908.6155789365521</v>
      </c>
      <c r="V147" s="7">
        <f t="shared" si="73"/>
        <v>79307851.673033729</v>
      </c>
      <c r="W147" s="7">
        <f t="shared" si="76"/>
        <v>21413119.951719109</v>
      </c>
      <c r="X147" s="11">
        <f t="shared" si="77"/>
        <v>57901640.336893559</v>
      </c>
      <c r="Y147" s="7">
        <f t="shared" si="71"/>
        <v>733796.85282689601</v>
      </c>
      <c r="AA147" s="2">
        <f t="shared" si="74"/>
        <v>61340245.746863693</v>
      </c>
    </row>
    <row r="148" spans="5:27">
      <c r="E148">
        <v>145</v>
      </c>
      <c r="F148" s="2">
        <f t="shared" si="81"/>
        <v>142612800</v>
      </c>
      <c r="G148" s="2">
        <f t="shared" si="82"/>
        <v>19600000</v>
      </c>
      <c r="H148" s="2">
        <f t="shared" si="57"/>
        <v>123012800</v>
      </c>
      <c r="I148" s="2">
        <f t="shared" si="79"/>
        <v>22051147.837936003</v>
      </c>
      <c r="J148" s="2">
        <f t="shared" si="80"/>
        <v>6615344.3513808008</v>
      </c>
      <c r="K148" s="2">
        <f t="shared" si="72"/>
        <v>116397455.6486192</v>
      </c>
      <c r="L148" s="2">
        <f t="shared" si="78"/>
        <v>31427313.025127187</v>
      </c>
      <c r="M148" s="2">
        <f t="shared" si="75"/>
        <v>91585486.974872813</v>
      </c>
      <c r="N148" s="2">
        <f t="shared" si="69"/>
        <v>1125996.9821441777</v>
      </c>
      <c r="P148">
        <v>145</v>
      </c>
      <c r="Q148" s="3">
        <f t="shared" si="68"/>
        <v>335332800</v>
      </c>
      <c r="R148" s="6">
        <f>$C$13+$C$6*$A$18*$C$10+50*'Carbon Tax'!$B$6</f>
        <v>256018039.71138734</v>
      </c>
      <c r="S148" s="3">
        <f t="shared" si="70"/>
        <v>79314760.288612664</v>
      </c>
      <c r="T148" s="7">
        <f t="shared" si="65"/>
        <v>20725.846736809657</v>
      </c>
      <c r="U148" s="7">
        <f t="shared" si="83"/>
        <v>5181.4616842024143</v>
      </c>
      <c r="V148" s="7">
        <f t="shared" si="73"/>
        <v>79309578.826928467</v>
      </c>
      <c r="W148" s="7">
        <f t="shared" si="76"/>
        <v>21413586.283270687</v>
      </c>
      <c r="X148" s="11">
        <f t="shared" si="77"/>
        <v>57901174.005341977</v>
      </c>
      <c r="Y148" s="7">
        <f t="shared" si="71"/>
        <v>711865.48596402782</v>
      </c>
      <c r="AA148" s="2">
        <f t="shared" si="74"/>
        <v>33684312.969530836</v>
      </c>
    </row>
    <row r="149" spans="5:27">
      <c r="E149">
        <v>146</v>
      </c>
      <c r="F149" s="2">
        <f t="shared" si="81"/>
        <v>142612800</v>
      </c>
      <c r="G149" s="2">
        <f t="shared" si="82"/>
        <v>19600000</v>
      </c>
      <c r="H149" s="2">
        <f t="shared" si="57"/>
        <v>123012800</v>
      </c>
      <c r="I149" s="2">
        <f t="shared" si="79"/>
        <v>15435803.486555202</v>
      </c>
      <c r="J149" s="2">
        <f t="shared" si="80"/>
        <v>4630741.04596656</v>
      </c>
      <c r="K149" s="2">
        <f t="shared" si="72"/>
        <v>118382058.95403343</v>
      </c>
      <c r="L149" s="2">
        <f t="shared" si="78"/>
        <v>31963155.917589031</v>
      </c>
      <c r="M149" s="2">
        <f t="shared" si="75"/>
        <v>91049644.082410961</v>
      </c>
      <c r="N149" s="2">
        <f t="shared" si="69"/>
        <v>1085961.453541015</v>
      </c>
      <c r="P149">
        <v>146</v>
      </c>
      <c r="Q149" s="3">
        <f t="shared" si="68"/>
        <v>335332800</v>
      </c>
      <c r="R149" s="6">
        <f>$C$13+$C$6*$A$18*$C$10+50*'Carbon Tax'!$B$6</f>
        <v>256018039.71138734</v>
      </c>
      <c r="S149" s="3">
        <f t="shared" si="70"/>
        <v>79314760.288612664</v>
      </c>
      <c r="T149" s="7">
        <f t="shared" si="65"/>
        <v>15544.385052607242</v>
      </c>
      <c r="U149" s="7">
        <f t="shared" si="83"/>
        <v>3886.0962631518105</v>
      </c>
      <c r="V149" s="7">
        <f t="shared" si="73"/>
        <v>79310874.192349508</v>
      </c>
      <c r="W149" s="7">
        <f t="shared" si="76"/>
        <v>21413936.031934369</v>
      </c>
      <c r="X149" s="11">
        <f t="shared" si="77"/>
        <v>57900824.256678298</v>
      </c>
      <c r="Y149" s="7">
        <f t="shared" si="71"/>
        <v>690590.98368460359</v>
      </c>
      <c r="AA149" s="2">
        <f t="shared" si="74"/>
        <v>33148819.825732663</v>
      </c>
    </row>
    <row r="150" spans="5:27">
      <c r="E150">
        <v>147</v>
      </c>
      <c r="F150" s="2">
        <f t="shared" si="81"/>
        <v>142612800</v>
      </c>
      <c r="G150" s="2">
        <f t="shared" si="82"/>
        <v>19600000</v>
      </c>
      <c r="H150" s="2">
        <f t="shared" si="57"/>
        <v>123012800</v>
      </c>
      <c r="I150" s="2">
        <f t="shared" si="79"/>
        <v>10805062.440588642</v>
      </c>
      <c r="J150" s="2">
        <f t="shared" si="80"/>
        <v>3241518.7321765926</v>
      </c>
      <c r="K150" s="2">
        <f t="shared" si="72"/>
        <v>119771281.26782341</v>
      </c>
      <c r="L150" s="2">
        <f t="shared" si="78"/>
        <v>32338245.942312323</v>
      </c>
      <c r="M150" s="2">
        <f t="shared" si="75"/>
        <v>90674554.05768767</v>
      </c>
      <c r="N150" s="2">
        <f t="shared" si="69"/>
        <v>1049173.1702994877</v>
      </c>
      <c r="P150">
        <v>147</v>
      </c>
      <c r="Q150" s="3">
        <f t="shared" si="68"/>
        <v>335332800</v>
      </c>
      <c r="R150" s="6">
        <f>$C$13+$C$6*$A$18*$C$10+50*'Carbon Tax'!$B$6</f>
        <v>256018039.71138734</v>
      </c>
      <c r="S150" s="3">
        <f t="shared" si="70"/>
        <v>79314760.288612664</v>
      </c>
      <c r="T150" s="7">
        <f t="shared" si="65"/>
        <v>11658.288789455431</v>
      </c>
      <c r="U150" s="7">
        <f t="shared" si="83"/>
        <v>2914.5721973638579</v>
      </c>
      <c r="V150" s="7">
        <f t="shared" si="73"/>
        <v>79311845.716415301</v>
      </c>
      <c r="W150" s="7">
        <f t="shared" si="76"/>
        <v>21414198.343432132</v>
      </c>
      <c r="X150" s="11">
        <f t="shared" si="77"/>
        <v>57900561.945180535</v>
      </c>
      <c r="Y150" s="7">
        <f t="shared" si="71"/>
        <v>669953.29361640848</v>
      </c>
      <c r="AA150" s="2">
        <f t="shared" si="74"/>
        <v>32773992.112507135</v>
      </c>
    </row>
    <row r="151" spans="5:27">
      <c r="E151">
        <v>148</v>
      </c>
      <c r="F151" s="2">
        <f t="shared" ref="F151:F168" si="84">$B$11</f>
        <v>142612800</v>
      </c>
      <c r="G151" s="2">
        <f t="shared" ref="G151:G168" si="85">$B$13</f>
        <v>19600000</v>
      </c>
      <c r="H151" s="2">
        <f t="shared" si="57"/>
        <v>123012800</v>
      </c>
      <c r="I151" s="2">
        <f t="shared" si="79"/>
        <v>7563543.7084120493</v>
      </c>
      <c r="J151" s="2">
        <f t="shared" si="80"/>
        <v>2269063.1125236149</v>
      </c>
      <c r="K151" s="2">
        <f t="shared" si="72"/>
        <v>120743736.88747638</v>
      </c>
      <c r="L151" s="2">
        <f t="shared" si="78"/>
        <v>32600808.959618624</v>
      </c>
      <c r="M151" s="2">
        <f t="shared" si="75"/>
        <v>90411991.040381372</v>
      </c>
      <c r="N151" s="2">
        <f t="shared" si="69"/>
        <v>1014876.9088136047</v>
      </c>
      <c r="P151">
        <v>148</v>
      </c>
      <c r="Q151" s="3">
        <f t="shared" si="68"/>
        <v>335332800</v>
      </c>
      <c r="R151" s="6">
        <f>$C$13+$C$6*$A$18*$C$10+50*'Carbon Tax'!$B$6</f>
        <v>256018039.71138734</v>
      </c>
      <c r="S151" s="3">
        <f t="shared" si="70"/>
        <v>79314760.288612664</v>
      </c>
      <c r="T151" s="7">
        <f t="shared" si="65"/>
        <v>8743.7165920915741</v>
      </c>
      <c r="U151" s="7">
        <f t="shared" si="83"/>
        <v>2185.9291480228935</v>
      </c>
      <c r="V151" s="7">
        <f t="shared" si="73"/>
        <v>79312574.359464645</v>
      </c>
      <c r="W151" s="7">
        <f t="shared" si="76"/>
        <v>21414395.077055454</v>
      </c>
      <c r="X151" s="11">
        <f t="shared" si="77"/>
        <v>57900365.211557209</v>
      </c>
      <c r="Y151" s="7">
        <f t="shared" si="71"/>
        <v>649933.07844353048</v>
      </c>
      <c r="AA151" s="2">
        <f t="shared" si="74"/>
        <v>32511625.828824162</v>
      </c>
    </row>
    <row r="152" spans="5:27">
      <c r="E152">
        <v>149</v>
      </c>
      <c r="F152" s="2">
        <f t="shared" si="84"/>
        <v>142612800</v>
      </c>
      <c r="G152" s="2">
        <f t="shared" si="85"/>
        <v>19600000</v>
      </c>
      <c r="H152" s="2">
        <f t="shared" si="57"/>
        <v>123012800</v>
      </c>
      <c r="I152" s="2">
        <f t="shared" si="79"/>
        <v>5294480.595888434</v>
      </c>
      <c r="J152" s="2">
        <f t="shared" si="80"/>
        <v>1588344.1787665302</v>
      </c>
      <c r="K152" s="2">
        <f t="shared" si="72"/>
        <v>121424455.82123347</v>
      </c>
      <c r="L152" s="2">
        <f t="shared" si="78"/>
        <v>32784603.071733039</v>
      </c>
      <c r="M152" s="2">
        <f t="shared" si="75"/>
        <v>90228196.928266957</v>
      </c>
      <c r="N152" s="2">
        <f t="shared" si="69"/>
        <v>982551.23710757087</v>
      </c>
      <c r="P152">
        <v>149</v>
      </c>
      <c r="Q152" s="3">
        <f t="shared" si="68"/>
        <v>335332800</v>
      </c>
      <c r="R152" s="6">
        <f>$C$13+$C$6*$A$18*$C$10+50*'Carbon Tax'!$B$6</f>
        <v>256018039.71138734</v>
      </c>
      <c r="S152" s="3">
        <f t="shared" si="70"/>
        <v>79314760.288612664</v>
      </c>
      <c r="T152" s="7">
        <f t="shared" si="65"/>
        <v>6557.787444068681</v>
      </c>
      <c r="U152" s="7">
        <f t="shared" si="83"/>
        <v>1639.4468610171702</v>
      </c>
      <c r="V152" s="7">
        <f t="shared" si="73"/>
        <v>79313120.84175165</v>
      </c>
      <c r="W152" s="7">
        <f t="shared" si="76"/>
        <v>21414542.627272949</v>
      </c>
      <c r="X152" s="11">
        <f t="shared" si="77"/>
        <v>57900217.661339715</v>
      </c>
      <c r="Y152" s="7">
        <f t="shared" si="71"/>
        <v>630511.66296912124</v>
      </c>
      <c r="AA152" s="2">
        <f t="shared" si="74"/>
        <v>32327979.266927242</v>
      </c>
    </row>
    <row r="153" spans="5:27">
      <c r="E153">
        <v>150</v>
      </c>
      <c r="F153" s="2">
        <f t="shared" si="84"/>
        <v>142612800</v>
      </c>
      <c r="G153" s="2">
        <f t="shared" si="85"/>
        <v>19600000</v>
      </c>
      <c r="H153" s="2">
        <f t="shared" si="57"/>
        <v>123012800</v>
      </c>
      <c r="I153" s="2">
        <f t="shared" si="79"/>
        <v>3706136.417121904</v>
      </c>
      <c r="J153" s="2">
        <f t="shared" si="80"/>
        <v>1111840.9251365711</v>
      </c>
      <c r="K153" s="2">
        <f t="shared" si="72"/>
        <v>121900959.07486343</v>
      </c>
      <c r="L153" s="2">
        <f t="shared" si="78"/>
        <v>32913258.950213131</v>
      </c>
      <c r="M153" s="2">
        <f t="shared" si="75"/>
        <v>90099541.049786866</v>
      </c>
      <c r="N153" s="2">
        <f t="shared" si="69"/>
        <v>951833.7435247195</v>
      </c>
      <c r="P153">
        <v>150</v>
      </c>
      <c r="Q153" s="3">
        <f t="shared" si="68"/>
        <v>335332800</v>
      </c>
      <c r="R153" s="6">
        <f>$C$13+$C$6*$A$18*$C$10+50*'Carbon Tax'!$B$6</f>
        <v>256018039.71138734</v>
      </c>
      <c r="S153" s="3">
        <f t="shared" si="70"/>
        <v>79314760.288612664</v>
      </c>
      <c r="T153" s="7">
        <f t="shared" si="65"/>
        <v>4918.3405830515112</v>
      </c>
      <c r="U153" s="7">
        <f t="shared" si="83"/>
        <v>1229.5851457628778</v>
      </c>
      <c r="V153" s="7">
        <f t="shared" si="73"/>
        <v>79313530.703466907</v>
      </c>
      <c r="W153" s="7">
        <f t="shared" si="76"/>
        <v>21414653.289936066</v>
      </c>
      <c r="X153" s="11">
        <f t="shared" si="77"/>
        <v>57900106.998676598</v>
      </c>
      <c r="Y153" s="7">
        <f t="shared" si="71"/>
        <v>611670.99136031081</v>
      </c>
      <c r="AA153" s="2">
        <f t="shared" si="74"/>
        <v>32199434.051110268</v>
      </c>
    </row>
    <row r="154" spans="5:27">
      <c r="E154">
        <v>151</v>
      </c>
      <c r="F154" s="2">
        <f t="shared" si="84"/>
        <v>142612800</v>
      </c>
      <c r="G154" s="2">
        <f t="shared" si="85"/>
        <v>19600000</v>
      </c>
      <c r="H154" s="2">
        <f t="shared" si="57"/>
        <v>123012800</v>
      </c>
      <c r="I154" s="2">
        <f t="shared" si="79"/>
        <v>2594295.4919853332</v>
      </c>
      <c r="J154" s="2">
        <f t="shared" si="80"/>
        <v>778288.64759559988</v>
      </c>
      <c r="K154" s="2">
        <f t="shared" si="72"/>
        <v>122234511.3524044</v>
      </c>
      <c r="L154" s="2">
        <f t="shared" si="78"/>
        <v>33003318.065149192</v>
      </c>
      <c r="M154" s="2">
        <f t="shared" si="75"/>
        <v>90009481.934850812</v>
      </c>
      <c r="N154" s="2">
        <f t="shared" si="69"/>
        <v>922470.25305841828</v>
      </c>
      <c r="P154">
        <v>151</v>
      </c>
      <c r="Q154" s="3">
        <f t="shared" si="68"/>
        <v>335332800</v>
      </c>
      <c r="R154" s="6">
        <f>$C$13+$C$6*$A$18*$C$10+50*'Carbon Tax'!$B$6</f>
        <v>256018039.71138734</v>
      </c>
      <c r="S154" s="3">
        <f t="shared" si="70"/>
        <v>79314760.288612664</v>
      </c>
      <c r="T154" s="7">
        <f t="shared" si="65"/>
        <v>3688.7554372886334</v>
      </c>
      <c r="U154" s="7">
        <f t="shared" si="83"/>
        <v>922.18885932215835</v>
      </c>
      <c r="V154" s="7">
        <f t="shared" si="73"/>
        <v>79313838.099753335</v>
      </c>
      <c r="W154" s="7">
        <f t="shared" si="76"/>
        <v>21414736.286933403</v>
      </c>
      <c r="X154" s="11">
        <f t="shared" si="77"/>
        <v>57900024.001679257</v>
      </c>
      <c r="Y154" s="7">
        <f t="shared" si="71"/>
        <v>593393.5919282001</v>
      </c>
      <c r="AA154" s="2">
        <f t="shared" si="74"/>
        <v>32109457.933171555</v>
      </c>
    </row>
    <row r="155" spans="5:27">
      <c r="E155">
        <v>152</v>
      </c>
      <c r="F155" s="2">
        <f t="shared" si="84"/>
        <v>142612800</v>
      </c>
      <c r="G155" s="2">
        <f t="shared" si="85"/>
        <v>19600000</v>
      </c>
      <c r="H155" s="2">
        <f t="shared" si="57"/>
        <v>123012800</v>
      </c>
      <c r="I155" s="2">
        <f t="shared" si="79"/>
        <v>1816006.8443897334</v>
      </c>
      <c r="J155" s="2">
        <f t="shared" si="80"/>
        <v>544802.05331691995</v>
      </c>
      <c r="K155" s="2">
        <f t="shared" si="72"/>
        <v>122467997.94668308</v>
      </c>
      <c r="L155" s="2">
        <f t="shared" si="78"/>
        <v>33066359.445604432</v>
      </c>
      <c r="M155" s="2">
        <f t="shared" si="75"/>
        <v>89946440.554395571</v>
      </c>
      <c r="N155" s="2">
        <f t="shared" si="69"/>
        <v>894280.33354044461</v>
      </c>
      <c r="P155">
        <v>152</v>
      </c>
      <c r="Q155" s="3">
        <f t="shared" si="68"/>
        <v>335332800</v>
      </c>
      <c r="R155" s="6">
        <f>$C$13+$C$6*$A$18*$C$10+50*'Carbon Tax'!$B$6</f>
        <v>256018039.71138734</v>
      </c>
      <c r="S155" s="3">
        <f t="shared" si="70"/>
        <v>79314760.288612664</v>
      </c>
      <c r="T155" s="7">
        <f t="shared" si="65"/>
        <v>2766.5665779664751</v>
      </c>
      <c r="U155" s="7">
        <f t="shared" si="83"/>
        <v>691.64164449161876</v>
      </c>
      <c r="V155" s="7">
        <f t="shared" si="73"/>
        <v>79314068.646968171</v>
      </c>
      <c r="W155" s="7">
        <f t="shared" si="76"/>
        <v>21414798.534681406</v>
      </c>
      <c r="X155" s="11">
        <f t="shared" si="77"/>
        <v>57899961.753931254</v>
      </c>
      <c r="Y155" s="7">
        <f t="shared" si="71"/>
        <v>575662.54751316295</v>
      </c>
      <c r="AA155" s="2">
        <f t="shared" si="74"/>
        <v>32046478.800464317</v>
      </c>
    </row>
    <row r="156" spans="5:27">
      <c r="E156">
        <v>153</v>
      </c>
      <c r="F156" s="2">
        <f t="shared" si="84"/>
        <v>142612800</v>
      </c>
      <c r="G156" s="2">
        <f t="shared" si="85"/>
        <v>19600000</v>
      </c>
      <c r="H156" s="2">
        <f t="shared" si="57"/>
        <v>123012800</v>
      </c>
      <c r="I156" s="2">
        <f t="shared" si="79"/>
        <v>1271204.7910728133</v>
      </c>
      <c r="J156" s="2">
        <f t="shared" si="80"/>
        <v>381361.43732184399</v>
      </c>
      <c r="K156" s="2">
        <f t="shared" si="72"/>
        <v>122631438.56267816</v>
      </c>
      <c r="L156" s="2">
        <f t="shared" si="78"/>
        <v>33110488.411923107</v>
      </c>
      <c r="M156" s="2">
        <f t="shared" si="75"/>
        <v>89902311.58807689</v>
      </c>
      <c r="N156" s="2">
        <f t="shared" si="69"/>
        <v>867133.86423612654</v>
      </c>
      <c r="P156">
        <v>153</v>
      </c>
      <c r="Q156" s="3">
        <f t="shared" si="68"/>
        <v>335332800</v>
      </c>
      <c r="R156" s="6">
        <f>$C$13+$C$6*$A$18*$C$10+50*'Carbon Tax'!$B$6</f>
        <v>256018039.71138734</v>
      </c>
      <c r="S156" s="3">
        <f t="shared" si="70"/>
        <v>79314760.288612664</v>
      </c>
      <c r="T156" s="7">
        <f t="shared" si="65"/>
        <v>2074.9249334748565</v>
      </c>
      <c r="U156" s="7">
        <f t="shared" si="83"/>
        <v>518.73123336871413</v>
      </c>
      <c r="V156" s="7">
        <f t="shared" si="73"/>
        <v>79314241.55737929</v>
      </c>
      <c r="W156" s="7">
        <f t="shared" si="76"/>
        <v>21414845.220492411</v>
      </c>
      <c r="X156" s="11">
        <f t="shared" si="77"/>
        <v>57899915.068120256</v>
      </c>
      <c r="Y156" s="7">
        <f t="shared" si="71"/>
        <v>558461.47006770899</v>
      </c>
      <c r="AA156" s="2">
        <f t="shared" si="74"/>
        <v>32002396.519956633</v>
      </c>
    </row>
    <row r="157" spans="5:27">
      <c r="E157">
        <v>154</v>
      </c>
      <c r="F157" s="2">
        <f t="shared" si="84"/>
        <v>142612800</v>
      </c>
      <c r="G157" s="2">
        <f t="shared" si="85"/>
        <v>19600000</v>
      </c>
      <c r="H157" s="2">
        <f t="shared" si="57"/>
        <v>123012800</v>
      </c>
      <c r="I157" s="2">
        <f t="shared" si="79"/>
        <v>889843.35375096928</v>
      </c>
      <c r="J157" s="2">
        <f t="shared" si="80"/>
        <v>266953.00612529076</v>
      </c>
      <c r="K157" s="2">
        <f t="shared" si="72"/>
        <v>122745846.99387471</v>
      </c>
      <c r="L157" s="2">
        <f t="shared" si="78"/>
        <v>33141378.688346174</v>
      </c>
      <c r="M157" s="2">
        <f t="shared" si="75"/>
        <v>89871421.311653823</v>
      </c>
      <c r="N157" s="2">
        <f t="shared" si="69"/>
        <v>840935.11696039385</v>
      </c>
      <c r="P157">
        <v>154</v>
      </c>
      <c r="Q157" s="3">
        <f t="shared" si="68"/>
        <v>335332800</v>
      </c>
      <c r="R157" s="6">
        <f>$C$13+$C$6*$A$18*$C$10+50*'Carbon Tax'!$B$6</f>
        <v>256018039.71138734</v>
      </c>
      <c r="S157" s="3">
        <f t="shared" si="70"/>
        <v>79314760.288612664</v>
      </c>
      <c r="T157" s="7">
        <f t="shared" si="65"/>
        <v>1556.1937001061424</v>
      </c>
      <c r="U157" s="7">
        <f t="shared" si="83"/>
        <v>389.0484250265356</v>
      </c>
      <c r="V157" s="7">
        <f t="shared" si="73"/>
        <v>79314371.24018763</v>
      </c>
      <c r="W157" s="7">
        <f t="shared" si="76"/>
        <v>21414880.23485066</v>
      </c>
      <c r="X157" s="11">
        <f t="shared" si="77"/>
        <v>57899880.053762004</v>
      </c>
      <c r="Y157" s="7">
        <f t="shared" si="71"/>
        <v>541774.4784090711</v>
      </c>
      <c r="AA157" s="2">
        <f t="shared" si="74"/>
        <v>31971541.257891819</v>
      </c>
    </row>
    <row r="158" spans="5:27">
      <c r="E158">
        <v>155</v>
      </c>
      <c r="F158" s="2">
        <f t="shared" si="84"/>
        <v>142612800</v>
      </c>
      <c r="G158" s="2">
        <f t="shared" si="85"/>
        <v>19600000</v>
      </c>
      <c r="H158" s="2">
        <f t="shared" si="57"/>
        <v>123012800</v>
      </c>
      <c r="I158" s="2">
        <f t="shared" si="79"/>
        <v>622890.34762567852</v>
      </c>
      <c r="J158" s="2">
        <f t="shared" si="80"/>
        <v>186867.10428770355</v>
      </c>
      <c r="K158" s="2">
        <f t="shared" si="72"/>
        <v>122825932.8957123</v>
      </c>
      <c r="L158" s="2">
        <f t="shared" si="78"/>
        <v>33163001.881842323</v>
      </c>
      <c r="M158" s="2">
        <f t="shared" si="75"/>
        <v>89849798.118157685</v>
      </c>
      <c r="N158" s="2">
        <f t="shared" si="69"/>
        <v>815611.939036906</v>
      </c>
      <c r="P158">
        <v>155</v>
      </c>
      <c r="Q158" s="3">
        <f t="shared" si="68"/>
        <v>335332800</v>
      </c>
      <c r="R158" s="6">
        <f>$C$13+$C$6*$A$18*$C$10+50*'Carbon Tax'!$B$6</f>
        <v>256018039.71138734</v>
      </c>
      <c r="S158" s="3">
        <f t="shared" si="70"/>
        <v>79314760.288612664</v>
      </c>
      <c r="T158" s="7">
        <f t="shared" si="65"/>
        <v>1167.1452750796068</v>
      </c>
      <c r="U158" s="7">
        <f t="shared" si="83"/>
        <v>291.7863187699017</v>
      </c>
      <c r="V158" s="7">
        <f t="shared" si="73"/>
        <v>79314468.5022939</v>
      </c>
      <c r="W158" s="7">
        <f t="shared" si="76"/>
        <v>21414906.495619353</v>
      </c>
      <c r="X158" s="11">
        <f t="shared" si="77"/>
        <v>57899853.792993307</v>
      </c>
      <c r="Y158" s="7">
        <f t="shared" si="71"/>
        <v>525586.17839023506</v>
      </c>
      <c r="AA158" s="2">
        <f t="shared" si="74"/>
        <v>31949944.325164378</v>
      </c>
    </row>
    <row r="159" spans="5:27">
      <c r="E159">
        <v>156</v>
      </c>
      <c r="F159" s="2">
        <f t="shared" si="84"/>
        <v>142612800</v>
      </c>
      <c r="G159" s="2">
        <f t="shared" si="85"/>
        <v>19600000</v>
      </c>
      <c r="H159" s="2">
        <f t="shared" si="57"/>
        <v>123012800</v>
      </c>
      <c r="I159" s="2">
        <f t="shared" si="79"/>
        <v>436023.243337975</v>
      </c>
      <c r="J159" s="2">
        <f t="shared" si="80"/>
        <v>130806.9730013925</v>
      </c>
      <c r="K159" s="2">
        <f t="shared" si="72"/>
        <v>122881993.02699861</v>
      </c>
      <c r="L159" s="2">
        <f t="shared" si="78"/>
        <v>33178138.117289625</v>
      </c>
      <c r="M159" s="2">
        <f t="shared" si="75"/>
        <v>89834661.882710367</v>
      </c>
      <c r="N159" s="2">
        <f t="shared" si="69"/>
        <v>791108.40104076231</v>
      </c>
      <c r="P159">
        <v>156</v>
      </c>
      <c r="Q159" s="3">
        <f t="shared" si="68"/>
        <v>335332800</v>
      </c>
      <c r="R159" s="6">
        <f>$C$13+$C$6*$A$18*$C$10+50*'Carbon Tax'!$B$6</f>
        <v>256018039.71138734</v>
      </c>
      <c r="S159" s="3">
        <f t="shared" si="70"/>
        <v>79314760.288612664</v>
      </c>
      <c r="T159" s="7">
        <f t="shared" si="65"/>
        <v>875.35895630970504</v>
      </c>
      <c r="U159" s="7">
        <f t="shared" si="83"/>
        <v>218.83973907742626</v>
      </c>
      <c r="V159" s="7">
        <f t="shared" si="73"/>
        <v>79314541.44887358</v>
      </c>
      <c r="W159" s="7">
        <f t="shared" si="76"/>
        <v>21414926.191195868</v>
      </c>
      <c r="X159" s="11">
        <f t="shared" si="77"/>
        <v>57899834.097416796</v>
      </c>
      <c r="Y159" s="7">
        <f t="shared" si="71"/>
        <v>509881.64493941813</v>
      </c>
      <c r="AA159" s="2">
        <f t="shared" si="74"/>
        <v>31934827.785293572</v>
      </c>
    </row>
    <row r="160" spans="5:27">
      <c r="E160">
        <v>157</v>
      </c>
      <c r="F160" s="2">
        <f t="shared" si="84"/>
        <v>142612800</v>
      </c>
      <c r="G160" s="2">
        <f t="shared" si="85"/>
        <v>19600000</v>
      </c>
      <c r="H160" s="2">
        <f t="shared" si="57"/>
        <v>123012800</v>
      </c>
      <c r="I160" s="2">
        <f t="shared" si="79"/>
        <v>305216.2703365825</v>
      </c>
      <c r="J160" s="2">
        <f t="shared" si="80"/>
        <v>91564.881100974744</v>
      </c>
      <c r="K160" s="2">
        <f t="shared" si="72"/>
        <v>122921235.11889903</v>
      </c>
      <c r="L160" s="2">
        <f t="shared" si="78"/>
        <v>33188733.482102741</v>
      </c>
      <c r="M160" s="2">
        <f t="shared" si="75"/>
        <v>89824066.517897263</v>
      </c>
      <c r="N160" s="2">
        <f t="shared" si="69"/>
        <v>767379.797617506</v>
      </c>
      <c r="P160">
        <v>157</v>
      </c>
      <c r="Q160" s="3">
        <f t="shared" si="68"/>
        <v>335332800</v>
      </c>
      <c r="R160" s="6">
        <f>$C$13+$C$6*$A$18*$C$10+50*'Carbon Tax'!$B$6</f>
        <v>256018039.71138734</v>
      </c>
      <c r="S160" s="3">
        <f t="shared" si="70"/>
        <v>79314760.288612664</v>
      </c>
      <c r="T160" s="7">
        <f t="shared" si="65"/>
        <v>656.51921723227883</v>
      </c>
      <c r="U160" s="7">
        <f t="shared" si="83"/>
        <v>164.12980430806971</v>
      </c>
      <c r="V160" s="7">
        <f t="shared" si="73"/>
        <v>79314596.158808351</v>
      </c>
      <c r="W160" s="7">
        <f t="shared" si="76"/>
        <v>21414940.962878257</v>
      </c>
      <c r="X160" s="11">
        <f t="shared" si="77"/>
        <v>57899819.325734407</v>
      </c>
      <c r="Y160" s="7">
        <f t="shared" si="71"/>
        <v>494646.40556458681</v>
      </c>
      <c r="AA160" s="2">
        <f t="shared" si="74"/>
        <v>31924247.192162856</v>
      </c>
    </row>
    <row r="161" spans="5:27">
      <c r="E161">
        <v>158</v>
      </c>
      <c r="F161" s="2">
        <f t="shared" si="84"/>
        <v>142612800</v>
      </c>
      <c r="G161" s="2">
        <f t="shared" si="85"/>
        <v>19600000</v>
      </c>
      <c r="H161" s="2">
        <f t="shared" si="57"/>
        <v>123012800</v>
      </c>
      <c r="I161" s="2">
        <f t="shared" si="79"/>
        <v>213651.38923560776</v>
      </c>
      <c r="J161" s="2">
        <f t="shared" si="80"/>
        <v>64095.416770682321</v>
      </c>
      <c r="K161" s="2">
        <f t="shared" si="72"/>
        <v>122948704.58322932</v>
      </c>
      <c r="L161" s="2">
        <f t="shared" si="78"/>
        <v>33196150.23747192</v>
      </c>
      <c r="M161" s="2">
        <f t="shared" si="75"/>
        <v>89816649.762528077</v>
      </c>
      <c r="N161" s="2">
        <f t="shared" si="69"/>
        <v>744389.24642967794</v>
      </c>
      <c r="P161">
        <v>158</v>
      </c>
      <c r="Q161" s="3">
        <f t="shared" si="68"/>
        <v>335332800</v>
      </c>
      <c r="R161" s="6">
        <f>$C$13+$C$6*$A$18*$C$10+50*'Carbon Tax'!$B$6</f>
        <v>256018039.71138734</v>
      </c>
      <c r="S161" s="3">
        <f t="shared" si="70"/>
        <v>79314760.288612664</v>
      </c>
      <c r="T161" s="7">
        <f t="shared" si="65"/>
        <v>492.38941292420913</v>
      </c>
      <c r="U161" s="7">
        <f t="shared" si="83"/>
        <v>123.09735323105228</v>
      </c>
      <c r="V161" s="7">
        <f t="shared" si="73"/>
        <v>79314637.191259429</v>
      </c>
      <c r="W161" s="7">
        <f t="shared" si="76"/>
        <v>21414952.041640047</v>
      </c>
      <c r="X161" s="11">
        <f t="shared" si="77"/>
        <v>57899808.24697262</v>
      </c>
      <c r="Y161" s="7">
        <f t="shared" si="71"/>
        <v>479866.42502633535</v>
      </c>
      <c r="AA161" s="2">
        <f t="shared" si="74"/>
        <v>31916841.515555456</v>
      </c>
    </row>
    <row r="162" spans="5:27">
      <c r="E162">
        <v>159</v>
      </c>
      <c r="F162" s="2">
        <f t="shared" si="84"/>
        <v>142612800</v>
      </c>
      <c r="G162" s="2">
        <f t="shared" si="85"/>
        <v>19600000</v>
      </c>
      <c r="H162" s="2">
        <f t="shared" si="57"/>
        <v>123012800</v>
      </c>
      <c r="I162" s="2">
        <f t="shared" si="79"/>
        <v>149555.97246492543</v>
      </c>
      <c r="J162" s="2">
        <f t="shared" si="80"/>
        <v>44866.79173947763</v>
      </c>
      <c r="K162" s="2">
        <f t="shared" si="72"/>
        <v>122967933.20826052</v>
      </c>
      <c r="L162" s="2">
        <f t="shared" si="78"/>
        <v>33201341.966230344</v>
      </c>
      <c r="M162" s="2">
        <f t="shared" si="75"/>
        <v>89811458.033769652</v>
      </c>
      <c r="N162" s="2">
        <f t="shared" si="69"/>
        <v>722105.37255146867</v>
      </c>
      <c r="P162">
        <v>159</v>
      </c>
      <c r="Q162" s="3">
        <f t="shared" si="68"/>
        <v>335332800</v>
      </c>
      <c r="R162" s="6">
        <f>$C$13+$C$6*$A$18*$C$10+50*'Carbon Tax'!$B$6</f>
        <v>256018039.71138734</v>
      </c>
      <c r="S162" s="3">
        <f t="shared" si="70"/>
        <v>79314760.288612664</v>
      </c>
      <c r="T162" s="7">
        <f t="shared" si="65"/>
        <v>369.29205969315683</v>
      </c>
      <c r="U162" s="7">
        <f t="shared" si="83"/>
        <v>92.323014923289207</v>
      </c>
      <c r="V162" s="7">
        <f t="shared" si="73"/>
        <v>79314667.965597734</v>
      </c>
      <c r="W162" s="7">
        <f t="shared" si="76"/>
        <v>21414960.35071139</v>
      </c>
      <c r="X162" s="11">
        <f t="shared" si="77"/>
        <v>57899799.937901273</v>
      </c>
      <c r="Y162" s="7">
        <f t="shared" si="71"/>
        <v>465528.09096020885</v>
      </c>
      <c r="AA162" s="2">
        <f t="shared" si="74"/>
        <v>31911658.095868379</v>
      </c>
    </row>
    <row r="163" spans="5:27">
      <c r="E163">
        <v>160</v>
      </c>
      <c r="F163" s="2">
        <f t="shared" si="84"/>
        <v>142612800</v>
      </c>
      <c r="G163" s="2">
        <f t="shared" si="85"/>
        <v>19600000</v>
      </c>
      <c r="H163" s="2">
        <f t="shared" si="57"/>
        <v>123012800</v>
      </c>
      <c r="I163" s="2">
        <f t="shared" si="79"/>
        <v>104689.1807254478</v>
      </c>
      <c r="J163" s="2">
        <f t="shared" si="80"/>
        <v>31406.754217634341</v>
      </c>
      <c r="K163" s="2">
        <f t="shared" si="72"/>
        <v>122981393.24578236</v>
      </c>
      <c r="L163" s="2">
        <f t="shared" si="78"/>
        <v>33204976.17636124</v>
      </c>
      <c r="M163" s="2">
        <f t="shared" si="75"/>
        <v>89807823.823638767</v>
      </c>
      <c r="N163" s="2">
        <f t="shared" ref="N163:N168" si="86">M163/((1+$B$16)^E163)</f>
        <v>700500.73015341384</v>
      </c>
      <c r="P163">
        <v>160</v>
      </c>
      <c r="Q163" s="3">
        <f t="shared" si="68"/>
        <v>335332800</v>
      </c>
      <c r="R163" s="6">
        <f>$C$13+$C$6*$A$18*$C$10+50*'Carbon Tax'!$B$6</f>
        <v>256018039.71138734</v>
      </c>
      <c r="S163" s="3">
        <f t="shared" si="70"/>
        <v>79314760.288612664</v>
      </c>
      <c r="T163" s="7">
        <f t="shared" si="65"/>
        <v>276.96904476986765</v>
      </c>
      <c r="U163" s="7">
        <f t="shared" si="83"/>
        <v>69.242261192466913</v>
      </c>
      <c r="V163" s="7">
        <f t="shared" si="73"/>
        <v>79314691.046351478</v>
      </c>
      <c r="W163" s="7">
        <f t="shared" si="76"/>
        <v>21414966.582514901</v>
      </c>
      <c r="X163" s="11">
        <f t="shared" si="77"/>
        <v>57899793.706097767</v>
      </c>
      <c r="Y163" s="7">
        <f t="shared" ref="Y163:Y168" si="87">X163/((1+$B$16)^P163)</f>
        <v>451618.20028621849</v>
      </c>
      <c r="AA163" s="2">
        <f t="shared" si="74"/>
        <v>31908030.117541</v>
      </c>
    </row>
    <row r="164" spans="5:27">
      <c r="E164">
        <v>161</v>
      </c>
      <c r="F164" s="2">
        <f t="shared" si="84"/>
        <v>142612800</v>
      </c>
      <c r="G164" s="2">
        <f t="shared" si="85"/>
        <v>19600000</v>
      </c>
      <c r="H164" s="2">
        <f t="shared" si="57"/>
        <v>123012800</v>
      </c>
      <c r="I164" s="2">
        <f t="shared" si="79"/>
        <v>73282.426507813463</v>
      </c>
      <c r="J164" s="2">
        <f t="shared" si="80"/>
        <v>21984.727952344037</v>
      </c>
      <c r="K164" s="2">
        <f t="shared" si="72"/>
        <v>122990815.27204765</v>
      </c>
      <c r="L164" s="2">
        <f t="shared" si="78"/>
        <v>33207520.123452868</v>
      </c>
      <c r="M164" s="2">
        <f t="shared" si="75"/>
        <v>89805279.876547128</v>
      </c>
      <c r="N164" s="2">
        <f t="shared" si="86"/>
        <v>679550.72504314559</v>
      </c>
      <c r="P164">
        <v>161</v>
      </c>
      <c r="Q164" s="3">
        <f t="shared" si="68"/>
        <v>335332800</v>
      </c>
      <c r="R164" s="6">
        <f>$C$13+$C$6*$A$18*$C$10+50*'Carbon Tax'!$B$6</f>
        <v>256018039.71138734</v>
      </c>
      <c r="S164" s="3">
        <f t="shared" si="70"/>
        <v>79314760.288612664</v>
      </c>
      <c r="T164" s="7">
        <f t="shared" si="65"/>
        <v>207.72678357740074</v>
      </c>
      <c r="U164" s="7">
        <f t="shared" si="83"/>
        <v>51.931695894350185</v>
      </c>
      <c r="V164" s="7">
        <f t="shared" si="73"/>
        <v>79314708.35691677</v>
      </c>
      <c r="W164" s="7">
        <f t="shared" si="76"/>
        <v>21414971.256367531</v>
      </c>
      <c r="X164" s="11">
        <f t="shared" si="77"/>
        <v>57899789.032245129</v>
      </c>
      <c r="Y164" s="7">
        <f t="shared" si="87"/>
        <v>438123.94628461718</v>
      </c>
      <c r="AA164" s="2">
        <f t="shared" si="74"/>
        <v>31905490.844301999</v>
      </c>
    </row>
    <row r="165" spans="5:27">
      <c r="E165">
        <v>162</v>
      </c>
      <c r="F165" s="2">
        <f t="shared" si="84"/>
        <v>142612800</v>
      </c>
      <c r="G165" s="2">
        <f t="shared" si="85"/>
        <v>19600000</v>
      </c>
      <c r="H165" s="2">
        <f t="shared" ref="H165:H168" si="88">$F165-$G165</f>
        <v>123012800</v>
      </c>
      <c r="I165" s="2">
        <f t="shared" si="79"/>
        <v>51297.698555469426</v>
      </c>
      <c r="J165" s="2">
        <f t="shared" si="80"/>
        <v>15389.309566640826</v>
      </c>
      <c r="K165" s="2">
        <f t="shared" si="72"/>
        <v>122997410.69043335</v>
      </c>
      <c r="L165" s="2">
        <f t="shared" si="78"/>
        <v>33209300.886417009</v>
      </c>
      <c r="M165" s="2">
        <f t="shared" si="75"/>
        <v>89803499.113582999</v>
      </c>
      <c r="N165" s="2">
        <f t="shared" si="86"/>
        <v>659232.87749840517</v>
      </c>
      <c r="P165">
        <v>162</v>
      </c>
      <c r="Q165" s="3">
        <f t="shared" si="68"/>
        <v>335332800</v>
      </c>
      <c r="R165" s="6">
        <f>$C$13+$C$6*$A$18*$C$10+50*'Carbon Tax'!$B$6</f>
        <v>256018039.71138734</v>
      </c>
      <c r="S165" s="3">
        <f t="shared" si="70"/>
        <v>79314760.288612664</v>
      </c>
      <c r="T165" s="7">
        <f t="shared" si="65"/>
        <v>155.79508768305055</v>
      </c>
      <c r="U165" s="7">
        <f t="shared" si="83"/>
        <v>38.948771920762638</v>
      </c>
      <c r="V165" s="7">
        <f t="shared" si="73"/>
        <v>79314721.33984074</v>
      </c>
      <c r="W165" s="7">
        <f t="shared" ref="W165:W168" si="89">IF(W164&lt;0,V165*$B$15+W164,V165*$B$15)</f>
        <v>21414974.761757001</v>
      </c>
      <c r="X165" s="11">
        <f t="shared" si="77"/>
        <v>57899785.526855662</v>
      </c>
      <c r="Y165" s="7">
        <f t="shared" si="87"/>
        <v>425032.90624715033</v>
      </c>
      <c r="AA165" s="2">
        <f t="shared" si="74"/>
        <v>31903713.586727336</v>
      </c>
    </row>
    <row r="166" spans="5:27">
      <c r="E166">
        <v>163</v>
      </c>
      <c r="F166" s="2">
        <f t="shared" si="84"/>
        <v>142612800</v>
      </c>
      <c r="G166" s="2">
        <f t="shared" si="85"/>
        <v>19600000</v>
      </c>
      <c r="H166" s="2">
        <f t="shared" si="88"/>
        <v>123012800</v>
      </c>
      <c r="I166" s="2">
        <f t="shared" si="79"/>
        <v>35908.388988828599</v>
      </c>
      <c r="J166" s="2">
        <f t="shared" si="80"/>
        <v>10772.516696648579</v>
      </c>
      <c r="K166" s="2">
        <f t="shared" si="72"/>
        <v>123002027.48330335</v>
      </c>
      <c r="L166" s="2">
        <f t="shared" si="78"/>
        <v>33210547.420491908</v>
      </c>
      <c r="M166" s="2">
        <f t="shared" si="75"/>
        <v>89802252.579508096</v>
      </c>
      <c r="N166" s="2">
        <f t="shared" si="86"/>
        <v>639526.31635094213</v>
      </c>
      <c r="P166">
        <v>163</v>
      </c>
      <c r="Q166" s="3">
        <f t="shared" si="68"/>
        <v>335332800</v>
      </c>
      <c r="R166" s="6">
        <f>$C$13+$C$6*$A$18*$C$10+50*'Carbon Tax'!$B$6</f>
        <v>256018039.71138734</v>
      </c>
      <c r="S166" s="3">
        <f t="shared" si="70"/>
        <v>79314760.288612664</v>
      </c>
      <c r="T166" s="7">
        <f t="shared" si="65"/>
        <v>116.84631576228792</v>
      </c>
      <c r="U166" s="7">
        <f t="shared" si="83"/>
        <v>29.211578940571979</v>
      </c>
      <c r="V166" s="7">
        <f t="shared" si="73"/>
        <v>79314731.077033728</v>
      </c>
      <c r="W166" s="7">
        <f t="shared" si="89"/>
        <v>21414977.390799109</v>
      </c>
      <c r="X166" s="11">
        <f t="shared" si="77"/>
        <v>57899782.897813559</v>
      </c>
      <c r="Y166" s="7">
        <f t="shared" si="87"/>
        <v>412333.02963502135</v>
      </c>
      <c r="AA166" s="2">
        <f t="shared" si="74"/>
        <v>31902469.681694537</v>
      </c>
    </row>
    <row r="167" spans="5:27">
      <c r="E167">
        <v>164</v>
      </c>
      <c r="F167" s="2">
        <f t="shared" si="84"/>
        <v>142612800</v>
      </c>
      <c r="G167" s="2">
        <f t="shared" si="85"/>
        <v>19600000</v>
      </c>
      <c r="H167" s="2">
        <f t="shared" si="88"/>
        <v>123012800</v>
      </c>
      <c r="I167" s="2">
        <f t="shared" si="79"/>
        <v>25135.872292180022</v>
      </c>
      <c r="J167" s="2">
        <f t="shared" si="80"/>
        <v>7540.761687654006</v>
      </c>
      <c r="K167" s="2">
        <f t="shared" si="72"/>
        <v>123005259.23831235</v>
      </c>
      <c r="L167" s="2">
        <f t="shared" si="78"/>
        <v>33211419.994344335</v>
      </c>
      <c r="M167" s="2">
        <f t="shared" si="75"/>
        <v>89801380.005655661</v>
      </c>
      <c r="N167" s="2">
        <f t="shared" si="86"/>
        <v>620411.43026812712</v>
      </c>
      <c r="P167">
        <v>164</v>
      </c>
      <c r="Q167" s="3">
        <f t="shared" si="68"/>
        <v>335332800</v>
      </c>
      <c r="R167" s="6">
        <f>$C$13+$C$6*$A$18*$C$10+50*'Carbon Tax'!$B$6</f>
        <v>256018039.71138734</v>
      </c>
      <c r="S167" s="3">
        <f t="shared" si="70"/>
        <v>79314760.288612664</v>
      </c>
      <c r="T167" s="7">
        <f t="shared" si="65"/>
        <v>87.634736821715933</v>
      </c>
      <c r="U167" s="7">
        <f t="shared" si="83"/>
        <v>21.908684205428983</v>
      </c>
      <c r="V167" s="7">
        <f t="shared" si="73"/>
        <v>79314738.379928455</v>
      </c>
      <c r="W167" s="7">
        <f t="shared" si="89"/>
        <v>21414979.362580683</v>
      </c>
      <c r="X167" s="11">
        <f t="shared" si="77"/>
        <v>57899780.926031977</v>
      </c>
      <c r="Y167" s="7">
        <f t="shared" si="87"/>
        <v>400012.62669090816</v>
      </c>
      <c r="AA167" s="2">
        <f t="shared" si="74"/>
        <v>31901599.079623684</v>
      </c>
    </row>
    <row r="168" spans="5:27">
      <c r="E168">
        <v>165</v>
      </c>
      <c r="F168" s="2">
        <f t="shared" si="84"/>
        <v>142612800</v>
      </c>
      <c r="G168" s="2">
        <f t="shared" si="85"/>
        <v>19600000</v>
      </c>
      <c r="H168" s="2">
        <f t="shared" si="88"/>
        <v>123012800</v>
      </c>
      <c r="I168" s="2">
        <f t="shared" si="79"/>
        <v>17595.110604526017</v>
      </c>
      <c r="J168" s="13">
        <v>0</v>
      </c>
      <c r="K168" s="13">
        <f>H168-J168+$B$14</f>
        <v>123025116.57742317</v>
      </c>
      <c r="L168" s="2">
        <f t="shared" si="78"/>
        <v>33216781.47590426</v>
      </c>
      <c r="M168" s="13">
        <f>IF(L168&lt;0,H168,H168-L168+$B$14)</f>
        <v>89808335.101518914</v>
      </c>
      <c r="N168" s="2">
        <f t="shared" si="86"/>
        <v>601920.33468004735</v>
      </c>
      <c r="P168">
        <v>165</v>
      </c>
      <c r="Q168" s="3">
        <f t="shared" si="68"/>
        <v>335332800</v>
      </c>
      <c r="R168" s="6">
        <f>$C$13+$C$6*$A$18*$C$10+50*'Carbon Tax'!$B$6</f>
        <v>256018039.71138734</v>
      </c>
      <c r="S168" s="3">
        <f t="shared" si="70"/>
        <v>79314760.288612664</v>
      </c>
      <c r="T168" s="7">
        <f t="shared" si="65"/>
        <v>65.72605261628695</v>
      </c>
      <c r="U168" s="15">
        <v>0</v>
      </c>
      <c r="V168" s="15">
        <f>S168-U168+$C$14</f>
        <v>79314826.014665276</v>
      </c>
      <c r="W168" s="7">
        <f t="shared" si="89"/>
        <v>21415003.023959626</v>
      </c>
      <c r="X168" s="16">
        <f>IF(W168&lt;0,S168,S168-W168+$C$14)</f>
        <v>57899822.990705661</v>
      </c>
      <c r="Y168" s="7">
        <f t="shared" si="87"/>
        <v>388060.64930482855</v>
      </c>
      <c r="AA168" s="2">
        <f t="shared" si="74"/>
        <v>31908512.110813253</v>
      </c>
    </row>
    <row r="169" spans="5:27">
      <c r="M169"/>
      <c r="N169" s="2">
        <f>SUM(N3:N168)</f>
        <v>1117791889.7608533</v>
      </c>
      <c r="X169" s="2"/>
      <c r="Y169" s="12">
        <f>SUM(Y3:Y168)</f>
        <v>1189525825.9646783</v>
      </c>
    </row>
  </sheetData>
  <hyperlinks>
    <hyperlink ref="C28" r:id="rId1" xr:uid="{ED2A869A-C767-452A-B05F-976C83F718E7}"/>
    <hyperlink ref="C29" r:id="rId2" xr:uid="{AAA604C1-02D9-4228-9802-0FB77F78FAA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4DC6-5919-49E2-AFFD-71156A93B1BD}">
  <dimension ref="A1:Y169"/>
  <sheetViews>
    <sheetView topLeftCell="A7" zoomScaleNormal="100" workbookViewId="0" xr3:uid="{52B1FA48-DD9E-5D69-BEA0-0FCD9D23743B}">
      <pane xSplit="2" topLeftCell="C1" activePane="topRight" state="frozen"/>
      <selection pane="topRight" activeCell="C41" sqref="C41"/>
      <selection activeCell="A45" sqref="A45"/>
    </sheetView>
  </sheetViews>
  <sheetFormatPr defaultRowHeight="15"/>
  <cols>
    <col min="1" max="1" width="19.140625" customWidth="1"/>
    <col min="2" max="2" width="18" customWidth="1"/>
    <col min="3" max="3" width="21" customWidth="1"/>
    <col min="4" max="5" width="9.140625" bestFit="1" customWidth="1"/>
    <col min="6" max="6" width="15.85546875" style="2" bestFit="1" customWidth="1"/>
    <col min="7" max="7" width="17.5703125" bestFit="1" customWidth="1"/>
    <col min="8" max="8" width="18.5703125" bestFit="1" customWidth="1"/>
    <col min="9" max="12" width="18.5703125" customWidth="1"/>
    <col min="13" max="13" width="18.5703125" style="2" customWidth="1"/>
    <col min="14" max="14" width="18.5703125" bestFit="1" customWidth="1"/>
    <col min="15" max="16" width="9.140625" bestFit="1" customWidth="1"/>
    <col min="17" max="17" width="15.140625" bestFit="1" customWidth="1"/>
    <col min="18" max="18" width="16.28515625" bestFit="1" customWidth="1"/>
    <col min="19" max="23" width="20.85546875" customWidth="1"/>
    <col min="24" max="24" width="20.85546875" style="11" customWidth="1"/>
    <col min="25" max="25" width="17.5703125" customWidth="1"/>
    <col min="26" max="26" width="9.140625" bestFit="1" customWidth="1"/>
  </cols>
  <sheetData>
    <row r="1" spans="1:25">
      <c r="A1" t="s">
        <v>0</v>
      </c>
      <c r="B1" t="s">
        <v>1</v>
      </c>
      <c r="C1" t="s">
        <v>2</v>
      </c>
      <c r="E1" t="s">
        <v>3</v>
      </c>
      <c r="N1" s="2"/>
    </row>
    <row r="2" spans="1:25">
      <c r="A2" t="s">
        <v>4</v>
      </c>
      <c r="B2">
        <v>3</v>
      </c>
      <c r="C2">
        <v>5</v>
      </c>
      <c r="E2" t="s">
        <v>5</v>
      </c>
      <c r="F2" s="2" t="s">
        <v>34</v>
      </c>
      <c r="G2" t="s">
        <v>7</v>
      </c>
      <c r="H2" t="s">
        <v>48</v>
      </c>
      <c r="I2" t="s">
        <v>49</v>
      </c>
      <c r="J2" t="s">
        <v>50</v>
      </c>
      <c r="K2" t="s">
        <v>51</v>
      </c>
      <c r="L2" t="s">
        <v>35</v>
      </c>
      <c r="M2" s="2" t="s">
        <v>36</v>
      </c>
      <c r="N2" t="s">
        <v>9</v>
      </c>
      <c r="P2" t="s">
        <v>5</v>
      </c>
      <c r="Q2" t="s">
        <v>6</v>
      </c>
      <c r="R2" t="s">
        <v>7</v>
      </c>
      <c r="S2" t="s">
        <v>48</v>
      </c>
      <c r="T2" t="s">
        <v>49</v>
      </c>
      <c r="U2" t="s">
        <v>50</v>
      </c>
      <c r="V2" t="s">
        <v>51</v>
      </c>
      <c r="W2" t="s">
        <v>35</v>
      </c>
      <c r="X2" s="11" t="s">
        <v>36</v>
      </c>
      <c r="Y2" t="s">
        <v>9</v>
      </c>
    </row>
    <row r="3" spans="1:25">
      <c r="A3" t="s">
        <v>10</v>
      </c>
      <c r="B3">
        <v>30</v>
      </c>
      <c r="C3">
        <v>50</v>
      </c>
      <c r="E3">
        <v>0</v>
      </c>
      <c r="F3" s="2">
        <v>0</v>
      </c>
      <c r="G3" s="2">
        <f>B12</f>
        <v>1115200000</v>
      </c>
      <c r="H3" s="2">
        <f t="shared" ref="H3:H66" si="0">$F3-$G3</f>
        <v>-1115200000</v>
      </c>
      <c r="I3" s="2"/>
      <c r="J3" s="2"/>
      <c r="K3" s="2"/>
      <c r="L3" s="2">
        <v>0</v>
      </c>
      <c r="M3" s="2">
        <f t="shared" ref="M3" si="1">H3</f>
        <v>-1115200000</v>
      </c>
      <c r="N3" s="2">
        <f t="shared" ref="N3:N34" si="2">M3/((1+$B$16)^E3)</f>
        <v>-1115200000</v>
      </c>
      <c r="O3" s="2"/>
      <c r="P3">
        <v>0</v>
      </c>
      <c r="Q3" s="7">
        <v>0</v>
      </c>
      <c r="R3" s="7">
        <f>C12</f>
        <v>366800000</v>
      </c>
      <c r="S3" s="7">
        <f t="shared" ref="S3:S66" si="3">Q3-R3</f>
        <v>-366800000</v>
      </c>
      <c r="T3" s="7"/>
      <c r="U3" s="7"/>
      <c r="V3" s="7"/>
      <c r="W3" s="7">
        <f>V3*$B$15</f>
        <v>0</v>
      </c>
      <c r="X3" s="11">
        <f t="shared" ref="X3" si="4">S3</f>
        <v>-366800000</v>
      </c>
      <c r="Y3" s="7">
        <f t="shared" ref="Y3:Y34" si="5">X3/((1+$B$16)^P3)</f>
        <v>-366800000</v>
      </c>
    </row>
    <row r="4" spans="1:25">
      <c r="A4" t="s">
        <v>11</v>
      </c>
      <c r="B4" s="1">
        <v>2788000</v>
      </c>
      <c r="C4" s="1">
        <v>917000</v>
      </c>
      <c r="E4">
        <v>1</v>
      </c>
      <c r="F4" s="2">
        <v>0</v>
      </c>
      <c r="G4" s="2">
        <v>0</v>
      </c>
      <c r="H4" s="2">
        <f t="shared" si="0"/>
        <v>0</v>
      </c>
      <c r="I4" s="2">
        <v>1115200000</v>
      </c>
      <c r="J4" s="2">
        <f t="shared" ref="J4:J67" si="6">I4*0.3</f>
        <v>334560000</v>
      </c>
      <c r="K4" s="2">
        <f t="shared" ref="K4:K67" si="7">H4-J4</f>
        <v>-334560000</v>
      </c>
      <c r="L4" s="2">
        <f>K4*$B$15</f>
        <v>-90331200</v>
      </c>
      <c r="M4" s="2">
        <f>IF(L4&lt;0,H4,H4-L4)</f>
        <v>0</v>
      </c>
      <c r="N4" s="2">
        <f t="shared" si="2"/>
        <v>0</v>
      </c>
      <c r="O4" s="2"/>
      <c r="P4">
        <v>1</v>
      </c>
      <c r="Q4" s="7">
        <v>0</v>
      </c>
      <c r="R4" s="7">
        <v>0</v>
      </c>
      <c r="S4" s="7">
        <f t="shared" si="3"/>
        <v>0</v>
      </c>
      <c r="T4" s="7">
        <f>-S3</f>
        <v>366800000</v>
      </c>
      <c r="U4" s="7">
        <f t="shared" ref="U4:U35" si="8">T4*$B$29</f>
        <v>91700000</v>
      </c>
      <c r="V4" s="7">
        <f t="shared" ref="V4:V67" si="9">S4-U4</f>
        <v>-91700000</v>
      </c>
      <c r="W4" s="7">
        <f>V4*$B$15+W3</f>
        <v>-24759000</v>
      </c>
      <c r="X4" s="11">
        <f>IF(W4&lt;0,S4,S4-W4)</f>
        <v>0</v>
      </c>
      <c r="Y4" s="7">
        <f t="shared" si="5"/>
        <v>0</v>
      </c>
    </row>
    <row r="5" spans="1:25">
      <c r="A5" t="s">
        <v>12</v>
      </c>
      <c r="B5" s="1">
        <v>49000</v>
      </c>
      <c r="C5" s="1">
        <v>13170</v>
      </c>
      <c r="E5">
        <v>2</v>
      </c>
      <c r="F5" s="2">
        <v>0</v>
      </c>
      <c r="G5" s="2">
        <v>0</v>
      </c>
      <c r="H5" s="2">
        <f t="shared" si="0"/>
        <v>0</v>
      </c>
      <c r="I5" s="2">
        <f t="shared" ref="I5:I36" si="10">I4-J4</f>
        <v>780640000</v>
      </c>
      <c r="J5" s="2">
        <f t="shared" si="6"/>
        <v>234192000</v>
      </c>
      <c r="K5" s="2">
        <f t="shared" si="7"/>
        <v>-234192000</v>
      </c>
      <c r="L5" s="2">
        <f t="shared" ref="L5:L36" si="11">IF(L4&lt;0,K5*$B$15+L4,K5*$B$15)</f>
        <v>-153563040</v>
      </c>
      <c r="M5" s="2">
        <f t="shared" ref="M5:M68" si="12">IF(L5&lt;0,H5,H5-L5)</f>
        <v>0</v>
      </c>
      <c r="N5" s="2">
        <f t="shared" si="2"/>
        <v>0</v>
      </c>
      <c r="O5" s="2"/>
      <c r="P5">
        <v>2</v>
      </c>
      <c r="Q5" s="7">
        <v>0</v>
      </c>
      <c r="R5" s="7">
        <v>0</v>
      </c>
      <c r="S5" s="7">
        <f t="shared" si="3"/>
        <v>0</v>
      </c>
      <c r="T5" s="7">
        <f>T4-U4</f>
        <v>275100000</v>
      </c>
      <c r="U5" s="7">
        <f t="shared" si="8"/>
        <v>68775000</v>
      </c>
      <c r="V5" s="7">
        <f t="shared" si="9"/>
        <v>-68775000</v>
      </c>
      <c r="W5" s="7">
        <f t="shared" ref="W5:W36" si="13">IF(W4&lt;0,V5*$B$15+W4,V5*$B$15)</f>
        <v>-43328250</v>
      </c>
      <c r="X5" s="11">
        <f t="shared" ref="X5:X68" si="14">IF(W5&lt;0,S5,S5-W5)</f>
        <v>0</v>
      </c>
      <c r="Y5" s="7">
        <f t="shared" si="5"/>
        <v>0</v>
      </c>
    </row>
    <row r="6" spans="1:25">
      <c r="A6" t="s">
        <v>13</v>
      </c>
      <c r="B6">
        <v>0</v>
      </c>
      <c r="C6">
        <v>183</v>
      </c>
      <c r="E6">
        <v>3</v>
      </c>
      <c r="F6" s="2">
        <v>0</v>
      </c>
      <c r="G6" s="2">
        <v>0</v>
      </c>
      <c r="H6" s="2">
        <f t="shared" si="0"/>
        <v>0</v>
      </c>
      <c r="I6" s="2">
        <f t="shared" si="10"/>
        <v>546448000</v>
      </c>
      <c r="J6" s="2">
        <f t="shared" si="6"/>
        <v>163934400</v>
      </c>
      <c r="K6" s="2">
        <f t="shared" si="7"/>
        <v>-163934400</v>
      </c>
      <c r="L6" s="2">
        <f t="shared" si="11"/>
        <v>-197825328</v>
      </c>
      <c r="M6" s="2">
        <f t="shared" si="12"/>
        <v>0</v>
      </c>
      <c r="N6" s="2">
        <f t="shared" si="2"/>
        <v>0</v>
      </c>
      <c r="O6" s="2"/>
      <c r="P6">
        <v>3</v>
      </c>
      <c r="Q6" s="7">
        <v>0</v>
      </c>
      <c r="R6" s="7">
        <v>0</v>
      </c>
      <c r="S6" s="7">
        <f t="shared" si="3"/>
        <v>0</v>
      </c>
      <c r="T6" s="7">
        <f t="shared" ref="T6:T58" si="15">T5-U5</f>
        <v>206325000</v>
      </c>
      <c r="U6" s="7">
        <f t="shared" si="8"/>
        <v>51581250</v>
      </c>
      <c r="V6" s="7">
        <f t="shared" si="9"/>
        <v>-51581250</v>
      </c>
      <c r="W6" s="7">
        <f t="shared" si="13"/>
        <v>-57255187.5</v>
      </c>
      <c r="X6" s="11">
        <f t="shared" si="14"/>
        <v>0</v>
      </c>
      <c r="Y6" s="7">
        <f t="shared" si="5"/>
        <v>0</v>
      </c>
    </row>
    <row r="7" spans="1:25">
      <c r="A7" t="s">
        <v>14</v>
      </c>
      <c r="B7">
        <v>0.37</v>
      </c>
      <c r="C7">
        <v>0.87</v>
      </c>
      <c r="E7">
        <v>4</v>
      </c>
      <c r="F7" s="2">
        <f t="shared" ref="F7:F36" si="16">$B$11</f>
        <v>142612800</v>
      </c>
      <c r="G7" s="2">
        <f t="shared" ref="G7:G35" si="17">$B$13</f>
        <v>19600000</v>
      </c>
      <c r="H7" s="2">
        <f t="shared" si="0"/>
        <v>123012800</v>
      </c>
      <c r="I7" s="2">
        <f t="shared" si="10"/>
        <v>382513600</v>
      </c>
      <c r="J7" s="2">
        <f t="shared" si="6"/>
        <v>114754080</v>
      </c>
      <c r="K7" s="2">
        <f t="shared" si="7"/>
        <v>8258720</v>
      </c>
      <c r="L7" s="2">
        <f t="shared" si="11"/>
        <v>-195595473.59999999</v>
      </c>
      <c r="M7" s="2">
        <f t="shared" si="12"/>
        <v>123012800</v>
      </c>
      <c r="N7" s="2">
        <f t="shared" si="2"/>
        <v>108956379.69124603</v>
      </c>
      <c r="O7" s="2"/>
      <c r="P7">
        <v>4</v>
      </c>
      <c r="Q7" s="7">
        <v>0</v>
      </c>
      <c r="R7" s="7">
        <v>0</v>
      </c>
      <c r="S7" s="7">
        <f t="shared" si="3"/>
        <v>0</v>
      </c>
      <c r="T7" s="7">
        <f t="shared" si="15"/>
        <v>154743750</v>
      </c>
      <c r="U7" s="7">
        <f t="shared" si="8"/>
        <v>38685937.5</v>
      </c>
      <c r="V7" s="7">
        <f t="shared" si="9"/>
        <v>-38685937.5</v>
      </c>
      <c r="W7" s="7">
        <f t="shared" si="13"/>
        <v>-67700390.625</v>
      </c>
      <c r="X7" s="11">
        <f t="shared" si="14"/>
        <v>0</v>
      </c>
      <c r="Y7" s="7">
        <f t="shared" si="5"/>
        <v>0</v>
      </c>
    </row>
    <row r="8" spans="1:25">
      <c r="A8" t="s">
        <v>15</v>
      </c>
      <c r="B8">
        <v>400</v>
      </c>
      <c r="C8">
        <v>400</v>
      </c>
      <c r="E8">
        <v>5</v>
      </c>
      <c r="F8" s="2">
        <f t="shared" si="16"/>
        <v>142612800</v>
      </c>
      <c r="G8" s="2">
        <f t="shared" si="17"/>
        <v>19600000</v>
      </c>
      <c r="H8" s="2">
        <f t="shared" si="0"/>
        <v>123012800</v>
      </c>
      <c r="I8" s="2">
        <f t="shared" si="10"/>
        <v>267759520</v>
      </c>
      <c r="J8" s="2">
        <f t="shared" si="6"/>
        <v>80327856</v>
      </c>
      <c r="K8" s="2">
        <f t="shared" si="7"/>
        <v>42684944</v>
      </c>
      <c r="L8" s="2">
        <f t="shared" si="11"/>
        <v>-184070538.72</v>
      </c>
      <c r="M8" s="2">
        <f t="shared" si="12"/>
        <v>123012800</v>
      </c>
      <c r="N8" s="2">
        <f t="shared" si="2"/>
        <v>105700795.19911334</v>
      </c>
      <c r="O8" s="2"/>
      <c r="P8">
        <v>5</v>
      </c>
      <c r="Q8" s="7">
        <v>0</v>
      </c>
      <c r="R8" s="7">
        <v>0</v>
      </c>
      <c r="S8" s="7">
        <f t="shared" si="3"/>
        <v>0</v>
      </c>
      <c r="T8" s="7">
        <f t="shared" si="15"/>
        <v>116057812.5</v>
      </c>
      <c r="U8" s="7">
        <f t="shared" si="8"/>
        <v>29014453.125</v>
      </c>
      <c r="V8" s="7">
        <f t="shared" si="9"/>
        <v>-29014453.125</v>
      </c>
      <c r="W8" s="7">
        <f t="shared" si="13"/>
        <v>-75534292.96875</v>
      </c>
      <c r="X8" s="11">
        <f t="shared" si="14"/>
        <v>0</v>
      </c>
      <c r="Y8" s="7">
        <f t="shared" si="5"/>
        <v>0</v>
      </c>
    </row>
    <row r="9" spans="1:25">
      <c r="A9" t="s">
        <v>16</v>
      </c>
      <c r="B9" s="1">
        <v>110</v>
      </c>
      <c r="C9" s="1">
        <f>B9</f>
        <v>110</v>
      </c>
      <c r="E9">
        <v>6</v>
      </c>
      <c r="F9" s="2">
        <f t="shared" si="16"/>
        <v>142612800</v>
      </c>
      <c r="G9" s="2">
        <f t="shared" si="17"/>
        <v>19600000</v>
      </c>
      <c r="H9" s="2">
        <f t="shared" si="0"/>
        <v>123012800</v>
      </c>
      <c r="I9" s="2">
        <f t="shared" si="10"/>
        <v>187431664</v>
      </c>
      <c r="J9" s="2">
        <f t="shared" si="6"/>
        <v>56229499.199999996</v>
      </c>
      <c r="K9" s="2">
        <f t="shared" si="7"/>
        <v>66783300.800000004</v>
      </c>
      <c r="L9" s="2">
        <f t="shared" si="11"/>
        <v>-166039047.50400001</v>
      </c>
      <c r="M9" s="2">
        <f t="shared" si="12"/>
        <v>123012800</v>
      </c>
      <c r="N9" s="2">
        <f t="shared" si="2"/>
        <v>102542486.61147976</v>
      </c>
      <c r="O9" s="2"/>
      <c r="P9">
        <v>6</v>
      </c>
      <c r="Q9" s="3">
        <f t="shared" ref="Q9:Q58" si="18">$C$11</f>
        <v>335332800</v>
      </c>
      <c r="R9" s="6">
        <f>$C$13+$C$6*$A$18*$C$10+50*'Carbon Tax'!$B$6</f>
        <v>131999782.44834734</v>
      </c>
      <c r="S9" s="3">
        <f t="shared" si="3"/>
        <v>203333017.55165267</v>
      </c>
      <c r="T9" s="7">
        <f t="shared" si="15"/>
        <v>87043359.375</v>
      </c>
      <c r="U9" s="7">
        <f t="shared" si="8"/>
        <v>21760839.84375</v>
      </c>
      <c r="V9" s="7">
        <f t="shared" si="9"/>
        <v>181572177.70790267</v>
      </c>
      <c r="W9" s="7">
        <f t="shared" si="13"/>
        <v>-26509804.987616278</v>
      </c>
      <c r="X9" s="11">
        <f t="shared" si="14"/>
        <v>203333017.55165267</v>
      </c>
      <c r="Y9" s="7">
        <f t="shared" si="5"/>
        <v>169496777.81468371</v>
      </c>
    </row>
    <row r="10" spans="1:25">
      <c r="A10" t="s">
        <v>17</v>
      </c>
      <c r="B10">
        <f>365*24*B8*B7</f>
        <v>1296480</v>
      </c>
      <c r="C10">
        <f>365*24*C8*C7</f>
        <v>3048480</v>
      </c>
      <c r="E10">
        <v>7</v>
      </c>
      <c r="F10" s="2">
        <f t="shared" si="16"/>
        <v>142612800</v>
      </c>
      <c r="G10" s="2">
        <f t="shared" si="17"/>
        <v>19600000</v>
      </c>
      <c r="H10" s="2">
        <f t="shared" si="0"/>
        <v>123012800</v>
      </c>
      <c r="I10" s="2">
        <f t="shared" si="10"/>
        <v>131202164.80000001</v>
      </c>
      <c r="J10" s="2">
        <f t="shared" si="6"/>
        <v>39360649.440000005</v>
      </c>
      <c r="K10" s="2">
        <f t="shared" si="7"/>
        <v>83652150.560000002</v>
      </c>
      <c r="L10" s="2">
        <f t="shared" si="11"/>
        <v>-143452966.85280001</v>
      </c>
      <c r="M10" s="2">
        <f t="shared" si="12"/>
        <v>123012800</v>
      </c>
      <c r="N10" s="2">
        <f t="shared" si="2"/>
        <v>99478547.353007168</v>
      </c>
      <c r="O10" s="2"/>
      <c r="P10">
        <v>7</v>
      </c>
      <c r="Q10" s="3">
        <f t="shared" si="18"/>
        <v>335332800</v>
      </c>
      <c r="R10" s="6">
        <f>$C$13+$C$6*$A$18*$C$10+50*'Carbon Tax'!$B$6</f>
        <v>131999782.44834734</v>
      </c>
      <c r="S10" s="3">
        <f t="shared" si="3"/>
        <v>203333017.55165267</v>
      </c>
      <c r="T10" s="7">
        <f t="shared" si="15"/>
        <v>65282519.53125</v>
      </c>
      <c r="U10" s="7">
        <f t="shared" si="8"/>
        <v>16320629.8828125</v>
      </c>
      <c r="V10" s="7">
        <f t="shared" si="9"/>
        <v>187012387.66884017</v>
      </c>
      <c r="W10" s="7">
        <f t="shared" si="13"/>
        <v>23983539.682970569</v>
      </c>
      <c r="X10" s="11">
        <f t="shared" si="14"/>
        <v>179349477.86868209</v>
      </c>
      <c r="Y10" s="7">
        <f t="shared" si="5"/>
        <v>145037146.75949821</v>
      </c>
    </row>
    <row r="11" spans="1:25">
      <c r="A11" t="s">
        <v>18</v>
      </c>
      <c r="B11" s="1">
        <f>B10*B9</f>
        <v>142612800</v>
      </c>
      <c r="C11" s="3">
        <f>C10*C9</f>
        <v>335332800</v>
      </c>
      <c r="E11">
        <v>8</v>
      </c>
      <c r="F11" s="2">
        <f t="shared" si="16"/>
        <v>142612800</v>
      </c>
      <c r="G11" s="2">
        <f t="shared" si="17"/>
        <v>19600000</v>
      </c>
      <c r="H11" s="2">
        <f t="shared" si="0"/>
        <v>123012800</v>
      </c>
      <c r="I11" s="2">
        <f t="shared" si="10"/>
        <v>91841515.360000014</v>
      </c>
      <c r="J11" s="2">
        <f t="shared" si="6"/>
        <v>27552454.608000003</v>
      </c>
      <c r="K11" s="2">
        <f t="shared" si="7"/>
        <v>95460345.39199999</v>
      </c>
      <c r="L11" s="2">
        <f t="shared" si="11"/>
        <v>-117678673.59696001</v>
      </c>
      <c r="M11" s="2">
        <f t="shared" si="12"/>
        <v>123012800</v>
      </c>
      <c r="N11" s="2">
        <f t="shared" si="2"/>
        <v>96506157.695971236</v>
      </c>
      <c r="O11" s="2"/>
      <c r="P11">
        <v>8</v>
      </c>
      <c r="Q11" s="3">
        <f t="shared" si="18"/>
        <v>335332800</v>
      </c>
      <c r="R11" s="6">
        <f>$C$13+$C$6*$A$18*$C$10+50*'Carbon Tax'!$B$6</f>
        <v>131999782.44834734</v>
      </c>
      <c r="S11" s="3">
        <f t="shared" si="3"/>
        <v>203333017.55165267</v>
      </c>
      <c r="T11" s="7">
        <f t="shared" si="15"/>
        <v>48961889.6484375</v>
      </c>
      <c r="U11" s="7">
        <f t="shared" si="8"/>
        <v>12240472.412109375</v>
      </c>
      <c r="V11" s="7">
        <f t="shared" si="9"/>
        <v>191092545.13954329</v>
      </c>
      <c r="W11" s="7">
        <f t="shared" si="13"/>
        <v>51594987.187676691</v>
      </c>
      <c r="X11" s="11">
        <f t="shared" si="14"/>
        <v>151738030.36397597</v>
      </c>
      <c r="Y11" s="7">
        <f t="shared" si="5"/>
        <v>119041711.81195726</v>
      </c>
    </row>
    <row r="12" spans="1:25">
      <c r="A12" t="s">
        <v>19</v>
      </c>
      <c r="B12" s="2">
        <f>B4*B8</f>
        <v>1115200000</v>
      </c>
      <c r="C12" s="3">
        <f>C4*C8</f>
        <v>366800000</v>
      </c>
      <c r="E12">
        <v>9</v>
      </c>
      <c r="F12" s="2">
        <f t="shared" si="16"/>
        <v>142612800</v>
      </c>
      <c r="G12" s="2">
        <f t="shared" si="17"/>
        <v>19600000</v>
      </c>
      <c r="H12" s="2">
        <f t="shared" si="0"/>
        <v>123012800</v>
      </c>
      <c r="I12" s="2">
        <f t="shared" si="10"/>
        <v>64289060.752000012</v>
      </c>
      <c r="J12" s="2">
        <f t="shared" si="6"/>
        <v>19286718.225600004</v>
      </c>
      <c r="K12" s="2">
        <f t="shared" si="7"/>
        <v>103726081.7744</v>
      </c>
      <c r="L12" s="2">
        <f t="shared" si="11"/>
        <v>-89672631.517872006</v>
      </c>
      <c r="M12" s="2">
        <f t="shared" si="12"/>
        <v>123012800</v>
      </c>
      <c r="N12" s="2">
        <f t="shared" si="2"/>
        <v>93622582.165280595</v>
      </c>
      <c r="O12" s="2"/>
      <c r="P12">
        <v>9</v>
      </c>
      <c r="Q12" s="3">
        <f t="shared" si="18"/>
        <v>335332800</v>
      </c>
      <c r="R12" s="6">
        <f>$C$13+$C$6*$A$18*$C$10+50*'Carbon Tax'!$B$6</f>
        <v>131999782.44834734</v>
      </c>
      <c r="S12" s="3">
        <f t="shared" si="3"/>
        <v>203333017.55165267</v>
      </c>
      <c r="T12" s="7">
        <f t="shared" si="15"/>
        <v>36721417.236328125</v>
      </c>
      <c r="U12" s="7">
        <f t="shared" si="8"/>
        <v>9180354.3090820313</v>
      </c>
      <c r="V12" s="7">
        <f t="shared" si="9"/>
        <v>194152663.24257064</v>
      </c>
      <c r="W12" s="7">
        <f t="shared" si="13"/>
        <v>52421219.075494073</v>
      </c>
      <c r="X12" s="11">
        <f t="shared" si="14"/>
        <v>150911798.47615859</v>
      </c>
      <c r="Y12" s="7">
        <f t="shared" si="5"/>
        <v>114855952.00291696</v>
      </c>
    </row>
    <row r="13" spans="1:25">
      <c r="A13" t="s">
        <v>20</v>
      </c>
      <c r="B13" s="1">
        <f>B5*B8</f>
        <v>19600000</v>
      </c>
      <c r="C13" s="1">
        <f>C5*C8</f>
        <v>5268000</v>
      </c>
      <c r="E13">
        <v>10</v>
      </c>
      <c r="F13" s="2">
        <f t="shared" si="16"/>
        <v>142612800</v>
      </c>
      <c r="G13" s="2">
        <f t="shared" si="17"/>
        <v>19600000</v>
      </c>
      <c r="H13" s="2">
        <f t="shared" si="0"/>
        <v>123012800</v>
      </c>
      <c r="I13" s="2">
        <f t="shared" si="10"/>
        <v>45002342.526400007</v>
      </c>
      <c r="J13" s="2">
        <f t="shared" si="6"/>
        <v>13500702.757920003</v>
      </c>
      <c r="K13" s="2">
        <f t="shared" si="7"/>
        <v>109512097.24208</v>
      </c>
      <c r="L13" s="2">
        <f t="shared" si="11"/>
        <v>-60104365.262510404</v>
      </c>
      <c r="M13" s="2">
        <f t="shared" si="12"/>
        <v>123012800</v>
      </c>
      <c r="N13" s="2">
        <f t="shared" si="2"/>
        <v>90825167.02103278</v>
      </c>
      <c r="O13" s="2"/>
      <c r="P13">
        <v>10</v>
      </c>
      <c r="Q13" s="3">
        <f t="shared" si="18"/>
        <v>335332800</v>
      </c>
      <c r="R13" s="6">
        <f>$C$13+$C$6*$A$18*$C$10+50*'Carbon Tax'!$B$6</f>
        <v>131999782.44834734</v>
      </c>
      <c r="S13" s="3">
        <f t="shared" si="3"/>
        <v>203333017.55165267</v>
      </c>
      <c r="T13" s="7">
        <f t="shared" si="15"/>
        <v>27541062.927246094</v>
      </c>
      <c r="U13" s="7">
        <f t="shared" si="8"/>
        <v>6885265.7318115234</v>
      </c>
      <c r="V13" s="7">
        <f t="shared" si="9"/>
        <v>196447751.81984115</v>
      </c>
      <c r="W13" s="7">
        <f t="shared" si="13"/>
        <v>53040892.99135711</v>
      </c>
      <c r="X13" s="11">
        <f t="shared" si="14"/>
        <v>150292124.56029555</v>
      </c>
      <c r="Y13" s="7">
        <f t="shared" si="5"/>
        <v>110966560.51349702</v>
      </c>
    </row>
    <row r="14" spans="1:25">
      <c r="E14">
        <v>11</v>
      </c>
      <c r="F14" s="2">
        <f t="shared" si="16"/>
        <v>142612800</v>
      </c>
      <c r="G14" s="2">
        <f t="shared" si="17"/>
        <v>19600000</v>
      </c>
      <c r="H14" s="2">
        <f t="shared" si="0"/>
        <v>123012800</v>
      </c>
      <c r="I14" s="2">
        <f t="shared" si="10"/>
        <v>31501639.768480003</v>
      </c>
      <c r="J14" s="2">
        <f t="shared" si="6"/>
        <v>9450491.9305440001</v>
      </c>
      <c r="K14" s="2">
        <f t="shared" si="7"/>
        <v>113562308.069456</v>
      </c>
      <c r="L14" s="2">
        <f t="shared" si="11"/>
        <v>-29442542.083757281</v>
      </c>
      <c r="M14" s="2">
        <f t="shared" si="12"/>
        <v>123012800</v>
      </c>
      <c r="N14" s="2">
        <f t="shared" si="2"/>
        <v>88111337.816291034</v>
      </c>
      <c r="O14" s="2"/>
      <c r="P14">
        <v>11</v>
      </c>
      <c r="Q14" s="3">
        <f t="shared" si="18"/>
        <v>335332800</v>
      </c>
      <c r="R14" s="6">
        <f>$C$13+$C$6*$A$18*$C$10+50*'Carbon Tax'!$B$6</f>
        <v>131999782.44834734</v>
      </c>
      <c r="S14" s="3">
        <f t="shared" si="3"/>
        <v>203333017.55165267</v>
      </c>
      <c r="T14" s="7">
        <f t="shared" si="15"/>
        <v>20655797.19543457</v>
      </c>
      <c r="U14" s="7">
        <f t="shared" si="8"/>
        <v>5163949.2988586426</v>
      </c>
      <c r="V14" s="7">
        <f t="shared" si="9"/>
        <v>198169068.25279403</v>
      </c>
      <c r="W14" s="7">
        <f t="shared" si="13"/>
        <v>53505648.428254388</v>
      </c>
      <c r="X14" s="11">
        <f t="shared" si="14"/>
        <v>149827369.12339827</v>
      </c>
      <c r="Y14" s="7">
        <f t="shared" si="5"/>
        <v>107318018.40912391</v>
      </c>
    </row>
    <row r="15" spans="1:25">
      <c r="A15" t="s">
        <v>21</v>
      </c>
      <c r="B15">
        <v>0.27</v>
      </c>
      <c r="C15">
        <v>0.27</v>
      </c>
      <c r="E15">
        <v>12</v>
      </c>
      <c r="F15" s="2">
        <f t="shared" si="16"/>
        <v>142612800</v>
      </c>
      <c r="G15" s="2">
        <f t="shared" si="17"/>
        <v>19600000</v>
      </c>
      <c r="H15" s="2">
        <f t="shared" si="0"/>
        <v>123012800</v>
      </c>
      <c r="I15" s="2">
        <f t="shared" si="10"/>
        <v>22051147.837936003</v>
      </c>
      <c r="J15" s="2">
        <f t="shared" si="6"/>
        <v>6615344.3513808008</v>
      </c>
      <c r="K15" s="2">
        <f t="shared" si="7"/>
        <v>116397455.6486192</v>
      </c>
      <c r="L15" s="2">
        <f t="shared" si="11"/>
        <v>1984770.9413699061</v>
      </c>
      <c r="M15" s="2">
        <f t="shared" si="12"/>
        <v>121028029.05863009</v>
      </c>
      <c r="N15" s="2">
        <f t="shared" si="2"/>
        <v>84099428.067449838</v>
      </c>
      <c r="O15" s="2"/>
      <c r="P15">
        <v>12</v>
      </c>
      <c r="Q15" s="3">
        <f t="shared" si="18"/>
        <v>335332800</v>
      </c>
      <c r="R15" s="6">
        <f>$C$13+$C$6*$A$18*$C$10+50*'Carbon Tax'!$B$6</f>
        <v>131999782.44834734</v>
      </c>
      <c r="S15" s="3">
        <f t="shared" si="3"/>
        <v>203333017.55165267</v>
      </c>
      <c r="T15" s="7">
        <f t="shared" si="15"/>
        <v>15491847.896575928</v>
      </c>
      <c r="U15" s="7">
        <f t="shared" si="8"/>
        <v>3872961.9741439819</v>
      </c>
      <c r="V15" s="7">
        <f t="shared" si="9"/>
        <v>199460055.57750869</v>
      </c>
      <c r="W15" s="7">
        <f t="shared" si="13"/>
        <v>53854215.005927347</v>
      </c>
      <c r="X15" s="11">
        <f t="shared" si="14"/>
        <v>149478802.54572532</v>
      </c>
      <c r="Y15" s="7">
        <f t="shared" si="5"/>
        <v>103869177.24829598</v>
      </c>
    </row>
    <row r="16" spans="1:25">
      <c r="A16" t="s">
        <v>22</v>
      </c>
      <c r="B16">
        <v>3.0800000000000001E-2</v>
      </c>
      <c r="E16">
        <v>13</v>
      </c>
      <c r="F16" s="2">
        <f t="shared" si="16"/>
        <v>142612800</v>
      </c>
      <c r="G16" s="2">
        <f t="shared" si="17"/>
        <v>19600000</v>
      </c>
      <c r="H16" s="2">
        <f t="shared" si="0"/>
        <v>123012800</v>
      </c>
      <c r="I16" s="2">
        <f t="shared" si="10"/>
        <v>15435803.486555202</v>
      </c>
      <c r="J16" s="2">
        <f t="shared" si="6"/>
        <v>4630741.04596656</v>
      </c>
      <c r="K16" s="2">
        <f t="shared" si="7"/>
        <v>118382058.95403343</v>
      </c>
      <c r="L16" s="2">
        <f t="shared" si="11"/>
        <v>31963155.917589031</v>
      </c>
      <c r="M16" s="2">
        <f t="shared" si="12"/>
        <v>91049644.082410961</v>
      </c>
      <c r="N16" s="2">
        <f t="shared" si="2"/>
        <v>61377744.362720199</v>
      </c>
      <c r="O16" s="2"/>
      <c r="P16">
        <v>13</v>
      </c>
      <c r="Q16" s="3">
        <f t="shared" si="18"/>
        <v>335332800</v>
      </c>
      <c r="R16" s="6">
        <f>$C$13+$C$6*$A$18*$C$10+50*'Carbon Tax'!$B$6</f>
        <v>131999782.44834734</v>
      </c>
      <c r="S16" s="3">
        <f t="shared" si="3"/>
        <v>203333017.55165267</v>
      </c>
      <c r="T16" s="7">
        <f t="shared" si="15"/>
        <v>11618885.922431946</v>
      </c>
      <c r="U16" s="7">
        <f t="shared" si="8"/>
        <v>2904721.4806079865</v>
      </c>
      <c r="V16" s="7">
        <f t="shared" si="9"/>
        <v>200428296.07104468</v>
      </c>
      <c r="W16" s="7">
        <f t="shared" si="13"/>
        <v>54115639.939182065</v>
      </c>
      <c r="X16" s="11">
        <f t="shared" si="14"/>
        <v>149217377.6124706</v>
      </c>
      <c r="Y16" s="7">
        <f t="shared" si="5"/>
        <v>100589366.93134178</v>
      </c>
    </row>
    <row r="17" spans="1:25">
      <c r="A17" t="s">
        <v>24</v>
      </c>
      <c r="B17" t="s">
        <v>25</v>
      </c>
      <c r="E17">
        <v>14</v>
      </c>
      <c r="F17" s="2">
        <f t="shared" si="16"/>
        <v>142612800</v>
      </c>
      <c r="G17" s="2">
        <f t="shared" si="17"/>
        <v>19600000</v>
      </c>
      <c r="H17" s="2">
        <f t="shared" si="0"/>
        <v>123012800</v>
      </c>
      <c r="I17" s="2">
        <f t="shared" si="10"/>
        <v>10805062.440588642</v>
      </c>
      <c r="J17" s="2">
        <f t="shared" si="6"/>
        <v>3241518.7321765926</v>
      </c>
      <c r="K17" s="2">
        <f t="shared" si="7"/>
        <v>119771281.26782341</v>
      </c>
      <c r="L17" s="2">
        <f t="shared" si="11"/>
        <v>32338245.942312323</v>
      </c>
      <c r="M17" s="2">
        <f t="shared" si="12"/>
        <v>90674554.05768767</v>
      </c>
      <c r="N17" s="2">
        <f t="shared" si="2"/>
        <v>59298497.592976049</v>
      </c>
      <c r="O17" s="2"/>
      <c r="P17">
        <v>14</v>
      </c>
      <c r="Q17" s="3">
        <f t="shared" si="18"/>
        <v>335332800</v>
      </c>
      <c r="R17" s="6">
        <f>$C$13+$C$6*$A$18*$C$10+50*'Carbon Tax'!$B$6</f>
        <v>131999782.44834734</v>
      </c>
      <c r="S17" s="3">
        <f t="shared" si="3"/>
        <v>203333017.55165267</v>
      </c>
      <c r="T17" s="7">
        <f t="shared" si="15"/>
        <v>8714164.4418239594</v>
      </c>
      <c r="U17" s="7">
        <f t="shared" si="8"/>
        <v>2178541.1104559898</v>
      </c>
      <c r="V17" s="7">
        <f t="shared" si="9"/>
        <v>201154476.44119668</v>
      </c>
      <c r="W17" s="7">
        <f t="shared" si="13"/>
        <v>54311708.639123105</v>
      </c>
      <c r="X17" s="11">
        <f t="shared" si="14"/>
        <v>149021308.91252956</v>
      </c>
      <c r="Y17" s="7">
        <f t="shared" si="5"/>
        <v>97455563.136597171</v>
      </c>
    </row>
    <row r="18" spans="1:25">
      <c r="A18">
        <f>A19</f>
        <v>0.17769400000000002</v>
      </c>
      <c r="B18" t="s">
        <v>54</v>
      </c>
      <c r="E18">
        <v>15</v>
      </c>
      <c r="F18" s="2">
        <f t="shared" si="16"/>
        <v>142612800</v>
      </c>
      <c r="G18" s="2">
        <f t="shared" si="17"/>
        <v>19600000</v>
      </c>
      <c r="H18" s="2">
        <f t="shared" si="0"/>
        <v>123012800</v>
      </c>
      <c r="I18" s="2">
        <f t="shared" si="10"/>
        <v>7563543.7084120493</v>
      </c>
      <c r="J18" s="2">
        <f t="shared" si="6"/>
        <v>2269063.1125236149</v>
      </c>
      <c r="K18" s="2">
        <f t="shared" si="7"/>
        <v>120743736.88747638</v>
      </c>
      <c r="L18" s="2">
        <f t="shared" si="11"/>
        <v>32600808.959618624</v>
      </c>
      <c r="M18" s="2">
        <f t="shared" si="12"/>
        <v>90411991.040381372</v>
      </c>
      <c r="N18" s="2">
        <f t="shared" si="2"/>
        <v>57360098.06395629</v>
      </c>
      <c r="O18" s="2"/>
      <c r="P18">
        <v>15</v>
      </c>
      <c r="Q18" s="3">
        <f t="shared" si="18"/>
        <v>335332800</v>
      </c>
      <c r="R18" s="6">
        <f>$C$13+$C$6*$A$18*$C$10+50*'Carbon Tax'!$B$6</f>
        <v>131999782.44834734</v>
      </c>
      <c r="S18" s="3">
        <f t="shared" si="3"/>
        <v>203333017.55165267</v>
      </c>
      <c r="T18" s="7">
        <f t="shared" si="15"/>
        <v>6535623.3313679695</v>
      </c>
      <c r="U18" s="7">
        <f t="shared" si="8"/>
        <v>1633905.8328419924</v>
      </c>
      <c r="V18" s="7">
        <f t="shared" si="9"/>
        <v>201699111.71881068</v>
      </c>
      <c r="W18" s="7">
        <f t="shared" si="13"/>
        <v>54458760.164078884</v>
      </c>
      <c r="X18" s="11">
        <f t="shared" si="14"/>
        <v>148874257.38757378</v>
      </c>
      <c r="Y18" s="7">
        <f t="shared" si="5"/>
        <v>94450325.722125366</v>
      </c>
    </row>
    <row r="19" spans="1:25">
      <c r="A19">
        <f>17.7694/100</f>
        <v>0.17769400000000002</v>
      </c>
      <c r="B19" t="s">
        <v>26</v>
      </c>
      <c r="C19" t="s">
        <v>28</v>
      </c>
      <c r="E19">
        <v>16</v>
      </c>
      <c r="F19" s="2">
        <f t="shared" si="16"/>
        <v>142612800</v>
      </c>
      <c r="G19" s="2">
        <f t="shared" si="17"/>
        <v>19600000</v>
      </c>
      <c r="H19" s="2">
        <f t="shared" si="0"/>
        <v>123012800</v>
      </c>
      <c r="I19" s="2">
        <f t="shared" si="10"/>
        <v>5294480.595888434</v>
      </c>
      <c r="J19" s="2">
        <f t="shared" si="6"/>
        <v>1588344.1787665302</v>
      </c>
      <c r="K19" s="2">
        <f t="shared" si="7"/>
        <v>121424455.82123347</v>
      </c>
      <c r="L19" s="2">
        <f t="shared" si="11"/>
        <v>32784603.071733039</v>
      </c>
      <c r="M19" s="2">
        <f t="shared" si="12"/>
        <v>90228196.928266957</v>
      </c>
      <c r="N19" s="2">
        <f t="shared" si="2"/>
        <v>55533074.823069915</v>
      </c>
      <c r="O19" s="2"/>
      <c r="P19">
        <v>16</v>
      </c>
      <c r="Q19" s="3">
        <f t="shared" si="18"/>
        <v>335332800</v>
      </c>
      <c r="R19" s="6">
        <f>$C$13+$C$6*$A$18*$C$10+50*'Carbon Tax'!$B$6</f>
        <v>131999782.44834734</v>
      </c>
      <c r="S19" s="3">
        <f t="shared" si="3"/>
        <v>203333017.55165267</v>
      </c>
      <c r="T19" s="7">
        <f t="shared" si="15"/>
        <v>4901717.4985259771</v>
      </c>
      <c r="U19" s="7">
        <f t="shared" si="8"/>
        <v>1225429.3746314943</v>
      </c>
      <c r="V19" s="7">
        <f t="shared" si="9"/>
        <v>202107588.17702118</v>
      </c>
      <c r="W19" s="7">
        <f t="shared" si="13"/>
        <v>54569048.807795718</v>
      </c>
      <c r="X19" s="11">
        <f t="shared" si="14"/>
        <v>148763968.74385697</v>
      </c>
      <c r="Y19" s="7">
        <f t="shared" si="5"/>
        <v>91560298.093924478</v>
      </c>
    </row>
    <row r="20" spans="1:25">
      <c r="A20">
        <f>10.558/100</f>
        <v>0.10557999999999999</v>
      </c>
      <c r="B20" t="s">
        <v>26</v>
      </c>
      <c r="C20" t="s">
        <v>27</v>
      </c>
      <c r="E20">
        <v>17</v>
      </c>
      <c r="F20" s="2">
        <f t="shared" si="16"/>
        <v>142612800</v>
      </c>
      <c r="G20" s="2">
        <f t="shared" si="17"/>
        <v>19600000</v>
      </c>
      <c r="H20" s="2">
        <f t="shared" si="0"/>
        <v>123012800</v>
      </c>
      <c r="I20" s="2">
        <f t="shared" si="10"/>
        <v>3706136.417121904</v>
      </c>
      <c r="J20" s="2">
        <f t="shared" si="6"/>
        <v>1111840.9251365711</v>
      </c>
      <c r="K20" s="2">
        <f t="shared" si="7"/>
        <v>121900959.07486343</v>
      </c>
      <c r="L20" s="2">
        <f t="shared" si="11"/>
        <v>32913258.950213131</v>
      </c>
      <c r="M20" s="2">
        <f t="shared" si="12"/>
        <v>90099541.049786866</v>
      </c>
      <c r="N20" s="2">
        <f t="shared" si="2"/>
        <v>53796944.629457533</v>
      </c>
      <c r="O20" s="2"/>
      <c r="P20">
        <v>17</v>
      </c>
      <c r="Q20" s="3">
        <f t="shared" si="18"/>
        <v>335332800</v>
      </c>
      <c r="R20" s="6">
        <f>$C$13+$C$6*$A$18*$C$10+50*'Carbon Tax'!$B$6</f>
        <v>131999782.44834734</v>
      </c>
      <c r="S20" s="3">
        <f t="shared" si="3"/>
        <v>203333017.55165267</v>
      </c>
      <c r="T20" s="7">
        <f t="shared" si="15"/>
        <v>3676288.1238944829</v>
      </c>
      <c r="U20" s="7">
        <f t="shared" si="8"/>
        <v>919072.03097362071</v>
      </c>
      <c r="V20" s="7">
        <f t="shared" si="9"/>
        <v>202413945.52067906</v>
      </c>
      <c r="W20" s="7">
        <f t="shared" si="13"/>
        <v>54651765.29058335</v>
      </c>
      <c r="X20" s="11">
        <f t="shared" si="14"/>
        <v>148681252.26106933</v>
      </c>
      <c r="Y20" s="7">
        <f t="shared" si="5"/>
        <v>88775114.74678123</v>
      </c>
    </row>
    <row r="21" spans="1:25">
      <c r="A21" t="s">
        <v>29</v>
      </c>
      <c r="B21">
        <v>33</v>
      </c>
      <c r="C21">
        <v>55</v>
      </c>
      <c r="E21">
        <v>18</v>
      </c>
      <c r="F21" s="2">
        <f t="shared" si="16"/>
        <v>142612800</v>
      </c>
      <c r="G21" s="2">
        <f t="shared" si="17"/>
        <v>19600000</v>
      </c>
      <c r="H21" s="2">
        <f t="shared" si="0"/>
        <v>123012800</v>
      </c>
      <c r="I21" s="2">
        <f t="shared" si="10"/>
        <v>2594295.4919853332</v>
      </c>
      <c r="J21" s="2">
        <f t="shared" si="6"/>
        <v>778288.64759559988</v>
      </c>
      <c r="K21" s="2">
        <f t="shared" si="7"/>
        <v>122234511.3524044</v>
      </c>
      <c r="L21" s="2">
        <f t="shared" si="11"/>
        <v>33003318.065149192</v>
      </c>
      <c r="M21" s="2">
        <f t="shared" si="12"/>
        <v>90009481.934850812</v>
      </c>
      <c r="N21" s="2">
        <f t="shared" si="2"/>
        <v>52137341.698284298</v>
      </c>
      <c r="O21" s="2"/>
      <c r="P21">
        <v>18</v>
      </c>
      <c r="Q21" s="3">
        <f t="shared" si="18"/>
        <v>335332800</v>
      </c>
      <c r="R21" s="6">
        <f>$C$13+$C$6*$A$18*$C$10+50*'Carbon Tax'!$B$6</f>
        <v>131999782.44834734</v>
      </c>
      <c r="S21" s="3">
        <f t="shared" si="3"/>
        <v>203333017.55165267</v>
      </c>
      <c r="T21" s="7">
        <f t="shared" si="15"/>
        <v>2757216.0929208621</v>
      </c>
      <c r="U21" s="7">
        <f t="shared" si="8"/>
        <v>689304.02323021553</v>
      </c>
      <c r="V21" s="7">
        <f t="shared" si="9"/>
        <v>202643713.52842245</v>
      </c>
      <c r="W21" s="7">
        <f t="shared" si="13"/>
        <v>54713802.652674064</v>
      </c>
      <c r="X21" s="11">
        <f t="shared" si="14"/>
        <v>148619214.89897859</v>
      </c>
      <c r="Y21" s="7">
        <f t="shared" si="5"/>
        <v>86086605.805900142</v>
      </c>
    </row>
    <row r="22" spans="1:25">
      <c r="A22" t="s">
        <v>30</v>
      </c>
      <c r="B22">
        <v>165</v>
      </c>
      <c r="E22">
        <v>19</v>
      </c>
      <c r="F22" s="2">
        <f t="shared" si="16"/>
        <v>142612800</v>
      </c>
      <c r="G22" s="2">
        <f t="shared" si="17"/>
        <v>19600000</v>
      </c>
      <c r="H22" s="2">
        <f t="shared" si="0"/>
        <v>123012800</v>
      </c>
      <c r="I22" s="2">
        <f t="shared" si="10"/>
        <v>1816006.8443897334</v>
      </c>
      <c r="J22" s="2">
        <f t="shared" si="6"/>
        <v>544802.05331691995</v>
      </c>
      <c r="K22" s="2">
        <f t="shared" si="7"/>
        <v>122467997.94668308</v>
      </c>
      <c r="L22" s="2">
        <f t="shared" si="11"/>
        <v>33066359.445604432</v>
      </c>
      <c r="M22" s="2">
        <f t="shared" si="12"/>
        <v>89946440.554395571</v>
      </c>
      <c r="N22" s="2">
        <f t="shared" si="2"/>
        <v>50544068.135822184</v>
      </c>
      <c r="O22" s="2"/>
      <c r="P22">
        <v>19</v>
      </c>
      <c r="Q22" s="3">
        <f t="shared" si="18"/>
        <v>335332800</v>
      </c>
      <c r="R22" s="6">
        <f>$C$13+$C$6*$A$18*$C$10+50*'Carbon Tax'!$B$6</f>
        <v>131999782.44834734</v>
      </c>
      <c r="S22" s="3">
        <f t="shared" si="3"/>
        <v>203333017.55165267</v>
      </c>
      <c r="T22" s="7">
        <f t="shared" si="15"/>
        <v>2067912.0696906466</v>
      </c>
      <c r="U22" s="7">
        <f t="shared" si="8"/>
        <v>516978.01742266165</v>
      </c>
      <c r="V22" s="7">
        <f t="shared" si="9"/>
        <v>202816039.53422999</v>
      </c>
      <c r="W22" s="7">
        <f t="shared" si="13"/>
        <v>54760330.674242102</v>
      </c>
      <c r="X22" s="11">
        <f t="shared" si="14"/>
        <v>148572686.87741056</v>
      </c>
      <c r="Y22" s="7">
        <f t="shared" si="5"/>
        <v>83488217.681194678</v>
      </c>
    </row>
    <row r="23" spans="1:25">
      <c r="A23" t="s">
        <v>31</v>
      </c>
      <c r="B23">
        <v>5</v>
      </c>
      <c r="C23">
        <v>3</v>
      </c>
      <c r="E23">
        <v>20</v>
      </c>
      <c r="F23" s="2">
        <f t="shared" si="16"/>
        <v>142612800</v>
      </c>
      <c r="G23" s="2">
        <f t="shared" si="17"/>
        <v>19600000</v>
      </c>
      <c r="H23" s="2">
        <f t="shared" si="0"/>
        <v>123012800</v>
      </c>
      <c r="I23" s="2">
        <f t="shared" si="10"/>
        <v>1271204.7910728133</v>
      </c>
      <c r="J23" s="2">
        <f t="shared" si="6"/>
        <v>381361.43732184399</v>
      </c>
      <c r="K23" s="2">
        <f t="shared" si="7"/>
        <v>122631438.56267816</v>
      </c>
      <c r="L23" s="2">
        <f t="shared" si="11"/>
        <v>33110488.411923107</v>
      </c>
      <c r="M23" s="2">
        <f t="shared" si="12"/>
        <v>89902311.58807689</v>
      </c>
      <c r="N23" s="2">
        <f t="shared" si="2"/>
        <v>49009769.613643609</v>
      </c>
      <c r="O23" s="2"/>
      <c r="P23">
        <v>20</v>
      </c>
      <c r="Q23" s="3">
        <f t="shared" si="18"/>
        <v>335332800</v>
      </c>
      <c r="R23" s="6">
        <f>$C$13+$C$6*$A$18*$C$10+50*'Carbon Tax'!$B$6</f>
        <v>131999782.44834734</v>
      </c>
      <c r="S23" s="3">
        <f t="shared" si="3"/>
        <v>203333017.55165267</v>
      </c>
      <c r="T23" s="7">
        <f t="shared" si="15"/>
        <v>1550934.052267985</v>
      </c>
      <c r="U23" s="7">
        <f t="shared" si="8"/>
        <v>387733.51306699624</v>
      </c>
      <c r="V23" s="7">
        <f t="shared" si="9"/>
        <v>202945284.03858566</v>
      </c>
      <c r="W23" s="7">
        <f t="shared" si="13"/>
        <v>54795226.690418132</v>
      </c>
      <c r="X23" s="11">
        <f t="shared" si="14"/>
        <v>148537790.86123455</v>
      </c>
      <c r="Y23" s="7">
        <f t="shared" si="5"/>
        <v>80974590.980307475</v>
      </c>
    </row>
    <row r="24" spans="1:25">
      <c r="A24" t="s">
        <v>9</v>
      </c>
      <c r="B24" s="2">
        <f>N1</f>
        <v>0</v>
      </c>
      <c r="C24" s="2">
        <f>Y59</f>
        <v>0</v>
      </c>
      <c r="E24">
        <v>21</v>
      </c>
      <c r="F24" s="2">
        <f t="shared" si="16"/>
        <v>142612800</v>
      </c>
      <c r="G24" s="2">
        <f t="shared" si="17"/>
        <v>19600000</v>
      </c>
      <c r="H24" s="2">
        <f t="shared" si="0"/>
        <v>123012800</v>
      </c>
      <c r="I24" s="2">
        <f t="shared" si="10"/>
        <v>889843.35375096928</v>
      </c>
      <c r="J24" s="2">
        <f t="shared" si="6"/>
        <v>266953.00612529076</v>
      </c>
      <c r="K24" s="2">
        <f t="shared" si="7"/>
        <v>122745846.99387471</v>
      </c>
      <c r="L24" s="2">
        <f t="shared" si="11"/>
        <v>33141378.688346174</v>
      </c>
      <c r="M24" s="2">
        <f t="shared" si="12"/>
        <v>89871421.311653823</v>
      </c>
      <c r="N24" s="2">
        <f t="shared" si="2"/>
        <v>47529035.644983739</v>
      </c>
      <c r="O24" s="2"/>
      <c r="P24">
        <v>21</v>
      </c>
      <c r="Q24" s="3">
        <f t="shared" si="18"/>
        <v>335332800</v>
      </c>
      <c r="R24" s="6">
        <f>$C$13+$C$6*$A$18*$C$10+50*'Carbon Tax'!$B$6</f>
        <v>131999782.44834734</v>
      </c>
      <c r="S24" s="3">
        <f t="shared" si="3"/>
        <v>203333017.55165267</v>
      </c>
      <c r="T24" s="7">
        <f t="shared" si="15"/>
        <v>1163200.5392009886</v>
      </c>
      <c r="U24" s="7">
        <f t="shared" si="8"/>
        <v>290800.13480024715</v>
      </c>
      <c r="V24" s="7">
        <f t="shared" si="9"/>
        <v>203042217.41685241</v>
      </c>
      <c r="W24" s="7">
        <f t="shared" si="13"/>
        <v>54821398.702550158</v>
      </c>
      <c r="X24" s="11">
        <f t="shared" si="14"/>
        <v>148511618.8491025</v>
      </c>
      <c r="Y24" s="7">
        <f t="shared" si="5"/>
        <v>78541252.858297974</v>
      </c>
    </row>
    <row r="25" spans="1:25">
      <c r="A25" t="s">
        <v>32</v>
      </c>
      <c r="B25" s="14">
        <f>N169</f>
        <v>1117786700.9384301</v>
      </c>
      <c r="C25" s="14">
        <f>Y169</f>
        <v>3606020350.3754544</v>
      </c>
      <c r="E25">
        <v>22</v>
      </c>
      <c r="F25" s="2">
        <f t="shared" si="16"/>
        <v>142612800</v>
      </c>
      <c r="G25" s="2">
        <f t="shared" si="17"/>
        <v>19600000</v>
      </c>
      <c r="H25" s="2">
        <f t="shared" si="0"/>
        <v>123012800</v>
      </c>
      <c r="I25" s="2">
        <f t="shared" si="10"/>
        <v>622890.34762567852</v>
      </c>
      <c r="J25" s="2">
        <f t="shared" si="6"/>
        <v>186867.10428770355</v>
      </c>
      <c r="K25" s="2">
        <f t="shared" si="7"/>
        <v>122825932.8957123</v>
      </c>
      <c r="L25" s="2">
        <f t="shared" si="11"/>
        <v>33163001.881842323</v>
      </c>
      <c r="M25" s="2">
        <f t="shared" si="12"/>
        <v>89849798.118157685</v>
      </c>
      <c r="N25" s="2">
        <f t="shared" si="2"/>
        <v>46097788.213528916</v>
      </c>
      <c r="O25" s="2"/>
      <c r="P25">
        <v>22</v>
      </c>
      <c r="Q25" s="3">
        <f t="shared" si="18"/>
        <v>335332800</v>
      </c>
      <c r="R25" s="6">
        <f>$C$13+$C$6*$A$18*$C$10+50*'Carbon Tax'!$B$6</f>
        <v>131999782.44834734</v>
      </c>
      <c r="S25" s="3">
        <f t="shared" si="3"/>
        <v>203333017.55165267</v>
      </c>
      <c r="T25" s="7">
        <f t="shared" si="15"/>
        <v>872400.40440074145</v>
      </c>
      <c r="U25" s="7">
        <f t="shared" si="8"/>
        <v>218100.10110018536</v>
      </c>
      <c r="V25" s="7">
        <f t="shared" si="9"/>
        <v>203114917.45055249</v>
      </c>
      <c r="W25" s="7">
        <f t="shared" si="13"/>
        <v>54841027.711649179</v>
      </c>
      <c r="X25" s="11">
        <f t="shared" si="14"/>
        <v>148491989.84000349</v>
      </c>
      <c r="Y25" s="7">
        <f t="shared" si="5"/>
        <v>76184392.646583319</v>
      </c>
    </row>
    <row r="26" spans="1:25">
      <c r="A26" t="s">
        <v>33</v>
      </c>
      <c r="B26" s="9">
        <f>MIRR(M3:M168,B16,B16)</f>
        <v>3.3961596888573364E-2</v>
      </c>
      <c r="C26" s="9">
        <f>MIRR(X3:X168,B16,B16)</f>
        <v>4.5075687497710959E-2</v>
      </c>
      <c r="E26">
        <v>23</v>
      </c>
      <c r="F26" s="2">
        <f t="shared" si="16"/>
        <v>142612800</v>
      </c>
      <c r="G26" s="2">
        <f t="shared" si="17"/>
        <v>19600000</v>
      </c>
      <c r="H26" s="2">
        <f t="shared" si="0"/>
        <v>123012800</v>
      </c>
      <c r="I26" s="2">
        <f t="shared" si="10"/>
        <v>436023.243337975</v>
      </c>
      <c r="J26" s="2">
        <f t="shared" si="6"/>
        <v>130806.9730013925</v>
      </c>
      <c r="K26" s="2">
        <f t="shared" si="7"/>
        <v>122881993.02699861</v>
      </c>
      <c r="L26" s="2">
        <f t="shared" si="11"/>
        <v>33178138.117289625</v>
      </c>
      <c r="M26" s="2">
        <f t="shared" si="12"/>
        <v>89834661.882710367</v>
      </c>
      <c r="N26" s="2">
        <f t="shared" si="2"/>
        <v>44712866.229230613</v>
      </c>
      <c r="O26" s="2"/>
      <c r="P26">
        <v>23</v>
      </c>
      <c r="Q26" s="3">
        <f t="shared" si="18"/>
        <v>335332800</v>
      </c>
      <c r="R26" s="6">
        <f>$C$13+$C$6*$A$18*$C$10+50*'Carbon Tax'!$B$6</f>
        <v>131999782.44834734</v>
      </c>
      <c r="S26" s="3">
        <f t="shared" si="3"/>
        <v>203333017.55165267</v>
      </c>
      <c r="T26" s="7">
        <f t="shared" si="15"/>
        <v>654300.30330055603</v>
      </c>
      <c r="U26" s="7">
        <f t="shared" si="8"/>
        <v>163575.07582513901</v>
      </c>
      <c r="V26" s="7">
        <f t="shared" si="9"/>
        <v>203169442.47582754</v>
      </c>
      <c r="W26" s="7">
        <f t="shared" si="13"/>
        <v>54855749.468473442</v>
      </c>
      <c r="X26" s="11">
        <f t="shared" si="14"/>
        <v>148477268.08317924</v>
      </c>
      <c r="Y26" s="7">
        <f t="shared" si="5"/>
        <v>73900698.090817004</v>
      </c>
    </row>
    <row r="27" spans="1:25">
      <c r="A27" t="s">
        <v>55</v>
      </c>
      <c r="B27" s="4">
        <f>IRR(M3:M168,0)</f>
        <v>6.785244375348376E-2</v>
      </c>
      <c r="C27" s="4">
        <f>IRR(X3:X168,0)</f>
        <v>0.18735559478546526</v>
      </c>
      <c r="E27">
        <v>24</v>
      </c>
      <c r="F27" s="2">
        <f t="shared" si="16"/>
        <v>142612800</v>
      </c>
      <c r="G27" s="2">
        <f t="shared" si="17"/>
        <v>19600000</v>
      </c>
      <c r="H27" s="2">
        <f t="shared" si="0"/>
        <v>123012800</v>
      </c>
      <c r="I27" s="2">
        <f t="shared" si="10"/>
        <v>305216.2703365825</v>
      </c>
      <c r="J27" s="2">
        <f t="shared" si="6"/>
        <v>91564.881100974744</v>
      </c>
      <c r="K27" s="2">
        <f t="shared" si="7"/>
        <v>122921235.11889903</v>
      </c>
      <c r="L27" s="2">
        <f t="shared" si="11"/>
        <v>33188733.482102741</v>
      </c>
      <c r="M27" s="2">
        <f t="shared" si="12"/>
        <v>89824066.517897263</v>
      </c>
      <c r="N27" s="2">
        <f t="shared" si="2"/>
        <v>43371742.978264324</v>
      </c>
      <c r="O27" s="2"/>
      <c r="P27">
        <v>24</v>
      </c>
      <c r="Q27" s="3">
        <f t="shared" si="18"/>
        <v>335332800</v>
      </c>
      <c r="R27" s="6">
        <f>$C$13+$C$6*$A$18*$C$10+50*'Carbon Tax'!$B$6</f>
        <v>131999782.44834734</v>
      </c>
      <c r="S27" s="3">
        <f t="shared" si="3"/>
        <v>203333017.55165267</v>
      </c>
      <c r="T27" s="7">
        <f t="shared" si="15"/>
        <v>490725.22747541702</v>
      </c>
      <c r="U27" s="7">
        <f t="shared" si="8"/>
        <v>122681.30686885426</v>
      </c>
      <c r="V27" s="7">
        <f t="shared" si="9"/>
        <v>203210336.24478382</v>
      </c>
      <c r="W27" s="7">
        <f t="shared" si="13"/>
        <v>54866790.786091633</v>
      </c>
      <c r="X27" s="11">
        <f t="shared" si="14"/>
        <v>148466226.76556104</v>
      </c>
      <c r="Y27" s="7">
        <f t="shared" si="5"/>
        <v>71687235.702534303</v>
      </c>
    </row>
    <row r="28" spans="1:25">
      <c r="A28" t="s">
        <v>56</v>
      </c>
      <c r="B28">
        <v>0.3</v>
      </c>
      <c r="C28" t="s">
        <v>57</v>
      </c>
      <c r="E28">
        <v>25</v>
      </c>
      <c r="F28" s="2">
        <f t="shared" si="16"/>
        <v>142612800</v>
      </c>
      <c r="G28" s="2">
        <f t="shared" si="17"/>
        <v>19600000</v>
      </c>
      <c r="H28" s="2">
        <f t="shared" si="0"/>
        <v>123012800</v>
      </c>
      <c r="I28" s="2">
        <f t="shared" si="10"/>
        <v>213651.38923560776</v>
      </c>
      <c r="J28" s="2">
        <f t="shared" si="6"/>
        <v>64095.416770682321</v>
      </c>
      <c r="K28" s="2">
        <f t="shared" si="7"/>
        <v>122948704.58322932</v>
      </c>
      <c r="L28" s="2">
        <f t="shared" si="11"/>
        <v>33196150.23747192</v>
      </c>
      <c r="M28" s="2">
        <f t="shared" si="12"/>
        <v>89816649.762528077</v>
      </c>
      <c r="N28" s="2">
        <f t="shared" si="2"/>
        <v>42072333.897984989</v>
      </c>
      <c r="O28" s="2"/>
      <c r="P28">
        <v>25</v>
      </c>
      <c r="Q28" s="3">
        <f t="shared" si="18"/>
        <v>335332800</v>
      </c>
      <c r="R28" s="6">
        <f>$C$13+$C$6*$A$18*$C$10+50*'Carbon Tax'!$B$6</f>
        <v>131999782.44834734</v>
      </c>
      <c r="S28" s="3">
        <f t="shared" si="3"/>
        <v>203333017.55165267</v>
      </c>
      <c r="T28" s="7">
        <f t="shared" si="15"/>
        <v>368043.92060656275</v>
      </c>
      <c r="U28" s="7">
        <f t="shared" si="8"/>
        <v>92010.980151640688</v>
      </c>
      <c r="V28" s="7">
        <f t="shared" si="9"/>
        <v>203241006.57150102</v>
      </c>
      <c r="W28" s="7">
        <f t="shared" si="13"/>
        <v>54875071.774305277</v>
      </c>
      <c r="X28" s="11">
        <f t="shared" si="14"/>
        <v>148457945.77734739</v>
      </c>
      <c r="Y28" s="7">
        <f t="shared" si="5"/>
        <v>69541363.222382829</v>
      </c>
    </row>
    <row r="29" spans="1:25">
      <c r="A29" t="s">
        <v>58</v>
      </c>
      <c r="B29">
        <v>0.25</v>
      </c>
      <c r="C29" t="s">
        <v>59</v>
      </c>
      <c r="E29">
        <v>26</v>
      </c>
      <c r="F29" s="2">
        <f t="shared" si="16"/>
        <v>142612800</v>
      </c>
      <c r="G29" s="2">
        <f t="shared" si="17"/>
        <v>19600000</v>
      </c>
      <c r="H29" s="2">
        <f t="shared" si="0"/>
        <v>123012800</v>
      </c>
      <c r="I29" s="2">
        <f t="shared" si="10"/>
        <v>149555.97246492543</v>
      </c>
      <c r="J29" s="2">
        <f t="shared" si="6"/>
        <v>44866.79173947763</v>
      </c>
      <c r="K29" s="2">
        <f t="shared" si="7"/>
        <v>122967933.20826052</v>
      </c>
      <c r="L29" s="2">
        <f t="shared" si="11"/>
        <v>33201341.966230344</v>
      </c>
      <c r="M29" s="2">
        <f t="shared" si="12"/>
        <v>89811458.033769652</v>
      </c>
      <c r="N29" s="2">
        <f t="shared" si="2"/>
        <v>40812865.700612016</v>
      </c>
      <c r="O29" s="2"/>
      <c r="P29">
        <v>26</v>
      </c>
      <c r="Q29" s="3">
        <f t="shared" si="18"/>
        <v>335332800</v>
      </c>
      <c r="R29" s="6">
        <f>$C$13+$C$6*$A$18*$C$10+50*'Carbon Tax'!$B$6</f>
        <v>131999782.44834734</v>
      </c>
      <c r="S29" s="3">
        <f t="shared" si="3"/>
        <v>203333017.55165267</v>
      </c>
      <c r="T29" s="7">
        <f t="shared" si="15"/>
        <v>276032.94045492203</v>
      </c>
      <c r="U29" s="7">
        <f t="shared" si="8"/>
        <v>69008.235113730509</v>
      </c>
      <c r="V29" s="7">
        <f t="shared" si="9"/>
        <v>203264009.31653893</v>
      </c>
      <c r="W29" s="7">
        <f t="shared" si="13"/>
        <v>54881282.515465513</v>
      </c>
      <c r="X29" s="11">
        <f t="shared" si="14"/>
        <v>148451735.03618717</v>
      </c>
      <c r="Y29" s="7">
        <f t="shared" si="5"/>
        <v>67460665.461823627</v>
      </c>
    </row>
    <row r="30" spans="1:25">
      <c r="E30">
        <v>27</v>
      </c>
      <c r="F30" s="2">
        <f t="shared" si="16"/>
        <v>142612800</v>
      </c>
      <c r="G30" s="2">
        <f t="shared" si="17"/>
        <v>19600000</v>
      </c>
      <c r="H30" s="2">
        <f t="shared" si="0"/>
        <v>123012800</v>
      </c>
      <c r="I30" s="2">
        <f t="shared" si="10"/>
        <v>104689.1807254478</v>
      </c>
      <c r="J30" s="2">
        <f t="shared" si="6"/>
        <v>31406.754217634341</v>
      </c>
      <c r="K30" s="2">
        <f t="shared" si="7"/>
        <v>122981393.24578236</v>
      </c>
      <c r="L30" s="2">
        <f t="shared" si="11"/>
        <v>33204976.17636124</v>
      </c>
      <c r="M30" s="2">
        <f t="shared" si="12"/>
        <v>89807823.823638767</v>
      </c>
      <c r="N30" s="2">
        <f t="shared" si="2"/>
        <v>39591787.168006726</v>
      </c>
      <c r="O30" s="2"/>
      <c r="P30">
        <v>27</v>
      </c>
      <c r="Q30" s="3">
        <f t="shared" si="18"/>
        <v>335332800</v>
      </c>
      <c r="R30" s="6">
        <f>$C$13+$C$6*$A$18*$C$10+50*'Carbon Tax'!$B$6</f>
        <v>131999782.44834734</v>
      </c>
      <c r="S30" s="3">
        <f t="shared" si="3"/>
        <v>203333017.55165267</v>
      </c>
      <c r="T30" s="7">
        <f t="shared" si="15"/>
        <v>207024.70534119153</v>
      </c>
      <c r="U30" s="7">
        <f t="shared" si="8"/>
        <v>51756.176335297881</v>
      </c>
      <c r="V30" s="7">
        <f t="shared" si="9"/>
        <v>203281261.37531736</v>
      </c>
      <c r="W30" s="7">
        <f t="shared" si="13"/>
        <v>54885940.571335696</v>
      </c>
      <c r="X30" s="11">
        <f t="shared" si="14"/>
        <v>148447076.98031697</v>
      </c>
      <c r="Y30" s="7">
        <f t="shared" si="5"/>
        <v>65442907.16874525</v>
      </c>
    </row>
    <row r="31" spans="1:25">
      <c r="E31">
        <v>28</v>
      </c>
      <c r="F31" s="2">
        <f t="shared" si="16"/>
        <v>142612800</v>
      </c>
      <c r="G31" s="2">
        <f t="shared" si="17"/>
        <v>19600000</v>
      </c>
      <c r="H31" s="2">
        <f t="shared" si="0"/>
        <v>123012800</v>
      </c>
      <c r="I31" s="2">
        <f t="shared" si="10"/>
        <v>73282.426507813463</v>
      </c>
      <c r="J31" s="2">
        <f t="shared" si="6"/>
        <v>21984.727952344037</v>
      </c>
      <c r="K31" s="2">
        <f t="shared" si="7"/>
        <v>122990815.27204765</v>
      </c>
      <c r="L31" s="2">
        <f t="shared" si="11"/>
        <v>33207520.123452868</v>
      </c>
      <c r="M31" s="2">
        <f t="shared" si="12"/>
        <v>89805279.876547128</v>
      </c>
      <c r="N31" s="2">
        <f t="shared" si="2"/>
        <v>38407708.254466191</v>
      </c>
      <c r="O31" s="2"/>
      <c r="P31">
        <v>28</v>
      </c>
      <c r="Q31" s="3">
        <f t="shared" si="18"/>
        <v>335332800</v>
      </c>
      <c r="R31" s="6">
        <f>$C$13+$C$6*$A$18*$C$10+50*'Carbon Tax'!$B$6</f>
        <v>131999782.44834734</v>
      </c>
      <c r="S31" s="3">
        <f t="shared" si="3"/>
        <v>203333017.55165267</v>
      </c>
      <c r="T31" s="7">
        <f t="shared" si="15"/>
        <v>155268.52900589365</v>
      </c>
      <c r="U31" s="7">
        <f t="shared" si="8"/>
        <v>38817.132251473413</v>
      </c>
      <c r="V31" s="7">
        <f t="shared" si="9"/>
        <v>203294200.4194012</v>
      </c>
      <c r="W31" s="7">
        <f t="shared" si="13"/>
        <v>54889434.113238327</v>
      </c>
      <c r="X31" s="11">
        <f t="shared" si="14"/>
        <v>148443583.43841434</v>
      </c>
      <c r="Y31" s="7">
        <f t="shared" si="5"/>
        <v>63485998.293058671</v>
      </c>
    </row>
    <row r="32" spans="1:25">
      <c r="A32" t="s">
        <v>22</v>
      </c>
      <c r="B32" t="s">
        <v>66</v>
      </c>
      <c r="C32" t="s">
        <v>67</v>
      </c>
      <c r="E32">
        <v>29</v>
      </c>
      <c r="F32" s="2">
        <f t="shared" si="16"/>
        <v>142612800</v>
      </c>
      <c r="G32" s="2">
        <f t="shared" si="17"/>
        <v>19600000</v>
      </c>
      <c r="H32" s="2">
        <f t="shared" si="0"/>
        <v>123012800</v>
      </c>
      <c r="I32" s="2">
        <f t="shared" si="10"/>
        <v>51297.698555469426</v>
      </c>
      <c r="J32" s="2">
        <f t="shared" si="6"/>
        <v>15389.309566640826</v>
      </c>
      <c r="K32" s="2">
        <f t="shared" si="7"/>
        <v>122997410.69043335</v>
      </c>
      <c r="L32" s="2">
        <f t="shared" si="11"/>
        <v>33209300.886417009</v>
      </c>
      <c r="M32" s="2">
        <f t="shared" si="12"/>
        <v>89803499.113582999</v>
      </c>
      <c r="N32" s="2">
        <f t="shared" si="2"/>
        <v>37259358.422586367</v>
      </c>
      <c r="O32" s="2"/>
      <c r="P32">
        <v>29</v>
      </c>
      <c r="Q32" s="3">
        <f t="shared" si="18"/>
        <v>335332800</v>
      </c>
      <c r="R32" s="6">
        <f>$C$13+$C$6*$A$18*$C$10+50*'Carbon Tax'!$B$6</f>
        <v>131999782.44834734</v>
      </c>
      <c r="S32" s="3">
        <f t="shared" si="3"/>
        <v>203333017.55165267</v>
      </c>
      <c r="T32" s="7">
        <f t="shared" si="15"/>
        <v>116451.39675442025</v>
      </c>
      <c r="U32" s="7">
        <f t="shared" si="8"/>
        <v>29112.849188605061</v>
      </c>
      <c r="V32" s="7">
        <f t="shared" si="9"/>
        <v>203303904.70246407</v>
      </c>
      <c r="W32" s="7">
        <f t="shared" si="13"/>
        <v>54892054.269665301</v>
      </c>
      <c r="X32" s="11">
        <f t="shared" si="14"/>
        <v>148440963.28198737</v>
      </c>
      <c r="Y32" s="7">
        <f t="shared" si="5"/>
        <v>61587968.287540816</v>
      </c>
    </row>
    <row r="33" spans="1:25">
      <c r="A33">
        <v>0.01</v>
      </c>
      <c r="B33" s="2">
        <f>NPV(A33,$M$4:$M$168)+$M$3</f>
        <v>4068215581.9103355</v>
      </c>
      <c r="C33" s="2">
        <f>NPV(A33,$X$4:$X$168)+$X$3</f>
        <v>10065922733.163836</v>
      </c>
      <c r="E33">
        <v>30</v>
      </c>
      <c r="F33" s="2">
        <f t="shared" si="16"/>
        <v>142612800</v>
      </c>
      <c r="G33" s="2">
        <f t="shared" si="17"/>
        <v>19600000</v>
      </c>
      <c r="H33" s="2">
        <f t="shared" si="0"/>
        <v>123012800</v>
      </c>
      <c r="I33" s="2">
        <f t="shared" si="10"/>
        <v>35908.388988828599</v>
      </c>
      <c r="J33" s="2">
        <f t="shared" si="6"/>
        <v>10772.516696648579</v>
      </c>
      <c r="K33" s="2">
        <f t="shared" si="7"/>
        <v>123002027.48330335</v>
      </c>
      <c r="L33" s="2">
        <f t="shared" si="11"/>
        <v>33210547.420491908</v>
      </c>
      <c r="M33" s="2">
        <f t="shared" si="12"/>
        <v>89802252.579508096</v>
      </c>
      <c r="N33" s="2">
        <f t="shared" si="2"/>
        <v>36145558.04925514</v>
      </c>
      <c r="O33" s="2"/>
      <c r="P33">
        <v>30</v>
      </c>
      <c r="Q33" s="3">
        <f t="shared" si="18"/>
        <v>335332800</v>
      </c>
      <c r="R33" s="6">
        <f>$C$13+$C$6*$A$18*$C$10+50*'Carbon Tax'!$B$6</f>
        <v>131999782.44834734</v>
      </c>
      <c r="S33" s="3">
        <f t="shared" si="3"/>
        <v>203333017.55165267</v>
      </c>
      <c r="T33" s="7">
        <f t="shared" si="15"/>
        <v>87338.547565815184</v>
      </c>
      <c r="U33" s="7">
        <f t="shared" si="8"/>
        <v>21834.636891453796</v>
      </c>
      <c r="V33" s="7">
        <f t="shared" si="9"/>
        <v>203311182.91476122</v>
      </c>
      <c r="W33" s="7">
        <f t="shared" si="13"/>
        <v>54894019.386985533</v>
      </c>
      <c r="X33" s="11">
        <f t="shared" si="14"/>
        <v>148438998.16466713</v>
      </c>
      <c r="Y33" s="7">
        <f t="shared" si="5"/>
        <v>59746946.995387308</v>
      </c>
    </row>
    <row r="34" spans="1:25">
      <c r="A34">
        <v>0.02</v>
      </c>
      <c r="B34" s="2">
        <f t="shared" ref="B34:B39" si="19">NPV(A34,$M$4:$M$168)+$M$3</f>
        <v>2079000979.6227226</v>
      </c>
      <c r="C34" s="2">
        <f t="shared" ref="C34:C39" si="20">NPV(A34,$X$4:$X$168)+$X$3</f>
        <v>5717950942.8573303</v>
      </c>
      <c r="E34">
        <v>31</v>
      </c>
      <c r="F34" s="2">
        <f t="shared" si="16"/>
        <v>142612800</v>
      </c>
      <c r="G34" s="2">
        <f t="shared" si="17"/>
        <v>19600000</v>
      </c>
      <c r="H34" s="2">
        <f t="shared" si="0"/>
        <v>123012800</v>
      </c>
      <c r="I34" s="2">
        <f t="shared" si="10"/>
        <v>25135.872292180022</v>
      </c>
      <c r="J34" s="2">
        <f t="shared" si="6"/>
        <v>7540.761687654006</v>
      </c>
      <c r="K34" s="2">
        <f t="shared" si="7"/>
        <v>123005259.23831235</v>
      </c>
      <c r="L34" s="2">
        <f t="shared" si="11"/>
        <v>33211419.994344335</v>
      </c>
      <c r="M34" s="2">
        <f t="shared" si="12"/>
        <v>89801380.005655661</v>
      </c>
      <c r="N34" s="2">
        <f t="shared" si="2"/>
        <v>35065198.716345154</v>
      </c>
      <c r="O34" s="2"/>
      <c r="P34">
        <v>31</v>
      </c>
      <c r="Q34" s="3">
        <f t="shared" si="18"/>
        <v>335332800</v>
      </c>
      <c r="R34" s="6">
        <f>$C$13+$C$6*$A$18*$C$10+50*'Carbon Tax'!$B$6</f>
        <v>131999782.44834734</v>
      </c>
      <c r="S34" s="3">
        <f t="shared" si="3"/>
        <v>203333017.55165267</v>
      </c>
      <c r="T34" s="7">
        <f t="shared" si="15"/>
        <v>65503.910674361388</v>
      </c>
      <c r="U34" s="7">
        <f t="shared" si="8"/>
        <v>16375.977668590347</v>
      </c>
      <c r="V34" s="7">
        <f t="shared" si="9"/>
        <v>203316641.57398409</v>
      </c>
      <c r="W34" s="7">
        <f t="shared" si="13"/>
        <v>54895493.224975705</v>
      </c>
      <c r="X34" s="11">
        <f t="shared" si="14"/>
        <v>148437524.32667696</v>
      </c>
      <c r="Y34" s="7">
        <f t="shared" si="5"/>
        <v>57961150.34256085</v>
      </c>
    </row>
    <row r="35" spans="1:25">
      <c r="A35">
        <v>0.03</v>
      </c>
      <c r="B35" s="2">
        <f t="shared" si="19"/>
        <v>1168397288.4233751</v>
      </c>
      <c r="C35" s="2">
        <f t="shared" si="20"/>
        <v>3716762414.538476</v>
      </c>
      <c r="E35">
        <v>32</v>
      </c>
      <c r="F35" s="2">
        <f t="shared" si="16"/>
        <v>142612800</v>
      </c>
      <c r="G35" s="2">
        <f t="shared" si="17"/>
        <v>19600000</v>
      </c>
      <c r="H35" s="2">
        <f t="shared" si="0"/>
        <v>123012800</v>
      </c>
      <c r="I35" s="2">
        <f t="shared" si="10"/>
        <v>17595.110604526017</v>
      </c>
      <c r="J35" s="2">
        <f t="shared" si="6"/>
        <v>5278.533181357805</v>
      </c>
      <c r="K35" s="2">
        <f t="shared" si="7"/>
        <v>123007521.46681865</v>
      </c>
      <c r="L35" s="2">
        <f t="shared" si="11"/>
        <v>33212030.796041038</v>
      </c>
      <c r="M35" s="2">
        <f t="shared" si="12"/>
        <v>89800769.203958958</v>
      </c>
      <c r="N35" s="2">
        <f t="shared" ref="N35:N66" si="21">M35/((1+$B$16)^E35)</f>
        <v>34017229.543577388</v>
      </c>
      <c r="O35" s="2"/>
      <c r="P35">
        <v>32</v>
      </c>
      <c r="Q35" s="3">
        <f t="shared" si="18"/>
        <v>335332800</v>
      </c>
      <c r="R35" s="6">
        <f>$C$13+$C$6*$A$18*$C$10+50*'Carbon Tax'!$B$6</f>
        <v>131999782.44834734</v>
      </c>
      <c r="S35" s="3">
        <f t="shared" si="3"/>
        <v>203333017.55165267</v>
      </c>
      <c r="T35" s="7">
        <f t="shared" si="15"/>
        <v>49127.933005771039</v>
      </c>
      <c r="U35" s="7">
        <f t="shared" si="8"/>
        <v>12281.98325144276</v>
      </c>
      <c r="V35" s="7">
        <f t="shared" si="9"/>
        <v>203320735.56840122</v>
      </c>
      <c r="W35" s="7">
        <f t="shared" si="13"/>
        <v>54896598.603468329</v>
      </c>
      <c r="X35" s="11">
        <f t="shared" si="14"/>
        <v>148436418.94818434</v>
      </c>
      <c r="Y35" s="7">
        <f t="shared" ref="Y35:Y66" si="22">X35/((1+$B$16)^P35)</f>
        <v>56228869.538061813</v>
      </c>
    </row>
    <row r="36" spans="1:25">
      <c r="A36">
        <v>0.04</v>
      </c>
      <c r="B36" s="2">
        <f t="shared" si="19"/>
        <v>668254569.92515159</v>
      </c>
      <c r="C36" s="2">
        <f t="shared" si="20"/>
        <v>2630186015.7455726</v>
      </c>
      <c r="E36">
        <v>33</v>
      </c>
      <c r="F36" s="2">
        <f t="shared" si="16"/>
        <v>142612800</v>
      </c>
      <c r="G36" s="2">
        <f>$B$13+$B$12</f>
        <v>1134800000</v>
      </c>
      <c r="H36" s="2">
        <f t="shared" si="0"/>
        <v>-992187200</v>
      </c>
      <c r="I36" s="2">
        <f t="shared" si="10"/>
        <v>12316.577423168212</v>
      </c>
      <c r="J36" s="13">
        <v>0</v>
      </c>
      <c r="K36" s="13">
        <f>H36-J36+$B$12+$B$14</f>
        <v>123012800</v>
      </c>
      <c r="L36" s="2">
        <f t="shared" si="11"/>
        <v>33213456.000000004</v>
      </c>
      <c r="M36" s="13">
        <f>IF(L36&lt;0,H36,H36-L36+$B$14)</f>
        <v>-1025400656</v>
      </c>
      <c r="N36" s="2">
        <f t="shared" si="21"/>
        <v>-376823574.52373987</v>
      </c>
      <c r="O36" s="2"/>
      <c r="P36">
        <v>33</v>
      </c>
      <c r="Q36" s="3">
        <f t="shared" si="18"/>
        <v>335332800</v>
      </c>
      <c r="R36" s="6">
        <f>$C$13+$C$6*$A$18*$C$10+50*'Carbon Tax'!$B$6</f>
        <v>131999782.44834734</v>
      </c>
      <c r="S36" s="3">
        <f t="shared" si="3"/>
        <v>203333017.55165267</v>
      </c>
      <c r="T36" s="7">
        <f t="shared" si="15"/>
        <v>36845.949754328278</v>
      </c>
      <c r="U36" s="7">
        <f t="shared" ref="U36:U57" si="23">T36*$B$29</f>
        <v>9211.4874385820694</v>
      </c>
      <c r="V36" s="7">
        <f t="shared" si="9"/>
        <v>203323806.06421408</v>
      </c>
      <c r="W36" s="7">
        <f t="shared" si="13"/>
        <v>54897427.637337804</v>
      </c>
      <c r="X36" s="11">
        <f t="shared" si="14"/>
        <v>148435589.91431487</v>
      </c>
      <c r="Y36" s="7">
        <f t="shared" si="22"/>
        <v>54548462.838170953</v>
      </c>
    </row>
    <row r="37" spans="1:25">
      <c r="A37">
        <v>0.05</v>
      </c>
      <c r="B37" s="2">
        <f t="shared" si="19"/>
        <v>352439474.39769864</v>
      </c>
      <c r="C37" s="2">
        <f t="shared" si="20"/>
        <v>1960527375.2606816</v>
      </c>
      <c r="E37">
        <v>34</v>
      </c>
      <c r="F37" s="2">
        <v>0</v>
      </c>
      <c r="G37" s="2">
        <v>0</v>
      </c>
      <c r="H37" s="2">
        <f t="shared" si="0"/>
        <v>0</v>
      </c>
      <c r="I37" s="2">
        <v>1115200000</v>
      </c>
      <c r="J37" s="2">
        <f t="shared" si="6"/>
        <v>334560000</v>
      </c>
      <c r="K37" s="2">
        <f t="shared" si="7"/>
        <v>-334560000</v>
      </c>
      <c r="L37" s="2">
        <f>K37*$B$15</f>
        <v>-90331200</v>
      </c>
      <c r="M37" s="2">
        <f t="shared" si="12"/>
        <v>0</v>
      </c>
      <c r="N37" s="2">
        <f t="shared" si="21"/>
        <v>0</v>
      </c>
      <c r="P37">
        <v>34</v>
      </c>
      <c r="Q37" s="3">
        <f t="shared" si="18"/>
        <v>335332800</v>
      </c>
      <c r="R37" s="6">
        <f>$C$13+$C$6*$A$18*$C$10+50*'Carbon Tax'!$B$6</f>
        <v>131999782.44834734</v>
      </c>
      <c r="S37" s="3">
        <f t="shared" si="3"/>
        <v>203333017.55165267</v>
      </c>
      <c r="T37" s="7">
        <f t="shared" si="15"/>
        <v>27634.462315746208</v>
      </c>
      <c r="U37" s="7">
        <f t="shared" si="23"/>
        <v>6908.6155789365521</v>
      </c>
      <c r="V37" s="7">
        <f t="shared" si="9"/>
        <v>203326108.93607372</v>
      </c>
      <c r="W37" s="7">
        <f t="shared" ref="W37:W68" si="24">IF(W36&lt;0,V37*$B$15+W36,V37*$B$15)</f>
        <v>54898049.41273991</v>
      </c>
      <c r="X37" s="11">
        <f t="shared" si="14"/>
        <v>148434968.13891277</v>
      </c>
      <c r="Y37" s="7">
        <f t="shared" si="22"/>
        <v>52918349.187506579</v>
      </c>
    </row>
    <row r="38" spans="1:25">
      <c r="A38">
        <v>0.1</v>
      </c>
      <c r="B38" s="2">
        <f t="shared" si="19"/>
        <v>-350194379.65715301</v>
      </c>
      <c r="C38" s="2">
        <f t="shared" si="20"/>
        <v>601885264.61596107</v>
      </c>
      <c r="E38">
        <v>35</v>
      </c>
      <c r="F38" s="2">
        <v>0</v>
      </c>
      <c r="G38" s="2">
        <v>0</v>
      </c>
      <c r="H38" s="2">
        <f t="shared" si="0"/>
        <v>0</v>
      </c>
      <c r="I38" s="2">
        <f>I37-J37</f>
        <v>780640000</v>
      </c>
      <c r="J38" s="2">
        <f t="shared" si="6"/>
        <v>234192000</v>
      </c>
      <c r="K38" s="2">
        <f t="shared" si="7"/>
        <v>-234192000</v>
      </c>
      <c r="L38" s="2">
        <f t="shared" ref="L38:L69" si="25">IF(L37&lt;0,K38*$B$15+L37,K38*$B$15)</f>
        <v>-153563040</v>
      </c>
      <c r="M38" s="2">
        <f t="shared" si="12"/>
        <v>0</v>
      </c>
      <c r="N38" s="2">
        <f t="shared" si="21"/>
        <v>0</v>
      </c>
      <c r="P38">
        <v>35</v>
      </c>
      <c r="Q38" s="3">
        <f t="shared" si="18"/>
        <v>335332800</v>
      </c>
      <c r="R38" s="6">
        <f>$C$13+$C$6*$A$18*$C$10+50*'Carbon Tax'!$B$6</f>
        <v>131999782.44834734</v>
      </c>
      <c r="S38" s="3">
        <f t="shared" si="3"/>
        <v>203333017.55165267</v>
      </c>
      <c r="T38" s="7">
        <f t="shared" si="15"/>
        <v>20725.846736809657</v>
      </c>
      <c r="U38" s="7">
        <f t="shared" si="23"/>
        <v>5181.4616842024143</v>
      </c>
      <c r="V38" s="7">
        <f t="shared" si="9"/>
        <v>203327836.08996847</v>
      </c>
      <c r="W38" s="7">
        <f t="shared" si="24"/>
        <v>54898515.744291492</v>
      </c>
      <c r="X38" s="11">
        <f t="shared" si="14"/>
        <v>148434501.80736119</v>
      </c>
      <c r="Y38" s="7">
        <f t="shared" si="22"/>
        <v>51337003.236590564</v>
      </c>
    </row>
    <row r="39" spans="1:25">
      <c r="A39">
        <v>0.2</v>
      </c>
      <c r="B39" s="2">
        <f t="shared" si="19"/>
        <v>-780826093.63646662</v>
      </c>
      <c r="C39" s="2">
        <f t="shared" si="20"/>
        <v>-39511126.240396261</v>
      </c>
      <c r="E39">
        <v>36</v>
      </c>
      <c r="F39" s="2">
        <v>0</v>
      </c>
      <c r="G39" s="2">
        <v>0</v>
      </c>
      <c r="H39" s="2">
        <f t="shared" si="0"/>
        <v>0</v>
      </c>
      <c r="I39" s="2">
        <f t="shared" ref="I39:I69" si="26">I38-J38</f>
        <v>546448000</v>
      </c>
      <c r="J39" s="2">
        <f t="shared" si="6"/>
        <v>163934400</v>
      </c>
      <c r="K39" s="2">
        <f t="shared" si="7"/>
        <v>-163934400</v>
      </c>
      <c r="L39" s="2">
        <f t="shared" si="25"/>
        <v>-197825328</v>
      </c>
      <c r="M39" s="2">
        <f t="shared" si="12"/>
        <v>0</v>
      </c>
      <c r="N39" s="2">
        <f t="shared" si="21"/>
        <v>0</v>
      </c>
      <c r="P39">
        <v>36</v>
      </c>
      <c r="Q39" s="3">
        <f t="shared" si="18"/>
        <v>335332800</v>
      </c>
      <c r="R39" s="6">
        <f>$C$13+$C$6*$A$18*$C$10+50*'Carbon Tax'!$B$6</f>
        <v>131999782.44834734</v>
      </c>
      <c r="S39" s="3">
        <f t="shared" si="3"/>
        <v>203333017.55165267</v>
      </c>
      <c r="T39" s="7">
        <f t="shared" si="15"/>
        <v>15544.385052607242</v>
      </c>
      <c r="U39" s="7">
        <f t="shared" si="23"/>
        <v>3886.0962631518105</v>
      </c>
      <c r="V39" s="7">
        <f t="shared" si="9"/>
        <v>203329131.45538953</v>
      </c>
      <c r="W39" s="7">
        <f t="shared" si="24"/>
        <v>54898865.492955178</v>
      </c>
      <c r="X39" s="11">
        <f t="shared" si="14"/>
        <v>148434152.05869749</v>
      </c>
      <c r="Y39" s="7">
        <f t="shared" si="22"/>
        <v>49802951.371577471</v>
      </c>
    </row>
    <row r="40" spans="1:25">
      <c r="B40" s="2"/>
      <c r="C40" s="2"/>
      <c r="E40">
        <v>37</v>
      </c>
      <c r="F40" s="2">
        <f t="shared" ref="F40:F69" si="27">$B$11</f>
        <v>142612800</v>
      </c>
      <c r="G40" s="2">
        <f t="shared" ref="G40:G68" si="28">$B$13</f>
        <v>19600000</v>
      </c>
      <c r="H40" s="2">
        <f t="shared" si="0"/>
        <v>123012800</v>
      </c>
      <c r="I40" s="2">
        <f t="shared" si="26"/>
        <v>382513600</v>
      </c>
      <c r="J40" s="2">
        <f t="shared" si="6"/>
        <v>114754080</v>
      </c>
      <c r="K40" s="2">
        <f t="shared" si="7"/>
        <v>8258720</v>
      </c>
      <c r="L40" s="2">
        <f t="shared" si="25"/>
        <v>-195595473.59999999</v>
      </c>
      <c r="M40" s="2">
        <f t="shared" si="12"/>
        <v>123012800</v>
      </c>
      <c r="N40" s="2">
        <f t="shared" si="21"/>
        <v>40040283.007602386</v>
      </c>
      <c r="P40">
        <v>37</v>
      </c>
      <c r="Q40" s="3">
        <f t="shared" si="18"/>
        <v>335332800</v>
      </c>
      <c r="R40" s="6">
        <f>$C$13+$C$6*$A$18*$C$10+50*'Carbon Tax'!$B$6</f>
        <v>131999782.44834734</v>
      </c>
      <c r="S40" s="3">
        <f t="shared" si="3"/>
        <v>203333017.55165267</v>
      </c>
      <c r="T40" s="7">
        <f t="shared" si="15"/>
        <v>11658.288789455431</v>
      </c>
      <c r="U40" s="7">
        <f t="shared" si="23"/>
        <v>2914.5721973638579</v>
      </c>
      <c r="V40" s="7">
        <f t="shared" si="9"/>
        <v>203330102.97945529</v>
      </c>
      <c r="W40" s="7">
        <f t="shared" si="24"/>
        <v>54899127.804452933</v>
      </c>
      <c r="X40" s="11">
        <f t="shared" si="14"/>
        <v>148433889.74719974</v>
      </c>
      <c r="Y40" s="7">
        <f t="shared" si="22"/>
        <v>48314768.490735345</v>
      </c>
    </row>
    <row r="41" spans="1:25">
      <c r="E41">
        <v>38</v>
      </c>
      <c r="F41" s="2">
        <f t="shared" si="27"/>
        <v>142612800</v>
      </c>
      <c r="G41" s="2">
        <f t="shared" si="28"/>
        <v>19600000</v>
      </c>
      <c r="H41" s="2">
        <f t="shared" si="0"/>
        <v>123012800</v>
      </c>
      <c r="I41" s="2">
        <f t="shared" si="26"/>
        <v>267759520</v>
      </c>
      <c r="J41" s="2">
        <f t="shared" si="6"/>
        <v>80327856</v>
      </c>
      <c r="K41" s="2">
        <f t="shared" si="7"/>
        <v>42684944</v>
      </c>
      <c r="L41" s="2">
        <f t="shared" si="25"/>
        <v>-184070538.72</v>
      </c>
      <c r="M41" s="2">
        <f t="shared" si="12"/>
        <v>123012800</v>
      </c>
      <c r="N41" s="2">
        <f t="shared" si="21"/>
        <v>38843891.159878142</v>
      </c>
      <c r="P41">
        <v>38</v>
      </c>
      <c r="Q41" s="3">
        <f t="shared" si="18"/>
        <v>335332800</v>
      </c>
      <c r="R41" s="6">
        <f>$C$13+$C$6*$A$18*$C$10+50*'Carbon Tax'!$B$6</f>
        <v>131999782.44834734</v>
      </c>
      <c r="S41" s="3">
        <f t="shared" si="3"/>
        <v>203333017.55165267</v>
      </c>
      <c r="T41" s="7">
        <f t="shared" si="15"/>
        <v>8743.7165920915741</v>
      </c>
      <c r="U41" s="7">
        <f t="shared" si="23"/>
        <v>2185.9291480228935</v>
      </c>
      <c r="V41" s="7">
        <f t="shared" si="9"/>
        <v>203330831.62250465</v>
      </c>
      <c r="W41" s="7">
        <f t="shared" si="24"/>
        <v>54899324.538076259</v>
      </c>
      <c r="X41" s="11">
        <f t="shared" si="14"/>
        <v>148433693.01357642</v>
      </c>
      <c r="Y41" s="7">
        <f t="shared" si="22"/>
        <v>46871075.334258929</v>
      </c>
    </row>
    <row r="42" spans="1:25">
      <c r="E42">
        <v>39</v>
      </c>
      <c r="F42" s="2">
        <f t="shared" si="27"/>
        <v>142612800</v>
      </c>
      <c r="G42" s="2">
        <f t="shared" si="28"/>
        <v>19600000</v>
      </c>
      <c r="H42" s="2">
        <f t="shared" si="0"/>
        <v>123012800</v>
      </c>
      <c r="I42" s="2">
        <f t="shared" si="26"/>
        <v>187431664</v>
      </c>
      <c r="J42" s="2">
        <f t="shared" si="6"/>
        <v>56229499.199999996</v>
      </c>
      <c r="K42" s="2">
        <f t="shared" si="7"/>
        <v>66783300.800000004</v>
      </c>
      <c r="L42" s="2">
        <f t="shared" si="25"/>
        <v>-166039047.50400001</v>
      </c>
      <c r="M42" s="2">
        <f t="shared" si="12"/>
        <v>123012800</v>
      </c>
      <c r="N42" s="2">
        <f t="shared" si="21"/>
        <v>37683247.147728123</v>
      </c>
      <c r="P42">
        <v>39</v>
      </c>
      <c r="Q42" s="3">
        <f t="shared" si="18"/>
        <v>335332800</v>
      </c>
      <c r="R42" s="6">
        <f>$C$13+$C$6*$A$18*$C$10+50*'Carbon Tax'!$B$6</f>
        <v>131999782.44834734</v>
      </c>
      <c r="S42" s="3">
        <f t="shared" si="3"/>
        <v>203333017.55165267</v>
      </c>
      <c r="T42" s="7">
        <f t="shared" si="15"/>
        <v>6557.787444068681</v>
      </c>
      <c r="U42" s="7">
        <f t="shared" si="23"/>
        <v>1639.4468610171702</v>
      </c>
      <c r="V42" s="7">
        <f t="shared" si="9"/>
        <v>203331378.10479164</v>
      </c>
      <c r="W42" s="7">
        <f t="shared" si="24"/>
        <v>54899472.088293746</v>
      </c>
      <c r="X42" s="11">
        <f t="shared" si="14"/>
        <v>148433545.46335894</v>
      </c>
      <c r="Y42" s="7">
        <f t="shared" si="22"/>
        <v>45470536.226386957</v>
      </c>
    </row>
    <row r="43" spans="1:25">
      <c r="E43">
        <v>40</v>
      </c>
      <c r="F43" s="2">
        <f t="shared" si="27"/>
        <v>142612800</v>
      </c>
      <c r="G43" s="2">
        <f t="shared" si="28"/>
        <v>19600000</v>
      </c>
      <c r="H43" s="2">
        <f t="shared" si="0"/>
        <v>123012800</v>
      </c>
      <c r="I43" s="2">
        <f t="shared" si="26"/>
        <v>131202164.80000001</v>
      </c>
      <c r="J43" s="2">
        <f t="shared" si="6"/>
        <v>39360649.440000005</v>
      </c>
      <c r="K43" s="2">
        <f t="shared" si="7"/>
        <v>83652150.560000002</v>
      </c>
      <c r="L43" s="2">
        <f t="shared" si="25"/>
        <v>-143452966.85280001</v>
      </c>
      <c r="M43" s="2">
        <f t="shared" si="12"/>
        <v>123012800</v>
      </c>
      <c r="N43" s="2">
        <f t="shared" si="21"/>
        <v>36557282.83636798</v>
      </c>
      <c r="P43">
        <v>40</v>
      </c>
      <c r="Q43" s="3">
        <f t="shared" si="18"/>
        <v>335332800</v>
      </c>
      <c r="R43" s="6">
        <f>$C$13+$C$6*$A$18*$C$10+50*'Carbon Tax'!$B$6</f>
        <v>131999782.44834734</v>
      </c>
      <c r="S43" s="3">
        <f t="shared" si="3"/>
        <v>203333017.55165267</v>
      </c>
      <c r="T43" s="7">
        <f t="shared" si="15"/>
        <v>4918.3405830515112</v>
      </c>
      <c r="U43" s="7">
        <f t="shared" si="23"/>
        <v>1229.5851457628778</v>
      </c>
      <c r="V43" s="7">
        <f t="shared" si="9"/>
        <v>203331787.9665069</v>
      </c>
      <c r="W43" s="7">
        <f t="shared" si="24"/>
        <v>54899582.750956863</v>
      </c>
      <c r="X43" s="11">
        <f t="shared" si="14"/>
        <v>148433434.80069581</v>
      </c>
      <c r="Y43" s="7">
        <f t="shared" si="22"/>
        <v>44111857.126921937</v>
      </c>
    </row>
    <row r="44" spans="1:25">
      <c r="E44">
        <v>41</v>
      </c>
      <c r="F44" s="2">
        <f t="shared" si="27"/>
        <v>142612800</v>
      </c>
      <c r="G44" s="2">
        <f t="shared" si="28"/>
        <v>19600000</v>
      </c>
      <c r="H44" s="2">
        <f t="shared" si="0"/>
        <v>123012800</v>
      </c>
      <c r="I44" s="2">
        <f t="shared" si="26"/>
        <v>91841515.360000014</v>
      </c>
      <c r="J44" s="2">
        <f t="shared" si="6"/>
        <v>27552454.608000003</v>
      </c>
      <c r="K44" s="2">
        <f t="shared" si="7"/>
        <v>95460345.39199999</v>
      </c>
      <c r="L44" s="2">
        <f t="shared" si="25"/>
        <v>-117678673.59696001</v>
      </c>
      <c r="M44" s="2">
        <f t="shared" si="12"/>
        <v>123012800</v>
      </c>
      <c r="N44" s="2">
        <f t="shared" si="21"/>
        <v>35464962.006565757</v>
      </c>
      <c r="P44">
        <v>41</v>
      </c>
      <c r="Q44" s="3">
        <f t="shared" si="18"/>
        <v>335332800</v>
      </c>
      <c r="R44" s="6">
        <f>$C$13+$C$6*$A$18*$C$10+50*'Carbon Tax'!$B$6</f>
        <v>131999782.44834734</v>
      </c>
      <c r="S44" s="3">
        <f t="shared" si="3"/>
        <v>203333017.55165267</v>
      </c>
      <c r="T44" s="7">
        <f t="shared" si="15"/>
        <v>3688.7554372886334</v>
      </c>
      <c r="U44" s="7">
        <f t="shared" si="23"/>
        <v>922.18885932215835</v>
      </c>
      <c r="V44" s="7">
        <f t="shared" si="9"/>
        <v>203332095.36279336</v>
      </c>
      <c r="W44" s="7">
        <f t="shared" si="24"/>
        <v>54899665.747954212</v>
      </c>
      <c r="X44" s="11">
        <f t="shared" si="14"/>
        <v>148433351.80369845</v>
      </c>
      <c r="Y44" s="7">
        <f t="shared" si="22"/>
        <v>42793783.917001925</v>
      </c>
    </row>
    <row r="45" spans="1:25">
      <c r="E45">
        <v>42</v>
      </c>
      <c r="F45" s="2">
        <f t="shared" si="27"/>
        <v>142612800</v>
      </c>
      <c r="G45" s="2">
        <f t="shared" si="28"/>
        <v>19600000</v>
      </c>
      <c r="H45" s="2">
        <f t="shared" si="0"/>
        <v>123012800</v>
      </c>
      <c r="I45" s="2">
        <f t="shared" si="26"/>
        <v>64289060.752000012</v>
      </c>
      <c r="J45" s="2">
        <f t="shared" si="6"/>
        <v>19286718.225600004</v>
      </c>
      <c r="K45" s="2">
        <f t="shared" si="7"/>
        <v>103726081.7744</v>
      </c>
      <c r="L45" s="2">
        <f t="shared" si="25"/>
        <v>-89672631.517872006</v>
      </c>
      <c r="M45" s="2">
        <f t="shared" si="12"/>
        <v>123012800</v>
      </c>
      <c r="N45" s="2">
        <f t="shared" si="21"/>
        <v>34405279.401014514</v>
      </c>
      <c r="P45">
        <v>42</v>
      </c>
      <c r="Q45" s="3">
        <f t="shared" si="18"/>
        <v>335332800</v>
      </c>
      <c r="R45" s="6">
        <f>$C$13+$C$6*$A$18*$C$10+50*'Carbon Tax'!$B$6</f>
        <v>131999782.44834734</v>
      </c>
      <c r="S45" s="3">
        <f t="shared" si="3"/>
        <v>203333017.55165267</v>
      </c>
      <c r="T45" s="7">
        <f t="shared" si="15"/>
        <v>2766.5665779664751</v>
      </c>
      <c r="U45" s="7">
        <f t="shared" si="23"/>
        <v>691.64164449161876</v>
      </c>
      <c r="V45" s="7">
        <f t="shared" si="9"/>
        <v>203332325.91000819</v>
      </c>
      <c r="W45" s="7">
        <f t="shared" si="24"/>
        <v>54899727.995702215</v>
      </c>
      <c r="X45" s="11">
        <f t="shared" si="14"/>
        <v>148433289.55595046</v>
      </c>
      <c r="Y45" s="7">
        <f t="shared" si="22"/>
        <v>41515100.864171572</v>
      </c>
    </row>
    <row r="46" spans="1:25">
      <c r="C46" s="14"/>
      <c r="E46">
        <v>43</v>
      </c>
      <c r="F46" s="2">
        <f t="shared" si="27"/>
        <v>142612800</v>
      </c>
      <c r="G46" s="2">
        <f t="shared" si="28"/>
        <v>19600000</v>
      </c>
      <c r="H46" s="2">
        <f t="shared" si="0"/>
        <v>123012800</v>
      </c>
      <c r="I46" s="2">
        <f t="shared" si="26"/>
        <v>45002342.526400007</v>
      </c>
      <c r="J46" s="2">
        <f t="shared" si="6"/>
        <v>13500702.757920003</v>
      </c>
      <c r="K46" s="2">
        <f t="shared" si="7"/>
        <v>109512097.24208</v>
      </c>
      <c r="L46" s="2">
        <f t="shared" si="25"/>
        <v>-60104365.262510404</v>
      </c>
      <c r="M46" s="2">
        <f t="shared" si="12"/>
        <v>123012800</v>
      </c>
      <c r="N46" s="2">
        <f t="shared" si="21"/>
        <v>33377259.799199183</v>
      </c>
      <c r="P46">
        <v>43</v>
      </c>
      <c r="Q46" s="3">
        <f t="shared" si="18"/>
        <v>335332800</v>
      </c>
      <c r="R46" s="6">
        <f>$C$13+$C$6*$A$18*$C$10+50*'Carbon Tax'!$B$6</f>
        <v>131999782.44834734</v>
      </c>
      <c r="S46" s="3">
        <f t="shared" si="3"/>
        <v>203333017.55165267</v>
      </c>
      <c r="T46" s="7">
        <f t="shared" si="15"/>
        <v>2074.9249334748565</v>
      </c>
      <c r="U46" s="7">
        <f t="shared" si="23"/>
        <v>518.73123336871413</v>
      </c>
      <c r="V46" s="7">
        <f t="shared" si="9"/>
        <v>203332498.82041931</v>
      </c>
      <c r="W46" s="7">
        <f t="shared" si="24"/>
        <v>54899774.68151322</v>
      </c>
      <c r="X46" s="11">
        <f t="shared" si="14"/>
        <v>148433242.87013945</v>
      </c>
      <c r="Y46" s="7">
        <f t="shared" si="22"/>
        <v>40274629.226505488</v>
      </c>
    </row>
    <row r="47" spans="1:25">
      <c r="E47">
        <v>44</v>
      </c>
      <c r="F47" s="2">
        <f t="shared" si="27"/>
        <v>142612800</v>
      </c>
      <c r="G47" s="2">
        <f t="shared" si="28"/>
        <v>19600000</v>
      </c>
      <c r="H47" s="2">
        <f t="shared" si="0"/>
        <v>123012800</v>
      </c>
      <c r="I47" s="2">
        <f t="shared" si="26"/>
        <v>31501639.768480003</v>
      </c>
      <c r="J47" s="2">
        <f t="shared" si="6"/>
        <v>9450491.9305440001</v>
      </c>
      <c r="K47" s="2">
        <f t="shared" si="7"/>
        <v>113562308.069456</v>
      </c>
      <c r="L47" s="2">
        <f t="shared" si="25"/>
        <v>-29442542.083757281</v>
      </c>
      <c r="M47" s="2">
        <f t="shared" si="12"/>
        <v>123012800</v>
      </c>
      <c r="N47" s="2">
        <f t="shared" si="21"/>
        <v>32379957.119906072</v>
      </c>
      <c r="P47">
        <v>44</v>
      </c>
      <c r="Q47" s="3">
        <f t="shared" si="18"/>
        <v>335332800</v>
      </c>
      <c r="R47" s="6">
        <f>$C$13+$C$6*$A$18*$C$10+50*'Carbon Tax'!$B$6</f>
        <v>131999782.44834734</v>
      </c>
      <c r="S47" s="3">
        <f t="shared" si="3"/>
        <v>203333017.55165267</v>
      </c>
      <c r="T47" s="7">
        <f t="shared" si="15"/>
        <v>1556.1937001061424</v>
      </c>
      <c r="U47" s="7">
        <f t="shared" si="23"/>
        <v>389.0484250265356</v>
      </c>
      <c r="V47" s="7">
        <f t="shared" si="9"/>
        <v>203332628.50322765</v>
      </c>
      <c r="W47" s="7">
        <f t="shared" si="24"/>
        <v>54899809.695871472</v>
      </c>
      <c r="X47" s="11">
        <f t="shared" si="14"/>
        <v>148433207.8557812</v>
      </c>
      <c r="Y47" s="7">
        <f t="shared" si="22"/>
        <v>39071225.966243349</v>
      </c>
    </row>
    <row r="48" spans="1:25">
      <c r="E48">
        <v>45</v>
      </c>
      <c r="F48" s="2">
        <f t="shared" si="27"/>
        <v>142612800</v>
      </c>
      <c r="G48" s="2">
        <f t="shared" si="28"/>
        <v>19600000</v>
      </c>
      <c r="H48" s="2">
        <f t="shared" si="0"/>
        <v>123012800</v>
      </c>
      <c r="I48" s="2">
        <f t="shared" si="26"/>
        <v>22051147.837936003</v>
      </c>
      <c r="J48" s="2">
        <f t="shared" si="6"/>
        <v>6615344.3513808008</v>
      </c>
      <c r="K48" s="2">
        <f t="shared" si="7"/>
        <v>116397455.6486192</v>
      </c>
      <c r="L48" s="2">
        <f t="shared" si="25"/>
        <v>1984770.9413699061</v>
      </c>
      <c r="M48" s="2">
        <f t="shared" si="12"/>
        <v>121028029.05863009</v>
      </c>
      <c r="N48" s="2">
        <f t="shared" si="21"/>
        <v>30905623.976681545</v>
      </c>
      <c r="P48">
        <v>45</v>
      </c>
      <c r="Q48" s="3">
        <f t="shared" si="18"/>
        <v>335332800</v>
      </c>
      <c r="R48" s="6">
        <f>$C$13+$C$6*$A$18*$C$10+50*'Carbon Tax'!$B$6</f>
        <v>131999782.44834734</v>
      </c>
      <c r="S48" s="3">
        <f t="shared" si="3"/>
        <v>203333017.55165267</v>
      </c>
      <c r="T48" s="7">
        <f t="shared" si="15"/>
        <v>1167.1452750796068</v>
      </c>
      <c r="U48" s="7">
        <f t="shared" si="23"/>
        <v>291.7863187699017</v>
      </c>
      <c r="V48" s="7">
        <f t="shared" si="9"/>
        <v>203332725.76533389</v>
      </c>
      <c r="W48" s="7">
        <f t="shared" si="24"/>
        <v>54899835.956640154</v>
      </c>
      <c r="X48" s="11">
        <f t="shared" si="14"/>
        <v>148433181.59501252</v>
      </c>
      <c r="Y48" s="7">
        <f t="shared" si="22"/>
        <v>37903782.55119434</v>
      </c>
    </row>
    <row r="49" spans="2:25">
      <c r="E49">
        <v>46</v>
      </c>
      <c r="F49" s="2">
        <f t="shared" si="27"/>
        <v>142612800</v>
      </c>
      <c r="G49" s="2">
        <f t="shared" si="28"/>
        <v>19600000</v>
      </c>
      <c r="H49" s="2">
        <f t="shared" si="0"/>
        <v>123012800</v>
      </c>
      <c r="I49" s="2">
        <f t="shared" si="26"/>
        <v>15435803.486555202</v>
      </c>
      <c r="J49" s="2">
        <f t="shared" si="6"/>
        <v>4630741.04596656</v>
      </c>
      <c r="K49" s="2">
        <f t="shared" si="7"/>
        <v>118382058.95403343</v>
      </c>
      <c r="L49" s="2">
        <f t="shared" si="25"/>
        <v>31963155.917589031</v>
      </c>
      <c r="M49" s="2">
        <f t="shared" si="12"/>
        <v>91049644.082410961</v>
      </c>
      <c r="N49" s="2">
        <f t="shared" si="21"/>
        <v>22555652.653068464</v>
      </c>
      <c r="P49">
        <v>46</v>
      </c>
      <c r="Q49" s="3">
        <f t="shared" si="18"/>
        <v>335332800</v>
      </c>
      <c r="R49" s="6">
        <f>$C$13+$C$6*$A$18*$C$10+50*'Carbon Tax'!$B$6</f>
        <v>131999782.44834734</v>
      </c>
      <c r="S49" s="3">
        <f t="shared" si="3"/>
        <v>203333017.55165267</v>
      </c>
      <c r="T49" s="7">
        <f t="shared" si="15"/>
        <v>875.35895630970504</v>
      </c>
      <c r="U49" s="7">
        <f t="shared" si="23"/>
        <v>218.83973907742626</v>
      </c>
      <c r="V49" s="7">
        <f t="shared" si="9"/>
        <v>203332798.71191359</v>
      </c>
      <c r="W49" s="7">
        <f t="shared" si="24"/>
        <v>54899855.652216673</v>
      </c>
      <c r="X49" s="11">
        <f t="shared" si="14"/>
        <v>148433161.899436</v>
      </c>
      <c r="Y49" s="7">
        <f t="shared" si="22"/>
        <v>36771223.827849373</v>
      </c>
    </row>
    <row r="50" spans="2:25">
      <c r="E50">
        <v>47</v>
      </c>
      <c r="F50" s="2">
        <f t="shared" si="27"/>
        <v>142612800</v>
      </c>
      <c r="G50" s="2">
        <f t="shared" si="28"/>
        <v>19600000</v>
      </c>
      <c r="H50" s="2">
        <f t="shared" si="0"/>
        <v>123012800</v>
      </c>
      <c r="I50" s="2">
        <f t="shared" si="26"/>
        <v>10805062.440588642</v>
      </c>
      <c r="J50" s="2">
        <f t="shared" si="6"/>
        <v>3241518.7321765926</v>
      </c>
      <c r="K50" s="2">
        <f t="shared" si="7"/>
        <v>119771281.26782341</v>
      </c>
      <c r="L50" s="2">
        <f t="shared" si="25"/>
        <v>32338245.942312323</v>
      </c>
      <c r="M50" s="2">
        <f t="shared" si="12"/>
        <v>90674554.05768767</v>
      </c>
      <c r="N50" s="2">
        <f t="shared" si="21"/>
        <v>21791552.108069476</v>
      </c>
      <c r="P50">
        <v>47</v>
      </c>
      <c r="Q50" s="3">
        <f t="shared" si="18"/>
        <v>335332800</v>
      </c>
      <c r="R50" s="6">
        <f>$C$13+$C$6*$A$18*$C$10+50*'Carbon Tax'!$B$6</f>
        <v>131999782.44834734</v>
      </c>
      <c r="S50" s="3">
        <f t="shared" si="3"/>
        <v>203333017.55165267</v>
      </c>
      <c r="T50" s="7">
        <f t="shared" si="15"/>
        <v>656.51921723227883</v>
      </c>
      <c r="U50" s="7">
        <f t="shared" si="23"/>
        <v>164.12980430806971</v>
      </c>
      <c r="V50" s="7">
        <f t="shared" si="9"/>
        <v>203332853.42184836</v>
      </c>
      <c r="W50" s="7">
        <f t="shared" si="24"/>
        <v>54899870.423899062</v>
      </c>
      <c r="X50" s="11">
        <f t="shared" si="14"/>
        <v>148433147.12775362</v>
      </c>
      <c r="Y50" s="7">
        <f t="shared" si="22"/>
        <v>35672506.954280935</v>
      </c>
    </row>
    <row r="51" spans="2:25">
      <c r="E51">
        <v>48</v>
      </c>
      <c r="F51" s="2">
        <f t="shared" si="27"/>
        <v>142612800</v>
      </c>
      <c r="G51" s="2">
        <f t="shared" si="28"/>
        <v>19600000</v>
      </c>
      <c r="H51" s="2">
        <f t="shared" si="0"/>
        <v>123012800</v>
      </c>
      <c r="I51" s="2">
        <f t="shared" si="26"/>
        <v>7563543.7084120493</v>
      </c>
      <c r="J51" s="2">
        <f t="shared" si="6"/>
        <v>2269063.1125236149</v>
      </c>
      <c r="K51" s="2">
        <f t="shared" si="7"/>
        <v>120743736.88747638</v>
      </c>
      <c r="L51" s="2">
        <f t="shared" si="25"/>
        <v>32600808.959618624</v>
      </c>
      <c r="M51" s="2">
        <f t="shared" si="12"/>
        <v>90411991.040381372</v>
      </c>
      <c r="N51" s="2">
        <f t="shared" si="21"/>
        <v>21079211.390218038</v>
      </c>
      <c r="P51">
        <v>48</v>
      </c>
      <c r="Q51" s="3">
        <f t="shared" si="18"/>
        <v>335332800</v>
      </c>
      <c r="R51" s="6">
        <f>$C$13+$C$6*$A$18*$C$10+50*'Carbon Tax'!$B$6</f>
        <v>131999782.44834734</v>
      </c>
      <c r="S51" s="3">
        <f t="shared" si="3"/>
        <v>203333017.55165267</v>
      </c>
      <c r="T51" s="7">
        <f t="shared" si="15"/>
        <v>492.38941292420913</v>
      </c>
      <c r="U51" s="7">
        <f t="shared" si="23"/>
        <v>123.09735323105228</v>
      </c>
      <c r="V51" s="7">
        <f t="shared" si="9"/>
        <v>203332894.45429945</v>
      </c>
      <c r="W51" s="7">
        <f t="shared" si="24"/>
        <v>54899881.502660856</v>
      </c>
      <c r="X51" s="11">
        <f t="shared" si="14"/>
        <v>148433136.0489918</v>
      </c>
      <c r="Y51" s="7">
        <f t="shared" si="22"/>
        <v>34606620.38392926</v>
      </c>
    </row>
    <row r="52" spans="2:25">
      <c r="E52">
        <v>49</v>
      </c>
      <c r="F52" s="2">
        <f t="shared" si="27"/>
        <v>142612800</v>
      </c>
      <c r="G52" s="2">
        <f t="shared" si="28"/>
        <v>19600000</v>
      </c>
      <c r="H52" s="2">
        <f t="shared" si="0"/>
        <v>123012800</v>
      </c>
      <c r="I52" s="2">
        <f t="shared" si="26"/>
        <v>5294480.595888434</v>
      </c>
      <c r="J52" s="2">
        <f t="shared" si="6"/>
        <v>1588344.1787665302</v>
      </c>
      <c r="K52" s="2">
        <f t="shared" si="7"/>
        <v>121424455.82123347</v>
      </c>
      <c r="L52" s="2">
        <f t="shared" si="25"/>
        <v>32784603.071733039</v>
      </c>
      <c r="M52" s="2">
        <f t="shared" si="12"/>
        <v>90228196.928266957</v>
      </c>
      <c r="N52" s="2">
        <f t="shared" si="21"/>
        <v>20407800.245374046</v>
      </c>
      <c r="P52">
        <v>49</v>
      </c>
      <c r="Q52" s="3">
        <f t="shared" si="18"/>
        <v>335332800</v>
      </c>
      <c r="R52" s="6">
        <f>$C$13+$C$6*$A$18*$C$10+50*'Carbon Tax'!$B$6</f>
        <v>131999782.44834734</v>
      </c>
      <c r="S52" s="3">
        <f t="shared" si="3"/>
        <v>203333017.55165267</v>
      </c>
      <c r="T52" s="7">
        <f t="shared" si="15"/>
        <v>369.29205969315683</v>
      </c>
      <c r="U52" s="7">
        <f t="shared" si="23"/>
        <v>92.323014923289207</v>
      </c>
      <c r="V52" s="7">
        <f t="shared" si="9"/>
        <v>203332925.22863775</v>
      </c>
      <c r="W52" s="7">
        <f t="shared" si="24"/>
        <v>54899889.811732195</v>
      </c>
      <c r="X52" s="11">
        <f t="shared" si="14"/>
        <v>148433127.73992047</v>
      </c>
      <c r="Y52" s="7">
        <f t="shared" si="22"/>
        <v>33572582.893578708</v>
      </c>
    </row>
    <row r="53" spans="2:25">
      <c r="E53">
        <v>50</v>
      </c>
      <c r="F53" s="2">
        <f t="shared" si="27"/>
        <v>142612800</v>
      </c>
      <c r="G53" s="2">
        <f t="shared" si="28"/>
        <v>19600000</v>
      </c>
      <c r="H53" s="2">
        <f t="shared" si="0"/>
        <v>123012800</v>
      </c>
      <c r="I53" s="2">
        <f t="shared" si="26"/>
        <v>3706136.417121904</v>
      </c>
      <c r="J53" s="2">
        <f t="shared" si="6"/>
        <v>1111840.9251365711</v>
      </c>
      <c r="K53" s="2">
        <f t="shared" si="7"/>
        <v>121900959.07486343</v>
      </c>
      <c r="L53" s="2">
        <f t="shared" si="25"/>
        <v>32913258.950213131</v>
      </c>
      <c r="M53" s="2">
        <f t="shared" si="12"/>
        <v>90099541.049786866</v>
      </c>
      <c r="N53" s="2">
        <f t="shared" si="21"/>
        <v>19769791.305582989</v>
      </c>
      <c r="P53">
        <v>50</v>
      </c>
      <c r="Q53" s="3">
        <f t="shared" si="18"/>
        <v>335332800</v>
      </c>
      <c r="R53" s="6">
        <f>$C$13+$C$6*$A$18*$C$10+50*'Carbon Tax'!$B$6</f>
        <v>131999782.44834734</v>
      </c>
      <c r="S53" s="3">
        <f t="shared" si="3"/>
        <v>203333017.55165267</v>
      </c>
      <c r="T53" s="7">
        <f t="shared" si="15"/>
        <v>276.96904476986765</v>
      </c>
      <c r="U53" s="7">
        <f t="shared" si="23"/>
        <v>69.242261192466913</v>
      </c>
      <c r="V53" s="7">
        <f t="shared" si="9"/>
        <v>203332948.30939147</v>
      </c>
      <c r="W53" s="7">
        <f t="shared" si="24"/>
        <v>54899896.043535702</v>
      </c>
      <c r="X53" s="11">
        <f t="shared" si="14"/>
        <v>148433121.50811696</v>
      </c>
      <c r="Y53" s="7">
        <f t="shared" si="22"/>
        <v>32569442.650436852</v>
      </c>
    </row>
    <row r="54" spans="2:25">
      <c r="E54">
        <v>51</v>
      </c>
      <c r="F54" s="2">
        <f t="shared" si="27"/>
        <v>142612800</v>
      </c>
      <c r="G54" s="2">
        <f t="shared" si="28"/>
        <v>19600000</v>
      </c>
      <c r="H54" s="2">
        <f t="shared" si="0"/>
        <v>123012800</v>
      </c>
      <c r="I54" s="2">
        <f t="shared" si="26"/>
        <v>2594295.4919853332</v>
      </c>
      <c r="J54" s="2">
        <f t="shared" si="6"/>
        <v>778288.64759559988</v>
      </c>
      <c r="K54" s="2">
        <f t="shared" si="7"/>
        <v>122234511.3524044</v>
      </c>
      <c r="L54" s="2">
        <f t="shared" si="25"/>
        <v>33003318.065149192</v>
      </c>
      <c r="M54" s="2">
        <f t="shared" si="12"/>
        <v>90009481.934850812</v>
      </c>
      <c r="N54" s="2">
        <f t="shared" si="21"/>
        <v>19159905.301360685</v>
      </c>
      <c r="P54">
        <v>51</v>
      </c>
      <c r="Q54" s="3">
        <f t="shared" si="18"/>
        <v>335332800</v>
      </c>
      <c r="R54" s="6">
        <f>$C$13+$C$6*$A$18*$C$10+50*'Carbon Tax'!$B$6</f>
        <v>131999782.44834734</v>
      </c>
      <c r="S54" s="3">
        <f t="shared" si="3"/>
        <v>203333017.55165267</v>
      </c>
      <c r="T54" s="7">
        <f t="shared" si="15"/>
        <v>207.72678357740074</v>
      </c>
      <c r="U54" s="7">
        <f t="shared" si="23"/>
        <v>51.931695894350185</v>
      </c>
      <c r="V54" s="7">
        <f t="shared" si="9"/>
        <v>203332965.61995676</v>
      </c>
      <c r="W54" s="7">
        <f t="shared" si="24"/>
        <v>54899900.717388332</v>
      </c>
      <c r="X54" s="11">
        <f t="shared" si="14"/>
        <v>148433116.83426434</v>
      </c>
      <c r="Y54" s="7">
        <f t="shared" si="22"/>
        <v>31596276.314408552</v>
      </c>
    </row>
    <row r="55" spans="2:25">
      <c r="E55">
        <v>52</v>
      </c>
      <c r="F55" s="2">
        <f t="shared" si="27"/>
        <v>142612800</v>
      </c>
      <c r="G55" s="2">
        <f t="shared" si="28"/>
        <v>19600000</v>
      </c>
      <c r="H55" s="2">
        <f t="shared" si="0"/>
        <v>123012800</v>
      </c>
      <c r="I55" s="2">
        <f t="shared" si="26"/>
        <v>1816006.8443897334</v>
      </c>
      <c r="J55" s="2">
        <f t="shared" si="6"/>
        <v>544802.05331691995</v>
      </c>
      <c r="K55" s="2">
        <f t="shared" si="7"/>
        <v>122467997.94668308</v>
      </c>
      <c r="L55" s="2">
        <f t="shared" si="25"/>
        <v>33066359.445604432</v>
      </c>
      <c r="M55" s="2">
        <f t="shared" si="12"/>
        <v>89946440.554395571</v>
      </c>
      <c r="N55" s="2">
        <f t="shared" si="21"/>
        <v>18574394.617816564</v>
      </c>
      <c r="P55">
        <v>52</v>
      </c>
      <c r="Q55" s="3">
        <f t="shared" si="18"/>
        <v>335332800</v>
      </c>
      <c r="R55" s="6">
        <f>$C$13+$C$6*$A$18*$C$10+50*'Carbon Tax'!$B$6</f>
        <v>131999782.44834734</v>
      </c>
      <c r="S55" s="3">
        <f t="shared" si="3"/>
        <v>203333017.55165267</v>
      </c>
      <c r="T55" s="7">
        <f t="shared" si="15"/>
        <v>155.79508768305055</v>
      </c>
      <c r="U55" s="7">
        <f t="shared" si="23"/>
        <v>38.948771920762638</v>
      </c>
      <c r="V55" s="7">
        <f t="shared" si="9"/>
        <v>203332978.60288075</v>
      </c>
      <c r="W55" s="7">
        <f t="shared" si="24"/>
        <v>54899904.222777806</v>
      </c>
      <c r="X55" s="11">
        <f t="shared" si="14"/>
        <v>148433113.32887486</v>
      </c>
      <c r="Y55" s="7">
        <f t="shared" si="22"/>
        <v>30652188.172518801</v>
      </c>
    </row>
    <row r="56" spans="2:25">
      <c r="E56">
        <v>53</v>
      </c>
      <c r="F56" s="2">
        <f t="shared" si="27"/>
        <v>142612800</v>
      </c>
      <c r="G56" s="2">
        <f t="shared" si="28"/>
        <v>19600000</v>
      </c>
      <c r="H56" s="2">
        <f t="shared" si="0"/>
        <v>123012800</v>
      </c>
      <c r="I56" s="2">
        <f t="shared" si="26"/>
        <v>1271204.7910728133</v>
      </c>
      <c r="J56" s="2">
        <f t="shared" si="6"/>
        <v>381361.43732184399</v>
      </c>
      <c r="K56" s="2">
        <f t="shared" si="7"/>
        <v>122631438.56267816</v>
      </c>
      <c r="L56" s="2">
        <f t="shared" si="25"/>
        <v>33110488.411923107</v>
      </c>
      <c r="M56" s="2">
        <f t="shared" si="12"/>
        <v>89902311.58807689</v>
      </c>
      <c r="N56" s="2">
        <f t="shared" si="21"/>
        <v>18010556.619341731</v>
      </c>
      <c r="P56">
        <v>53</v>
      </c>
      <c r="Q56" s="3">
        <f t="shared" si="18"/>
        <v>335332800</v>
      </c>
      <c r="R56" s="6">
        <f>$C$13+$C$6*$A$18*$C$10+50*'Carbon Tax'!$B$6</f>
        <v>131999782.44834734</v>
      </c>
      <c r="S56" s="3">
        <f t="shared" si="3"/>
        <v>203333017.55165267</v>
      </c>
      <c r="T56" s="7">
        <f t="shared" si="15"/>
        <v>116.84631576228792</v>
      </c>
      <c r="U56" s="7">
        <f t="shared" si="23"/>
        <v>29.211578940571979</v>
      </c>
      <c r="V56" s="7">
        <f t="shared" si="9"/>
        <v>203332988.34007373</v>
      </c>
      <c r="W56" s="7">
        <f t="shared" si="24"/>
        <v>54899906.85181991</v>
      </c>
      <c r="X56" s="11">
        <f t="shared" si="14"/>
        <v>148433110.69983277</v>
      </c>
      <c r="Y56" s="7">
        <f t="shared" si="22"/>
        <v>29736309.303073652</v>
      </c>
    </row>
    <row r="57" spans="2:25">
      <c r="E57">
        <v>54</v>
      </c>
      <c r="F57" s="2">
        <f t="shared" si="27"/>
        <v>142612800</v>
      </c>
      <c r="G57" s="2">
        <f t="shared" si="28"/>
        <v>19600000</v>
      </c>
      <c r="H57" s="2">
        <f t="shared" si="0"/>
        <v>123012800</v>
      </c>
      <c r="I57" s="2">
        <f t="shared" si="26"/>
        <v>889843.35375096928</v>
      </c>
      <c r="J57" s="2">
        <f t="shared" si="6"/>
        <v>266953.00612529076</v>
      </c>
      <c r="K57" s="2">
        <f t="shared" si="7"/>
        <v>122745846.99387471</v>
      </c>
      <c r="L57" s="2">
        <f t="shared" si="25"/>
        <v>33141378.688346174</v>
      </c>
      <c r="M57" s="2">
        <f t="shared" si="12"/>
        <v>89871421.311653823</v>
      </c>
      <c r="N57" s="2">
        <f t="shared" si="21"/>
        <v>17466403.01097</v>
      </c>
      <c r="P57">
        <v>54</v>
      </c>
      <c r="Q57" s="3">
        <f t="shared" si="18"/>
        <v>335332800</v>
      </c>
      <c r="R57" s="6">
        <f>$C$13+$C$6*$A$18*$C$10+50*'Carbon Tax'!$B$6</f>
        <v>131999782.44834734</v>
      </c>
      <c r="S57" s="3">
        <f t="shared" si="3"/>
        <v>203333017.55165267</v>
      </c>
      <c r="T57" s="7">
        <f t="shared" si="15"/>
        <v>87.634736821715933</v>
      </c>
      <c r="U57" s="7">
        <f t="shared" si="23"/>
        <v>21.908684205428983</v>
      </c>
      <c r="V57" s="7">
        <f t="shared" si="9"/>
        <v>203332995.64296848</v>
      </c>
      <c r="W57" s="7">
        <f t="shared" si="24"/>
        <v>54899908.823601492</v>
      </c>
      <c r="X57" s="11">
        <f t="shared" si="14"/>
        <v>148433108.72805119</v>
      </c>
      <c r="Y57" s="7">
        <f t="shared" si="22"/>
        <v>28847796.767614756</v>
      </c>
    </row>
    <row r="58" spans="2:25">
      <c r="E58">
        <v>55</v>
      </c>
      <c r="F58" s="2">
        <f t="shared" si="27"/>
        <v>142612800</v>
      </c>
      <c r="G58" s="2">
        <f t="shared" si="28"/>
        <v>19600000</v>
      </c>
      <c r="H58" s="2">
        <f t="shared" si="0"/>
        <v>123012800</v>
      </c>
      <c r="I58" s="2">
        <f t="shared" si="26"/>
        <v>622890.34762567852</v>
      </c>
      <c r="J58" s="2">
        <f t="shared" si="6"/>
        <v>186867.10428770355</v>
      </c>
      <c r="K58" s="2">
        <f t="shared" si="7"/>
        <v>122825932.8957123</v>
      </c>
      <c r="L58" s="2">
        <f t="shared" si="25"/>
        <v>33163001.881842323</v>
      </c>
      <c r="M58" s="2">
        <f t="shared" si="12"/>
        <v>89849798.118157685</v>
      </c>
      <c r="N58" s="2">
        <f t="shared" si="21"/>
        <v>16940435.166115489</v>
      </c>
      <c r="P58">
        <v>55</v>
      </c>
      <c r="Q58" s="3">
        <f t="shared" si="18"/>
        <v>335332800</v>
      </c>
      <c r="R58" s="6">
        <f>$C$13+$C$6*$A$18*$C$10+50*'Carbon Tax'!$B$6+$C$12</f>
        <v>498799782.44834733</v>
      </c>
      <c r="S58" s="3">
        <f t="shared" si="3"/>
        <v>-163466982.44834733</v>
      </c>
      <c r="T58" s="7">
        <f t="shared" si="15"/>
        <v>65.72605261628695</v>
      </c>
      <c r="U58" s="15">
        <v>0</v>
      </c>
      <c r="V58" s="15">
        <f>S58-U58+$C$12+$C$14</f>
        <v>203333017.55165267</v>
      </c>
      <c r="W58" s="7">
        <f t="shared" si="24"/>
        <v>54899914.738946222</v>
      </c>
      <c r="X58" s="16">
        <f>IF(W58&lt;0,S58,S58-W58+$C$14)</f>
        <v>-218366897.18729356</v>
      </c>
      <c r="Y58" s="7">
        <f t="shared" si="22"/>
        <v>-41171269.626699127</v>
      </c>
    </row>
    <row r="59" spans="2:25">
      <c r="E59">
        <v>56</v>
      </c>
      <c r="F59" s="2">
        <f t="shared" si="27"/>
        <v>142612800</v>
      </c>
      <c r="G59" s="2">
        <f t="shared" si="28"/>
        <v>19600000</v>
      </c>
      <c r="H59" s="2">
        <f t="shared" si="0"/>
        <v>123012800</v>
      </c>
      <c r="I59" s="2">
        <f t="shared" si="26"/>
        <v>436023.243337975</v>
      </c>
      <c r="J59" s="2">
        <f t="shared" si="6"/>
        <v>130806.9730013925</v>
      </c>
      <c r="K59" s="2">
        <f t="shared" si="7"/>
        <v>122881993.02699861</v>
      </c>
      <c r="L59" s="2">
        <f t="shared" si="25"/>
        <v>33178138.117289625</v>
      </c>
      <c r="M59" s="2">
        <f t="shared" si="12"/>
        <v>89834661.882710367</v>
      </c>
      <c r="N59" s="2">
        <f t="shared" si="21"/>
        <v>16431491.418609437</v>
      </c>
      <c r="P59">
        <v>56</v>
      </c>
      <c r="Q59" s="7">
        <v>0</v>
      </c>
      <c r="R59" s="7">
        <v>0</v>
      </c>
      <c r="S59" s="3">
        <f t="shared" si="3"/>
        <v>0</v>
      </c>
      <c r="T59" s="3">
        <f>$C$12</f>
        <v>366800000</v>
      </c>
      <c r="U59" s="7">
        <f t="shared" ref="U59:U90" si="29">T59*$B$29</f>
        <v>91700000</v>
      </c>
      <c r="V59" s="7">
        <f t="shared" si="9"/>
        <v>-91700000</v>
      </c>
      <c r="W59" s="7">
        <f t="shared" si="24"/>
        <v>-24759000</v>
      </c>
      <c r="X59" s="11">
        <f t="shared" si="14"/>
        <v>0</v>
      </c>
      <c r="Y59" s="7">
        <f t="shared" si="22"/>
        <v>0</v>
      </c>
    </row>
    <row r="60" spans="2:25">
      <c r="B60" s="14"/>
      <c r="C60" s="14"/>
      <c r="E60">
        <v>57</v>
      </c>
      <c r="F60" s="2">
        <f t="shared" si="27"/>
        <v>142612800</v>
      </c>
      <c r="G60" s="2">
        <f t="shared" si="28"/>
        <v>19600000</v>
      </c>
      <c r="H60" s="2">
        <f t="shared" si="0"/>
        <v>123012800</v>
      </c>
      <c r="I60" s="2">
        <f t="shared" si="26"/>
        <v>305216.2703365825</v>
      </c>
      <c r="J60" s="2">
        <f t="shared" si="6"/>
        <v>91564.881100974744</v>
      </c>
      <c r="K60" s="2">
        <f t="shared" si="7"/>
        <v>122921235.11889903</v>
      </c>
      <c r="L60" s="2">
        <f t="shared" si="25"/>
        <v>33188733.482102741</v>
      </c>
      <c r="M60" s="2">
        <f t="shared" si="12"/>
        <v>89824066.517897263</v>
      </c>
      <c r="N60" s="2">
        <f t="shared" si="21"/>
        <v>15938643.228637138</v>
      </c>
      <c r="P60">
        <v>57</v>
      </c>
      <c r="Q60" s="7">
        <v>0</v>
      </c>
      <c r="R60" s="7">
        <v>0</v>
      </c>
      <c r="S60" s="3">
        <f t="shared" si="3"/>
        <v>0</v>
      </c>
      <c r="T60" s="7">
        <f>T59-U59</f>
        <v>275100000</v>
      </c>
      <c r="U60" s="7">
        <f t="shared" si="29"/>
        <v>68775000</v>
      </c>
      <c r="V60" s="7">
        <f t="shared" si="9"/>
        <v>-68775000</v>
      </c>
      <c r="W60" s="7">
        <f t="shared" si="24"/>
        <v>-43328250</v>
      </c>
      <c r="X60" s="11">
        <f t="shared" si="14"/>
        <v>0</v>
      </c>
      <c r="Y60" s="7">
        <f t="shared" si="22"/>
        <v>0</v>
      </c>
    </row>
    <row r="61" spans="2:25">
      <c r="E61">
        <v>58</v>
      </c>
      <c r="F61" s="2">
        <f t="shared" si="27"/>
        <v>142612800</v>
      </c>
      <c r="G61" s="2">
        <f t="shared" si="28"/>
        <v>19600000</v>
      </c>
      <c r="H61" s="2">
        <f t="shared" si="0"/>
        <v>123012800</v>
      </c>
      <c r="I61" s="2">
        <f t="shared" si="26"/>
        <v>213651.38923560776</v>
      </c>
      <c r="J61" s="2">
        <f t="shared" si="6"/>
        <v>64095.416770682321</v>
      </c>
      <c r="K61" s="2">
        <f t="shared" si="7"/>
        <v>122948704.58322932</v>
      </c>
      <c r="L61" s="2">
        <f t="shared" si="25"/>
        <v>33196150.23747192</v>
      </c>
      <c r="M61" s="2">
        <f t="shared" si="12"/>
        <v>89816649.762528077</v>
      </c>
      <c r="N61" s="2">
        <f t="shared" si="21"/>
        <v>15461124.54212728</v>
      </c>
      <c r="P61">
        <v>58</v>
      </c>
      <c r="Q61" s="7">
        <v>0</v>
      </c>
      <c r="R61" s="7">
        <v>0</v>
      </c>
      <c r="S61" s="3">
        <f t="shared" si="3"/>
        <v>0</v>
      </c>
      <c r="T61" s="7">
        <f t="shared" ref="T61:T113" si="30">T60-U60</f>
        <v>206325000</v>
      </c>
      <c r="U61" s="7">
        <f t="shared" si="29"/>
        <v>51581250</v>
      </c>
      <c r="V61" s="7">
        <f t="shared" si="9"/>
        <v>-51581250</v>
      </c>
      <c r="W61" s="7">
        <f t="shared" si="24"/>
        <v>-57255187.5</v>
      </c>
      <c r="X61" s="11">
        <f t="shared" si="14"/>
        <v>0</v>
      </c>
      <c r="Y61" s="7">
        <f t="shared" si="22"/>
        <v>0</v>
      </c>
    </row>
    <row r="62" spans="2:25">
      <c r="E62">
        <v>59</v>
      </c>
      <c r="F62" s="2">
        <f t="shared" si="27"/>
        <v>142612800</v>
      </c>
      <c r="G62" s="2">
        <f t="shared" si="28"/>
        <v>19600000</v>
      </c>
      <c r="H62" s="2">
        <f t="shared" si="0"/>
        <v>123012800</v>
      </c>
      <c r="I62" s="2">
        <f t="shared" si="26"/>
        <v>149555.97246492543</v>
      </c>
      <c r="J62" s="2">
        <f t="shared" si="6"/>
        <v>44866.79173947763</v>
      </c>
      <c r="K62" s="2">
        <f t="shared" si="7"/>
        <v>122967933.20826052</v>
      </c>
      <c r="L62" s="2">
        <f t="shared" si="25"/>
        <v>33201341.966230344</v>
      </c>
      <c r="M62" s="2">
        <f t="shared" si="12"/>
        <v>89811458.033769652</v>
      </c>
      <c r="N62" s="2">
        <f t="shared" si="21"/>
        <v>14998283.695131516</v>
      </c>
      <c r="P62">
        <v>59</v>
      </c>
      <c r="Q62" s="7">
        <v>0</v>
      </c>
      <c r="R62" s="7">
        <v>0</v>
      </c>
      <c r="S62" s="3">
        <f t="shared" si="3"/>
        <v>0</v>
      </c>
      <c r="T62" s="7">
        <f t="shared" si="30"/>
        <v>154743750</v>
      </c>
      <c r="U62" s="7">
        <f t="shared" si="29"/>
        <v>38685937.5</v>
      </c>
      <c r="V62" s="7">
        <f t="shared" si="9"/>
        <v>-38685937.5</v>
      </c>
      <c r="W62" s="7">
        <f t="shared" si="24"/>
        <v>-67700390.625</v>
      </c>
      <c r="X62" s="11">
        <f t="shared" si="14"/>
        <v>0</v>
      </c>
      <c r="Y62" s="7">
        <f t="shared" si="22"/>
        <v>0</v>
      </c>
    </row>
    <row r="63" spans="2:25">
      <c r="E63">
        <v>60</v>
      </c>
      <c r="F63" s="2">
        <f t="shared" si="27"/>
        <v>142612800</v>
      </c>
      <c r="G63" s="2">
        <f t="shared" si="28"/>
        <v>19600000</v>
      </c>
      <c r="H63" s="2">
        <f t="shared" si="0"/>
        <v>123012800</v>
      </c>
      <c r="I63" s="2">
        <f t="shared" si="26"/>
        <v>104689.1807254478</v>
      </c>
      <c r="J63" s="2">
        <f t="shared" si="6"/>
        <v>31406.754217634341</v>
      </c>
      <c r="K63" s="2">
        <f t="shared" si="7"/>
        <v>122981393.24578236</v>
      </c>
      <c r="L63" s="2">
        <f t="shared" si="25"/>
        <v>33204976.17636124</v>
      </c>
      <c r="M63" s="2">
        <f t="shared" si="12"/>
        <v>89807823.823638767</v>
      </c>
      <c r="N63" s="2">
        <f t="shared" si="21"/>
        <v>14549550.631876547</v>
      </c>
      <c r="P63">
        <v>60</v>
      </c>
      <c r="Q63" s="7">
        <v>0</v>
      </c>
      <c r="R63" s="7">
        <v>0</v>
      </c>
      <c r="S63" s="3">
        <f t="shared" si="3"/>
        <v>0</v>
      </c>
      <c r="T63" s="7">
        <f t="shared" si="30"/>
        <v>116057812.5</v>
      </c>
      <c r="U63" s="7">
        <f t="shared" si="29"/>
        <v>29014453.125</v>
      </c>
      <c r="V63" s="7">
        <f t="shared" si="9"/>
        <v>-29014453.125</v>
      </c>
      <c r="W63" s="7">
        <f t="shared" si="24"/>
        <v>-75534292.96875</v>
      </c>
      <c r="X63" s="11">
        <f t="shared" si="14"/>
        <v>0</v>
      </c>
      <c r="Y63" s="7">
        <f t="shared" si="22"/>
        <v>0</v>
      </c>
    </row>
    <row r="64" spans="2:25">
      <c r="E64">
        <v>61</v>
      </c>
      <c r="F64" s="2">
        <f t="shared" si="27"/>
        <v>142612800</v>
      </c>
      <c r="G64" s="2">
        <f t="shared" si="28"/>
        <v>19600000</v>
      </c>
      <c r="H64" s="2">
        <f t="shared" si="0"/>
        <v>123012800</v>
      </c>
      <c r="I64" s="2">
        <f t="shared" si="26"/>
        <v>73282.426507813463</v>
      </c>
      <c r="J64" s="2">
        <f t="shared" si="6"/>
        <v>21984.727952344037</v>
      </c>
      <c r="K64" s="2">
        <f t="shared" si="7"/>
        <v>122990815.27204765</v>
      </c>
      <c r="L64" s="2">
        <f t="shared" si="25"/>
        <v>33207520.123452868</v>
      </c>
      <c r="M64" s="2">
        <f t="shared" si="12"/>
        <v>89805279.876547128</v>
      </c>
      <c r="N64" s="2">
        <f t="shared" si="21"/>
        <v>14114414.525704088</v>
      </c>
      <c r="P64">
        <v>61</v>
      </c>
      <c r="Q64" s="3">
        <f t="shared" ref="Q64:Q113" si="31">$C$11</f>
        <v>335332800</v>
      </c>
      <c r="R64" s="6">
        <f>$C$13+$C$6*$A$18*$C$10+50*'Carbon Tax'!$B$6</f>
        <v>131999782.44834734</v>
      </c>
      <c r="S64" s="3">
        <f t="shared" si="3"/>
        <v>203333017.55165267</v>
      </c>
      <c r="T64" s="7">
        <f t="shared" si="30"/>
        <v>87043359.375</v>
      </c>
      <c r="U64" s="7">
        <f t="shared" si="29"/>
        <v>21760839.84375</v>
      </c>
      <c r="V64" s="7">
        <f t="shared" si="9"/>
        <v>181572177.70790267</v>
      </c>
      <c r="W64" s="7">
        <f t="shared" si="24"/>
        <v>-26509804.987616278</v>
      </c>
      <c r="X64" s="11">
        <f t="shared" si="14"/>
        <v>203333017.55165267</v>
      </c>
      <c r="Y64" s="7">
        <f t="shared" si="22"/>
        <v>31957213.433681186</v>
      </c>
    </row>
    <row r="65" spans="2:25">
      <c r="E65">
        <v>62</v>
      </c>
      <c r="F65" s="2">
        <f t="shared" si="27"/>
        <v>142612800</v>
      </c>
      <c r="G65" s="2">
        <f t="shared" si="28"/>
        <v>19600000</v>
      </c>
      <c r="H65" s="2">
        <f t="shared" si="0"/>
        <v>123012800</v>
      </c>
      <c r="I65" s="2">
        <f t="shared" si="26"/>
        <v>51297.698555469426</v>
      </c>
      <c r="J65" s="2">
        <f t="shared" si="6"/>
        <v>15389.309566640826</v>
      </c>
      <c r="K65" s="2">
        <f t="shared" si="7"/>
        <v>122997410.69043335</v>
      </c>
      <c r="L65" s="2">
        <f t="shared" si="25"/>
        <v>33209300.886417009</v>
      </c>
      <c r="M65" s="2">
        <f t="shared" si="12"/>
        <v>89803499.113582999</v>
      </c>
      <c r="N65" s="2">
        <f t="shared" si="21"/>
        <v>13692408.467954215</v>
      </c>
      <c r="P65">
        <v>62</v>
      </c>
      <c r="Q65" s="3">
        <f t="shared" si="31"/>
        <v>335332800</v>
      </c>
      <c r="R65" s="6">
        <f>$C$13+$C$6*$A$18*$C$10+50*'Carbon Tax'!$B$6</f>
        <v>131999782.44834734</v>
      </c>
      <c r="S65" s="3">
        <f t="shared" si="3"/>
        <v>203333017.55165267</v>
      </c>
      <c r="T65" s="7">
        <f t="shared" si="30"/>
        <v>65282519.53125</v>
      </c>
      <c r="U65" s="7">
        <f t="shared" si="29"/>
        <v>16320629.8828125</v>
      </c>
      <c r="V65" s="7">
        <f t="shared" si="9"/>
        <v>187012387.66884017</v>
      </c>
      <c r="W65" s="7">
        <f t="shared" si="24"/>
        <v>23983539.682970569</v>
      </c>
      <c r="X65" s="11">
        <f t="shared" si="14"/>
        <v>179349477.86868209</v>
      </c>
      <c r="Y65" s="7">
        <f t="shared" si="22"/>
        <v>27345552.609106243</v>
      </c>
    </row>
    <row r="66" spans="2:25">
      <c r="B66" s="14"/>
      <c r="C66" s="14"/>
      <c r="E66">
        <v>63</v>
      </c>
      <c r="F66" s="2">
        <f t="shared" si="27"/>
        <v>142612800</v>
      </c>
      <c r="G66" s="2">
        <f t="shared" si="28"/>
        <v>19600000</v>
      </c>
      <c r="H66" s="2">
        <f t="shared" si="0"/>
        <v>123012800</v>
      </c>
      <c r="I66" s="2">
        <f t="shared" si="26"/>
        <v>35908.388988828599</v>
      </c>
      <c r="J66" s="2">
        <f t="shared" si="6"/>
        <v>10772.516696648579</v>
      </c>
      <c r="K66" s="2">
        <f t="shared" si="7"/>
        <v>123002027.48330335</v>
      </c>
      <c r="L66" s="2">
        <f t="shared" si="25"/>
        <v>33210547.420491908</v>
      </c>
      <c r="M66" s="2">
        <f t="shared" si="12"/>
        <v>89802252.579508096</v>
      </c>
      <c r="N66" s="2">
        <f t="shared" si="21"/>
        <v>13283098.95997927</v>
      </c>
      <c r="P66">
        <v>63</v>
      </c>
      <c r="Q66" s="3">
        <f t="shared" si="31"/>
        <v>335332800</v>
      </c>
      <c r="R66" s="6">
        <f>$C$13+$C$6*$A$18*$C$10+50*'Carbon Tax'!$B$6</f>
        <v>131999782.44834734</v>
      </c>
      <c r="S66" s="3">
        <f t="shared" si="3"/>
        <v>203333017.55165267</v>
      </c>
      <c r="T66" s="7">
        <f t="shared" si="30"/>
        <v>48961889.6484375</v>
      </c>
      <c r="U66" s="7">
        <f t="shared" si="29"/>
        <v>12240472.412109375</v>
      </c>
      <c r="V66" s="7">
        <f t="shared" si="9"/>
        <v>191092545.13954329</v>
      </c>
      <c r="W66" s="7">
        <f t="shared" si="24"/>
        <v>51594987.187676691</v>
      </c>
      <c r="X66" s="11">
        <f t="shared" si="14"/>
        <v>151738030.36397597</v>
      </c>
      <c r="Y66" s="7">
        <f t="shared" si="22"/>
        <v>22444328.6824295</v>
      </c>
    </row>
    <row r="67" spans="2:25">
      <c r="E67">
        <v>64</v>
      </c>
      <c r="F67" s="2">
        <f t="shared" si="27"/>
        <v>142612800</v>
      </c>
      <c r="G67" s="2">
        <f t="shared" si="28"/>
        <v>19600000</v>
      </c>
      <c r="H67" s="2">
        <f t="shared" ref="H67:H130" si="32">$F67-$G67</f>
        <v>123012800</v>
      </c>
      <c r="I67" s="2">
        <f t="shared" si="26"/>
        <v>25135.872292180022</v>
      </c>
      <c r="J67" s="2">
        <f t="shared" si="6"/>
        <v>7540.761687654006</v>
      </c>
      <c r="K67" s="2">
        <f t="shared" si="7"/>
        <v>123005259.23831235</v>
      </c>
      <c r="L67" s="2">
        <f t="shared" si="25"/>
        <v>33211419.994344335</v>
      </c>
      <c r="M67" s="2">
        <f t="shared" si="12"/>
        <v>89801380.005655661</v>
      </c>
      <c r="N67" s="2">
        <f t="shared" ref="N67:N98" si="33">M67/((1+$B$16)^E67)</f>
        <v>12886078.670188045</v>
      </c>
      <c r="P67">
        <v>64</v>
      </c>
      <c r="Q67" s="3">
        <f t="shared" si="31"/>
        <v>335332800</v>
      </c>
      <c r="R67" s="6">
        <f>$C$13+$C$6*$A$18*$C$10+50*'Carbon Tax'!$B$6</f>
        <v>131999782.44834734</v>
      </c>
      <c r="S67" s="3">
        <f t="shared" ref="S67:S130" si="34">Q67-R67</f>
        <v>203333017.55165267</v>
      </c>
      <c r="T67" s="7">
        <f t="shared" si="30"/>
        <v>36721417.236328125</v>
      </c>
      <c r="U67" s="7">
        <f t="shared" si="29"/>
        <v>9180354.3090820313</v>
      </c>
      <c r="V67" s="7">
        <f t="shared" si="9"/>
        <v>194152663.24257064</v>
      </c>
      <c r="W67" s="7">
        <f t="shared" si="24"/>
        <v>52421219.075494073</v>
      </c>
      <c r="X67" s="11">
        <f t="shared" si="14"/>
        <v>150911798.47615859</v>
      </c>
      <c r="Y67" s="7">
        <f t="shared" ref="Y67:Y98" si="35">X67/((1+$B$16)^P67)</f>
        <v>21655138.343095284</v>
      </c>
    </row>
    <row r="68" spans="2:25">
      <c r="E68">
        <v>65</v>
      </c>
      <c r="F68" s="2">
        <f t="shared" si="27"/>
        <v>142612800</v>
      </c>
      <c r="G68" s="2">
        <f t="shared" si="28"/>
        <v>19600000</v>
      </c>
      <c r="H68" s="2">
        <f t="shared" si="32"/>
        <v>123012800</v>
      </c>
      <c r="I68" s="2">
        <f t="shared" si="26"/>
        <v>17595.110604526017</v>
      </c>
      <c r="J68" s="2">
        <f t="shared" ref="J68" si="36">I68*0.3</f>
        <v>5278.533181357805</v>
      </c>
      <c r="K68" s="2">
        <f t="shared" ref="K68:K131" si="37">H68-J68</f>
        <v>123007521.46681865</v>
      </c>
      <c r="L68" s="2">
        <f t="shared" si="25"/>
        <v>33212030.796041038</v>
      </c>
      <c r="M68" s="2">
        <f t="shared" si="12"/>
        <v>89800769.203958958</v>
      </c>
      <c r="N68" s="2">
        <f t="shared" si="33"/>
        <v>12500961.411522053</v>
      </c>
      <c r="P68">
        <v>65</v>
      </c>
      <c r="Q68" s="3">
        <f t="shared" si="31"/>
        <v>335332800</v>
      </c>
      <c r="R68" s="6">
        <f>$C$13+$C$6*$A$18*$C$10+50*'Carbon Tax'!$B$6</f>
        <v>131999782.44834734</v>
      </c>
      <c r="S68" s="3">
        <f t="shared" si="34"/>
        <v>203333017.55165267</v>
      </c>
      <c r="T68" s="7">
        <f t="shared" si="30"/>
        <v>27541062.927246094</v>
      </c>
      <c r="U68" s="7">
        <f t="shared" si="29"/>
        <v>6885265.7318115234</v>
      </c>
      <c r="V68" s="7">
        <f t="shared" ref="V68:V131" si="38">S68-U68</f>
        <v>196447751.81984115</v>
      </c>
      <c r="W68" s="7">
        <f t="shared" si="24"/>
        <v>53040892.99135711</v>
      </c>
      <c r="X68" s="11">
        <f t="shared" si="14"/>
        <v>150292124.56029555</v>
      </c>
      <c r="Y68" s="7">
        <f t="shared" si="35"/>
        <v>20921825.795464255</v>
      </c>
    </row>
    <row r="69" spans="2:25">
      <c r="E69">
        <v>66</v>
      </c>
      <c r="F69" s="2">
        <f t="shared" si="27"/>
        <v>142612800</v>
      </c>
      <c r="G69" s="2">
        <f>$B$13+$B$12</f>
        <v>1134800000</v>
      </c>
      <c r="H69" s="2">
        <f t="shared" si="32"/>
        <v>-992187200</v>
      </c>
      <c r="I69" s="2">
        <f t="shared" si="26"/>
        <v>12316.577423168212</v>
      </c>
      <c r="J69" s="13">
        <v>0</v>
      </c>
      <c r="K69" s="13">
        <f>H69-J69+$B$12+$B$14</f>
        <v>123012800</v>
      </c>
      <c r="L69" s="2">
        <f t="shared" si="25"/>
        <v>33213456.000000004</v>
      </c>
      <c r="M69" s="13">
        <f>IF(L69&lt;0,H69,H69-L69+$B$14)</f>
        <v>-1025400656</v>
      </c>
      <c r="N69" s="2">
        <f t="shared" si="33"/>
        <v>-138478560.04965195</v>
      </c>
      <c r="P69">
        <v>66</v>
      </c>
      <c r="Q69" s="3">
        <f t="shared" si="31"/>
        <v>335332800</v>
      </c>
      <c r="R69" s="6">
        <f>$C$13+$C$6*$A$18*$C$10+50*'Carbon Tax'!$B$6</f>
        <v>131999782.44834734</v>
      </c>
      <c r="S69" s="3">
        <f t="shared" si="34"/>
        <v>203333017.55165267</v>
      </c>
      <c r="T69" s="7">
        <f t="shared" si="30"/>
        <v>20655797.19543457</v>
      </c>
      <c r="U69" s="7">
        <f t="shared" si="29"/>
        <v>5163949.2988586426</v>
      </c>
      <c r="V69" s="7">
        <f t="shared" si="38"/>
        <v>198169068.25279403</v>
      </c>
      <c r="W69" s="7">
        <f t="shared" ref="W69:W100" si="39">IF(W68&lt;0,V69*$B$15+W68,V69*$B$15)</f>
        <v>53505648.428254388</v>
      </c>
      <c r="X69" s="11">
        <f t="shared" ref="X69:X132" si="40">IF(W69&lt;0,S69,S69-W69)</f>
        <v>149827369.12339827</v>
      </c>
      <c r="Y69" s="7">
        <f t="shared" si="35"/>
        <v>20233923.404312585</v>
      </c>
    </row>
    <row r="70" spans="2:25">
      <c r="E70">
        <v>67</v>
      </c>
      <c r="F70" s="2">
        <v>0</v>
      </c>
      <c r="G70" s="2">
        <v>0</v>
      </c>
      <c r="H70" s="2">
        <f t="shared" si="32"/>
        <v>0</v>
      </c>
      <c r="I70" s="2">
        <v>1115200000</v>
      </c>
      <c r="J70" s="2">
        <f>I70*0.3</f>
        <v>334560000</v>
      </c>
      <c r="K70" s="2">
        <f t="shared" si="37"/>
        <v>-334560000</v>
      </c>
      <c r="L70" s="2">
        <f>K70*$B$15</f>
        <v>-90331200</v>
      </c>
      <c r="M70" s="2">
        <f t="shared" ref="M70:M133" si="41">IF(L70&lt;0,H70,H70-L70)</f>
        <v>0</v>
      </c>
      <c r="N70" s="2">
        <f t="shared" si="33"/>
        <v>0</v>
      </c>
      <c r="P70">
        <v>67</v>
      </c>
      <c r="Q70" s="3">
        <f t="shared" si="31"/>
        <v>335332800</v>
      </c>
      <c r="R70" s="6">
        <f>$C$13+$C$6*$A$18*$C$10+50*'Carbon Tax'!$B$6</f>
        <v>131999782.44834734</v>
      </c>
      <c r="S70" s="3">
        <f t="shared" si="34"/>
        <v>203333017.55165267</v>
      </c>
      <c r="T70" s="7">
        <f t="shared" si="30"/>
        <v>15491847.896575928</v>
      </c>
      <c r="U70" s="7">
        <f t="shared" si="29"/>
        <v>3872961.9741439819</v>
      </c>
      <c r="V70" s="7">
        <f t="shared" si="38"/>
        <v>199460055.57750869</v>
      </c>
      <c r="W70" s="7">
        <f t="shared" si="39"/>
        <v>53854215.005927347</v>
      </c>
      <c r="X70" s="11">
        <f t="shared" si="40"/>
        <v>149478802.54572532</v>
      </c>
      <c r="Y70" s="7">
        <f t="shared" si="35"/>
        <v>19583672.971847463</v>
      </c>
    </row>
    <row r="71" spans="2:25">
      <c r="E71">
        <v>68</v>
      </c>
      <c r="F71" s="2">
        <v>0</v>
      </c>
      <c r="G71" s="2">
        <v>0</v>
      </c>
      <c r="H71" s="2">
        <f t="shared" si="32"/>
        <v>0</v>
      </c>
      <c r="I71" s="2">
        <f>I70-J70</f>
        <v>780640000</v>
      </c>
      <c r="J71" s="2">
        <f>I71*0.3</f>
        <v>234192000</v>
      </c>
      <c r="K71" s="2">
        <f t="shared" si="37"/>
        <v>-234192000</v>
      </c>
      <c r="L71" s="2">
        <f t="shared" ref="L71:L102" si="42">IF(L70&lt;0,K71*$B$15+L70,K71*$B$15)</f>
        <v>-153563040</v>
      </c>
      <c r="M71" s="2">
        <f t="shared" si="41"/>
        <v>0</v>
      </c>
      <c r="N71" s="2">
        <f t="shared" si="33"/>
        <v>0</v>
      </c>
      <c r="P71">
        <v>68</v>
      </c>
      <c r="Q71" s="3">
        <f t="shared" si="31"/>
        <v>335332800</v>
      </c>
      <c r="R71" s="6">
        <f>$C$13+$C$6*$A$18*$C$10+50*'Carbon Tax'!$B$6</f>
        <v>131999782.44834734</v>
      </c>
      <c r="S71" s="3">
        <f t="shared" si="34"/>
        <v>203333017.55165267</v>
      </c>
      <c r="T71" s="7">
        <f t="shared" si="30"/>
        <v>11618885.922431946</v>
      </c>
      <c r="U71" s="7">
        <f t="shared" si="29"/>
        <v>2904721.4806079865</v>
      </c>
      <c r="V71" s="7">
        <f t="shared" si="38"/>
        <v>200428296.07104468</v>
      </c>
      <c r="W71" s="7">
        <f t="shared" si="39"/>
        <v>54115639.939182065</v>
      </c>
      <c r="X71" s="11">
        <f t="shared" si="40"/>
        <v>149217377.6124706</v>
      </c>
      <c r="Y71" s="7">
        <f t="shared" si="35"/>
        <v>18965291.904831011</v>
      </c>
    </row>
    <row r="72" spans="2:25">
      <c r="E72">
        <v>69</v>
      </c>
      <c r="F72" s="2">
        <v>0</v>
      </c>
      <c r="G72" s="2">
        <v>0</v>
      </c>
      <c r="H72" s="2">
        <f t="shared" si="32"/>
        <v>0</v>
      </c>
      <c r="I72" s="2">
        <f t="shared" ref="I72:I102" si="43">I71-J71</f>
        <v>546448000</v>
      </c>
      <c r="J72" s="2">
        <f t="shared" ref="J72:J101" si="44">I72*0.3</f>
        <v>163934400</v>
      </c>
      <c r="K72" s="2">
        <f t="shared" si="37"/>
        <v>-163934400</v>
      </c>
      <c r="L72" s="2">
        <f t="shared" si="42"/>
        <v>-197825328</v>
      </c>
      <c r="M72" s="2">
        <f t="shared" si="41"/>
        <v>0</v>
      </c>
      <c r="N72" s="2">
        <f t="shared" si="33"/>
        <v>0</v>
      </c>
      <c r="P72">
        <v>69</v>
      </c>
      <c r="Q72" s="3">
        <f t="shared" si="31"/>
        <v>335332800</v>
      </c>
      <c r="R72" s="6">
        <f>$C$13+$C$6*$A$18*$C$10+50*'Carbon Tax'!$B$6</f>
        <v>131999782.44834734</v>
      </c>
      <c r="S72" s="3">
        <f t="shared" si="34"/>
        <v>203333017.55165267</v>
      </c>
      <c r="T72" s="7">
        <f t="shared" si="30"/>
        <v>8714164.4418239594</v>
      </c>
      <c r="U72" s="7">
        <f t="shared" si="29"/>
        <v>2178541.1104559898</v>
      </c>
      <c r="V72" s="7">
        <f t="shared" si="38"/>
        <v>201154476.44119668</v>
      </c>
      <c r="W72" s="7">
        <f t="shared" si="39"/>
        <v>54311708.639123105</v>
      </c>
      <c r="X72" s="11">
        <f t="shared" si="40"/>
        <v>149021308.91252956</v>
      </c>
      <c r="Y72" s="7">
        <f t="shared" si="35"/>
        <v>18374439.158134975</v>
      </c>
    </row>
    <row r="73" spans="2:25">
      <c r="E73">
        <v>70</v>
      </c>
      <c r="F73" s="2">
        <f t="shared" ref="F73:F102" si="45">$B$11</f>
        <v>142612800</v>
      </c>
      <c r="G73" s="2">
        <f t="shared" ref="G73:G101" si="46">$B$13</f>
        <v>19600000</v>
      </c>
      <c r="H73" s="2">
        <f t="shared" si="32"/>
        <v>123012800</v>
      </c>
      <c r="I73" s="2">
        <f t="shared" si="43"/>
        <v>382513600</v>
      </c>
      <c r="J73" s="2">
        <f t="shared" si="44"/>
        <v>114754080</v>
      </c>
      <c r="K73" s="2">
        <f t="shared" si="37"/>
        <v>8258720</v>
      </c>
      <c r="L73" s="2">
        <f t="shared" si="42"/>
        <v>-195595473.59999999</v>
      </c>
      <c r="M73" s="2">
        <f t="shared" si="41"/>
        <v>123012800</v>
      </c>
      <c r="N73" s="2">
        <f t="shared" si="33"/>
        <v>14714367.968833141</v>
      </c>
      <c r="P73">
        <v>70</v>
      </c>
      <c r="Q73" s="3">
        <f t="shared" si="31"/>
        <v>335332800</v>
      </c>
      <c r="R73" s="6">
        <f>$C$13+$C$6*$A$18*$C$10+50*'Carbon Tax'!$B$6</f>
        <v>131999782.44834734</v>
      </c>
      <c r="S73" s="3">
        <f t="shared" si="34"/>
        <v>203333017.55165267</v>
      </c>
      <c r="T73" s="7">
        <f t="shared" si="30"/>
        <v>6535623.3313679695</v>
      </c>
      <c r="U73" s="7">
        <f t="shared" si="29"/>
        <v>1633905.8328419924</v>
      </c>
      <c r="V73" s="7">
        <f t="shared" si="38"/>
        <v>201699111.71881068</v>
      </c>
      <c r="W73" s="7">
        <f t="shared" si="39"/>
        <v>54458760.164078884</v>
      </c>
      <c r="X73" s="11">
        <f t="shared" si="40"/>
        <v>148874257.38757378</v>
      </c>
      <c r="Y73" s="7">
        <f t="shared" si="35"/>
        <v>17807826.537462249</v>
      </c>
    </row>
    <row r="74" spans="2:25">
      <c r="E74">
        <v>71</v>
      </c>
      <c r="F74" s="2">
        <f t="shared" si="45"/>
        <v>142612800</v>
      </c>
      <c r="G74" s="2">
        <f t="shared" si="46"/>
        <v>19600000</v>
      </c>
      <c r="H74" s="2">
        <f t="shared" si="32"/>
        <v>123012800</v>
      </c>
      <c r="I74" s="2">
        <f t="shared" si="43"/>
        <v>267759520</v>
      </c>
      <c r="J74" s="2">
        <f t="shared" si="44"/>
        <v>80327856</v>
      </c>
      <c r="K74" s="2">
        <f t="shared" si="37"/>
        <v>42684944</v>
      </c>
      <c r="L74" s="2">
        <f t="shared" si="42"/>
        <v>-184070538.72</v>
      </c>
      <c r="M74" s="2">
        <f t="shared" si="41"/>
        <v>123012800</v>
      </c>
      <c r="N74" s="2">
        <f t="shared" si="33"/>
        <v>14274706.993435336</v>
      </c>
      <c r="P74">
        <v>71</v>
      </c>
      <c r="Q74" s="3">
        <f t="shared" si="31"/>
        <v>335332800</v>
      </c>
      <c r="R74" s="6">
        <f>$C$13+$C$6*$A$18*$C$10+50*'Carbon Tax'!$B$6</f>
        <v>131999782.44834734</v>
      </c>
      <c r="S74" s="3">
        <f t="shared" si="34"/>
        <v>203333017.55165267</v>
      </c>
      <c r="T74" s="7">
        <f t="shared" si="30"/>
        <v>4901717.4985259771</v>
      </c>
      <c r="U74" s="7">
        <f t="shared" si="29"/>
        <v>1225429.3746314943</v>
      </c>
      <c r="V74" s="7">
        <f t="shared" si="38"/>
        <v>202107588.17702118</v>
      </c>
      <c r="W74" s="7">
        <f t="shared" si="39"/>
        <v>54569048.807795718</v>
      </c>
      <c r="X74" s="11">
        <f t="shared" si="40"/>
        <v>148763968.74385697</v>
      </c>
      <c r="Y74" s="7">
        <f t="shared" si="35"/>
        <v>17262935.767652884</v>
      </c>
    </row>
    <row r="75" spans="2:25">
      <c r="E75">
        <v>72</v>
      </c>
      <c r="F75" s="2">
        <f t="shared" si="45"/>
        <v>142612800</v>
      </c>
      <c r="G75" s="2">
        <f t="shared" si="46"/>
        <v>19600000</v>
      </c>
      <c r="H75" s="2">
        <f t="shared" si="32"/>
        <v>123012800</v>
      </c>
      <c r="I75" s="2">
        <f t="shared" si="43"/>
        <v>187431664</v>
      </c>
      <c r="J75" s="2">
        <f t="shared" si="44"/>
        <v>56229499.199999996</v>
      </c>
      <c r="K75" s="2">
        <f t="shared" si="37"/>
        <v>66783300.800000004</v>
      </c>
      <c r="L75" s="2">
        <f t="shared" si="42"/>
        <v>-166039047.50400001</v>
      </c>
      <c r="M75" s="2">
        <f t="shared" si="41"/>
        <v>123012800</v>
      </c>
      <c r="N75" s="2">
        <f t="shared" si="33"/>
        <v>13848182.958319105</v>
      </c>
      <c r="P75">
        <v>72</v>
      </c>
      <c r="Q75" s="3">
        <f t="shared" si="31"/>
        <v>335332800</v>
      </c>
      <c r="R75" s="6">
        <f>$C$13+$C$6*$A$18*$C$10+50*'Carbon Tax'!$B$6</f>
        <v>131999782.44834734</v>
      </c>
      <c r="S75" s="3">
        <f t="shared" si="34"/>
        <v>203333017.55165267</v>
      </c>
      <c r="T75" s="7">
        <f t="shared" si="30"/>
        <v>3676288.1238944829</v>
      </c>
      <c r="U75" s="7">
        <f t="shared" si="29"/>
        <v>919072.03097362071</v>
      </c>
      <c r="V75" s="7">
        <f t="shared" si="38"/>
        <v>202413945.52067906</v>
      </c>
      <c r="W75" s="7">
        <f t="shared" si="39"/>
        <v>54651765.29058335</v>
      </c>
      <c r="X75" s="11">
        <f t="shared" si="40"/>
        <v>148681252.26106933</v>
      </c>
      <c r="Y75" s="7">
        <f t="shared" si="35"/>
        <v>16737812.518561354</v>
      </c>
    </row>
    <row r="76" spans="2:25">
      <c r="E76">
        <v>73</v>
      </c>
      <c r="F76" s="2">
        <f t="shared" si="45"/>
        <v>142612800</v>
      </c>
      <c r="G76" s="2">
        <f t="shared" si="46"/>
        <v>19600000</v>
      </c>
      <c r="H76" s="2">
        <f t="shared" si="32"/>
        <v>123012800</v>
      </c>
      <c r="I76" s="2">
        <f t="shared" si="43"/>
        <v>131202164.80000001</v>
      </c>
      <c r="J76" s="2">
        <f t="shared" si="44"/>
        <v>39360649.440000005</v>
      </c>
      <c r="K76" s="2">
        <f t="shared" si="37"/>
        <v>83652150.560000002</v>
      </c>
      <c r="L76" s="2">
        <f t="shared" si="42"/>
        <v>-143452966.85280001</v>
      </c>
      <c r="M76" s="2">
        <f t="shared" si="41"/>
        <v>123012800</v>
      </c>
      <c r="N76" s="2">
        <f t="shared" si="33"/>
        <v>13434403.335583145</v>
      </c>
      <c r="P76">
        <v>73</v>
      </c>
      <c r="Q76" s="3">
        <f t="shared" si="31"/>
        <v>335332800</v>
      </c>
      <c r="R76" s="6">
        <f>$C$13+$C$6*$A$18*$C$10+50*'Carbon Tax'!$B$6</f>
        <v>131999782.44834734</v>
      </c>
      <c r="S76" s="3">
        <f t="shared" si="34"/>
        <v>203333017.55165267</v>
      </c>
      <c r="T76" s="7">
        <f t="shared" si="30"/>
        <v>2757216.0929208621</v>
      </c>
      <c r="U76" s="7">
        <f t="shared" si="29"/>
        <v>689304.02323021553</v>
      </c>
      <c r="V76" s="7">
        <f t="shared" si="38"/>
        <v>202643713.52842245</v>
      </c>
      <c r="W76" s="7">
        <f t="shared" si="39"/>
        <v>54713802.652674064</v>
      </c>
      <c r="X76" s="11">
        <f t="shared" si="40"/>
        <v>148619214.89897859</v>
      </c>
      <c r="Y76" s="7">
        <f t="shared" si="35"/>
        <v>16230916.427969985</v>
      </c>
    </row>
    <row r="77" spans="2:25">
      <c r="E77">
        <v>74</v>
      </c>
      <c r="F77" s="2">
        <f t="shared" si="45"/>
        <v>142612800</v>
      </c>
      <c r="G77" s="2">
        <f t="shared" si="46"/>
        <v>19600000</v>
      </c>
      <c r="H77" s="2">
        <f t="shared" si="32"/>
        <v>123012800</v>
      </c>
      <c r="I77" s="2">
        <f t="shared" si="43"/>
        <v>91841515.360000014</v>
      </c>
      <c r="J77" s="2">
        <f t="shared" si="44"/>
        <v>27552454.608000003</v>
      </c>
      <c r="K77" s="2">
        <f t="shared" si="37"/>
        <v>95460345.39199999</v>
      </c>
      <c r="L77" s="2">
        <f t="shared" si="42"/>
        <v>-117678673.59696001</v>
      </c>
      <c r="M77" s="2">
        <f t="shared" si="41"/>
        <v>123012800</v>
      </c>
      <c r="N77" s="2">
        <f t="shared" si="33"/>
        <v>13032987.32594407</v>
      </c>
      <c r="P77">
        <v>74</v>
      </c>
      <c r="Q77" s="3">
        <f t="shared" si="31"/>
        <v>335332800</v>
      </c>
      <c r="R77" s="6">
        <f>$C$13+$C$6*$A$18*$C$10+50*'Carbon Tax'!$B$6</f>
        <v>131999782.44834734</v>
      </c>
      <c r="S77" s="3">
        <f t="shared" si="34"/>
        <v>203333017.55165267</v>
      </c>
      <c r="T77" s="7">
        <f t="shared" si="30"/>
        <v>2067912.0696906466</v>
      </c>
      <c r="U77" s="7">
        <f t="shared" si="29"/>
        <v>516978.01742266165</v>
      </c>
      <c r="V77" s="7">
        <f t="shared" si="38"/>
        <v>202816039.53422999</v>
      </c>
      <c r="W77" s="7">
        <f t="shared" si="39"/>
        <v>54760330.674242102</v>
      </c>
      <c r="X77" s="11">
        <f t="shared" si="40"/>
        <v>148572686.87741056</v>
      </c>
      <c r="Y77" s="7">
        <f t="shared" si="35"/>
        <v>15741011.870754495</v>
      </c>
    </row>
    <row r="78" spans="2:25">
      <c r="E78">
        <v>75</v>
      </c>
      <c r="F78" s="2">
        <f t="shared" si="45"/>
        <v>142612800</v>
      </c>
      <c r="G78" s="2">
        <f t="shared" si="46"/>
        <v>19600000</v>
      </c>
      <c r="H78" s="2">
        <f t="shared" si="32"/>
        <v>123012800</v>
      </c>
      <c r="I78" s="2">
        <f t="shared" si="43"/>
        <v>64289060.752000012</v>
      </c>
      <c r="J78" s="2">
        <f t="shared" si="44"/>
        <v>19286718.225600004</v>
      </c>
      <c r="K78" s="2">
        <f t="shared" si="37"/>
        <v>103726081.7744</v>
      </c>
      <c r="L78" s="2">
        <f t="shared" si="42"/>
        <v>-89672631.517872006</v>
      </c>
      <c r="M78" s="2">
        <f t="shared" si="41"/>
        <v>123012800</v>
      </c>
      <c r="N78" s="2">
        <f t="shared" si="33"/>
        <v>12643565.508288777</v>
      </c>
      <c r="P78">
        <v>75</v>
      </c>
      <c r="Q78" s="3">
        <f t="shared" si="31"/>
        <v>335332800</v>
      </c>
      <c r="R78" s="6">
        <f>$C$13+$C$6*$A$18*$C$10+50*'Carbon Tax'!$B$6</f>
        <v>131999782.44834734</v>
      </c>
      <c r="S78" s="3">
        <f t="shared" si="34"/>
        <v>203333017.55165267</v>
      </c>
      <c r="T78" s="7">
        <f t="shared" si="30"/>
        <v>1550934.052267985</v>
      </c>
      <c r="U78" s="7">
        <f t="shared" si="29"/>
        <v>387733.51306699624</v>
      </c>
      <c r="V78" s="7">
        <f t="shared" si="38"/>
        <v>202945284.03858566</v>
      </c>
      <c r="W78" s="7">
        <f t="shared" si="39"/>
        <v>54795226.690418132</v>
      </c>
      <c r="X78" s="11">
        <f t="shared" si="40"/>
        <v>148537790.86123455</v>
      </c>
      <c r="Y78" s="7">
        <f t="shared" si="35"/>
        <v>15267088.377880326</v>
      </c>
    </row>
    <row r="79" spans="2:25">
      <c r="E79">
        <v>76</v>
      </c>
      <c r="F79" s="2">
        <f t="shared" si="45"/>
        <v>142612800</v>
      </c>
      <c r="G79" s="2">
        <f t="shared" si="46"/>
        <v>19600000</v>
      </c>
      <c r="H79" s="2">
        <f t="shared" si="32"/>
        <v>123012800</v>
      </c>
      <c r="I79" s="2">
        <f t="shared" si="43"/>
        <v>45002342.526400007</v>
      </c>
      <c r="J79" s="2">
        <f t="shared" si="44"/>
        <v>13500702.757920003</v>
      </c>
      <c r="K79" s="2">
        <f t="shared" si="37"/>
        <v>109512097.24208</v>
      </c>
      <c r="L79" s="2">
        <f t="shared" si="42"/>
        <v>-60104365.262510404</v>
      </c>
      <c r="M79" s="2">
        <f t="shared" si="41"/>
        <v>123012800</v>
      </c>
      <c r="N79" s="2">
        <f t="shared" si="33"/>
        <v>12265779.499698075</v>
      </c>
      <c r="P79">
        <v>76</v>
      </c>
      <c r="Q79" s="3">
        <f t="shared" si="31"/>
        <v>335332800</v>
      </c>
      <c r="R79" s="6">
        <f>$C$13+$C$6*$A$18*$C$10+50*'Carbon Tax'!$B$6</f>
        <v>131999782.44834734</v>
      </c>
      <c r="S79" s="3">
        <f t="shared" si="34"/>
        <v>203333017.55165267</v>
      </c>
      <c r="T79" s="7">
        <f t="shared" si="30"/>
        <v>1163200.5392009886</v>
      </c>
      <c r="U79" s="7">
        <f t="shared" si="29"/>
        <v>290800.13480024715</v>
      </c>
      <c r="V79" s="7">
        <f t="shared" si="38"/>
        <v>203042217.41685241</v>
      </c>
      <c r="W79" s="7">
        <f t="shared" si="39"/>
        <v>54821398.702550158</v>
      </c>
      <c r="X79" s="11">
        <f t="shared" si="40"/>
        <v>148511618.8491025</v>
      </c>
      <c r="Y79" s="7">
        <f t="shared" si="35"/>
        <v>14808302.631484654</v>
      </c>
    </row>
    <row r="80" spans="2:25">
      <c r="E80">
        <v>77</v>
      </c>
      <c r="F80" s="2">
        <f t="shared" si="45"/>
        <v>142612800</v>
      </c>
      <c r="G80" s="2">
        <f t="shared" si="46"/>
        <v>19600000</v>
      </c>
      <c r="H80" s="2">
        <f t="shared" si="32"/>
        <v>123012800</v>
      </c>
      <c r="I80" s="2">
        <f t="shared" si="43"/>
        <v>31501639.768480003</v>
      </c>
      <c r="J80" s="2">
        <f t="shared" si="44"/>
        <v>9450491.9305440001</v>
      </c>
      <c r="K80" s="2">
        <f t="shared" si="37"/>
        <v>113562308.069456</v>
      </c>
      <c r="L80" s="2">
        <f t="shared" si="42"/>
        <v>-29442542.083757281</v>
      </c>
      <c r="M80" s="2">
        <f t="shared" si="41"/>
        <v>123012800</v>
      </c>
      <c r="N80" s="2">
        <f t="shared" si="33"/>
        <v>11899281.62562871</v>
      </c>
      <c r="P80">
        <v>77</v>
      </c>
      <c r="Q80" s="3">
        <f t="shared" si="31"/>
        <v>335332800</v>
      </c>
      <c r="R80" s="6">
        <f>$C$13+$C$6*$A$18*$C$10+50*'Carbon Tax'!$B$6</f>
        <v>131999782.44834734</v>
      </c>
      <c r="S80" s="3">
        <f t="shared" si="34"/>
        <v>203333017.55165267</v>
      </c>
      <c r="T80" s="7">
        <f t="shared" si="30"/>
        <v>872400.40440074145</v>
      </c>
      <c r="U80" s="7">
        <f t="shared" si="29"/>
        <v>218100.10110018536</v>
      </c>
      <c r="V80" s="7">
        <f t="shared" si="38"/>
        <v>203114917.45055249</v>
      </c>
      <c r="W80" s="7">
        <f t="shared" si="39"/>
        <v>54841027.711649179</v>
      </c>
      <c r="X80" s="11">
        <f t="shared" si="40"/>
        <v>148491989.84000349</v>
      </c>
      <c r="Y80" s="7">
        <f t="shared" si="35"/>
        <v>14363936.161571793</v>
      </c>
    </row>
    <row r="81" spans="5:25">
      <c r="E81">
        <v>78</v>
      </c>
      <c r="F81" s="2">
        <f t="shared" si="45"/>
        <v>142612800</v>
      </c>
      <c r="G81" s="2">
        <f t="shared" si="46"/>
        <v>19600000</v>
      </c>
      <c r="H81" s="2">
        <f t="shared" si="32"/>
        <v>123012800</v>
      </c>
      <c r="I81" s="2">
        <f t="shared" si="43"/>
        <v>22051147.837936003</v>
      </c>
      <c r="J81" s="2">
        <f t="shared" si="44"/>
        <v>6615344.3513808008</v>
      </c>
      <c r="K81" s="2">
        <f t="shared" si="37"/>
        <v>116397455.6486192</v>
      </c>
      <c r="L81" s="2">
        <f t="shared" si="42"/>
        <v>1984770.9413699061</v>
      </c>
      <c r="M81" s="2">
        <f t="shared" si="41"/>
        <v>121028029.05863009</v>
      </c>
      <c r="N81" s="2">
        <f t="shared" si="33"/>
        <v>11357480.250899838</v>
      </c>
      <c r="P81">
        <v>78</v>
      </c>
      <c r="Q81" s="3">
        <f t="shared" si="31"/>
        <v>335332800</v>
      </c>
      <c r="R81" s="6">
        <f>$C$13+$C$6*$A$18*$C$10+50*'Carbon Tax'!$B$6</f>
        <v>131999782.44834734</v>
      </c>
      <c r="S81" s="3">
        <f t="shared" si="34"/>
        <v>203333017.55165267</v>
      </c>
      <c r="T81" s="7">
        <f t="shared" si="30"/>
        <v>654300.30330055603</v>
      </c>
      <c r="U81" s="7">
        <f t="shared" si="29"/>
        <v>163575.07582513901</v>
      </c>
      <c r="V81" s="7">
        <f t="shared" si="38"/>
        <v>203169442.47582754</v>
      </c>
      <c r="W81" s="7">
        <f t="shared" si="39"/>
        <v>54855749.468473442</v>
      </c>
      <c r="X81" s="11">
        <f t="shared" si="40"/>
        <v>148477268.08317924</v>
      </c>
      <c r="Y81" s="7">
        <f t="shared" si="35"/>
        <v>13933364.470021689</v>
      </c>
    </row>
    <row r="82" spans="5:25">
      <c r="E82">
        <v>79</v>
      </c>
      <c r="F82" s="2">
        <f t="shared" si="45"/>
        <v>142612800</v>
      </c>
      <c r="G82" s="2">
        <f t="shared" si="46"/>
        <v>19600000</v>
      </c>
      <c r="H82" s="2">
        <f t="shared" si="32"/>
        <v>123012800</v>
      </c>
      <c r="I82" s="2">
        <f t="shared" si="43"/>
        <v>15435803.486555202</v>
      </c>
      <c r="J82" s="2">
        <f t="shared" si="44"/>
        <v>4630741.04596656</v>
      </c>
      <c r="K82" s="2">
        <f t="shared" si="37"/>
        <v>118382058.95403343</v>
      </c>
      <c r="L82" s="2">
        <f t="shared" si="42"/>
        <v>31963155.917589031</v>
      </c>
      <c r="M82" s="2">
        <f t="shared" si="41"/>
        <v>91049644.082410961</v>
      </c>
      <c r="N82" s="2">
        <f t="shared" si="33"/>
        <v>8288956.7201965367</v>
      </c>
      <c r="P82">
        <v>79</v>
      </c>
      <c r="Q82" s="3">
        <f t="shared" si="31"/>
        <v>335332800</v>
      </c>
      <c r="R82" s="6">
        <f>$C$13+$C$6*$A$18*$C$10+50*'Carbon Tax'!$B$6</f>
        <v>131999782.44834734</v>
      </c>
      <c r="S82" s="3">
        <f t="shared" si="34"/>
        <v>203333017.55165267</v>
      </c>
      <c r="T82" s="7">
        <f t="shared" si="30"/>
        <v>490725.22747541702</v>
      </c>
      <c r="U82" s="7">
        <f t="shared" si="29"/>
        <v>122681.30686885426</v>
      </c>
      <c r="V82" s="7">
        <f t="shared" si="38"/>
        <v>203210336.24478382</v>
      </c>
      <c r="W82" s="7">
        <f t="shared" si="39"/>
        <v>54866790.786091633</v>
      </c>
      <c r="X82" s="11">
        <f t="shared" si="40"/>
        <v>148466226.76556104</v>
      </c>
      <c r="Y82" s="7">
        <f t="shared" si="35"/>
        <v>13516034.47188383</v>
      </c>
    </row>
    <row r="83" spans="5:25">
      <c r="E83">
        <v>80</v>
      </c>
      <c r="F83" s="2">
        <f t="shared" si="45"/>
        <v>142612800</v>
      </c>
      <c r="G83" s="2">
        <f t="shared" si="46"/>
        <v>19600000</v>
      </c>
      <c r="H83" s="2">
        <f t="shared" si="32"/>
        <v>123012800</v>
      </c>
      <c r="I83" s="2">
        <f t="shared" si="43"/>
        <v>10805062.440588642</v>
      </c>
      <c r="J83" s="2">
        <f t="shared" si="44"/>
        <v>3241518.7321765926</v>
      </c>
      <c r="K83" s="2">
        <f t="shared" si="37"/>
        <v>119771281.26782341</v>
      </c>
      <c r="L83" s="2">
        <f t="shared" si="42"/>
        <v>32338245.942312323</v>
      </c>
      <c r="M83" s="2">
        <f t="shared" si="41"/>
        <v>90674554.05768767</v>
      </c>
      <c r="N83" s="2">
        <f t="shared" si="33"/>
        <v>8008158.0909219496</v>
      </c>
      <c r="P83">
        <v>80</v>
      </c>
      <c r="Q83" s="3">
        <f t="shared" si="31"/>
        <v>335332800</v>
      </c>
      <c r="R83" s="6">
        <f>$C$13+$C$6*$A$18*$C$10+50*'Carbon Tax'!$B$6</f>
        <v>131999782.44834734</v>
      </c>
      <c r="S83" s="3">
        <f t="shared" si="34"/>
        <v>203333017.55165267</v>
      </c>
      <c r="T83" s="7">
        <f t="shared" si="30"/>
        <v>368043.92060656275</v>
      </c>
      <c r="U83" s="7">
        <f t="shared" si="29"/>
        <v>92010.980151640688</v>
      </c>
      <c r="V83" s="7">
        <f t="shared" si="38"/>
        <v>203241006.57150102</v>
      </c>
      <c r="W83" s="7">
        <f t="shared" si="39"/>
        <v>54875071.774305277</v>
      </c>
      <c r="X83" s="11">
        <f t="shared" si="40"/>
        <v>148457945.77734739</v>
      </c>
      <c r="Y83" s="7">
        <f t="shared" si="35"/>
        <v>13111447.991044408</v>
      </c>
    </row>
    <row r="84" spans="5:25">
      <c r="E84">
        <v>81</v>
      </c>
      <c r="F84" s="2">
        <f t="shared" si="45"/>
        <v>142612800</v>
      </c>
      <c r="G84" s="2">
        <f t="shared" si="46"/>
        <v>19600000</v>
      </c>
      <c r="H84" s="2">
        <f t="shared" si="32"/>
        <v>123012800</v>
      </c>
      <c r="I84" s="2">
        <f t="shared" si="43"/>
        <v>7563543.7084120493</v>
      </c>
      <c r="J84" s="2">
        <f t="shared" si="44"/>
        <v>2269063.1125236149</v>
      </c>
      <c r="K84" s="2">
        <f t="shared" si="37"/>
        <v>120743736.88747638</v>
      </c>
      <c r="L84" s="2">
        <f t="shared" si="42"/>
        <v>32600808.959618624</v>
      </c>
      <c r="M84" s="2">
        <f t="shared" si="41"/>
        <v>90411991.040381372</v>
      </c>
      <c r="N84" s="2">
        <f t="shared" si="33"/>
        <v>7746380.6344624516</v>
      </c>
      <c r="P84">
        <v>81</v>
      </c>
      <c r="Q84" s="3">
        <f t="shared" si="31"/>
        <v>335332800</v>
      </c>
      <c r="R84" s="6">
        <f>$C$13+$C$6*$A$18*$C$10+50*'Carbon Tax'!$B$6</f>
        <v>131999782.44834734</v>
      </c>
      <c r="S84" s="3">
        <f t="shared" si="34"/>
        <v>203333017.55165267</v>
      </c>
      <c r="T84" s="7">
        <f t="shared" si="30"/>
        <v>276032.94045492203</v>
      </c>
      <c r="U84" s="7">
        <f t="shared" si="29"/>
        <v>69008.235113730509</v>
      </c>
      <c r="V84" s="7">
        <f t="shared" si="38"/>
        <v>203264009.31653893</v>
      </c>
      <c r="W84" s="7">
        <f t="shared" si="39"/>
        <v>54881282.515465513</v>
      </c>
      <c r="X84" s="11">
        <f t="shared" si="40"/>
        <v>148451735.03618717</v>
      </c>
      <c r="Y84" s="7">
        <f t="shared" si="35"/>
        <v>12719149.663710587</v>
      </c>
    </row>
    <row r="85" spans="5:25">
      <c r="E85">
        <v>82</v>
      </c>
      <c r="F85" s="2">
        <f t="shared" si="45"/>
        <v>142612800</v>
      </c>
      <c r="G85" s="2">
        <f t="shared" si="46"/>
        <v>19600000</v>
      </c>
      <c r="H85" s="2">
        <f t="shared" si="32"/>
        <v>123012800</v>
      </c>
      <c r="I85" s="2">
        <f t="shared" si="43"/>
        <v>5294480.595888434</v>
      </c>
      <c r="J85" s="2">
        <f t="shared" si="44"/>
        <v>1588344.1787665302</v>
      </c>
      <c r="K85" s="2">
        <f t="shared" si="37"/>
        <v>121424455.82123347</v>
      </c>
      <c r="L85" s="2">
        <f t="shared" si="42"/>
        <v>32784603.071733039</v>
      </c>
      <c r="M85" s="2">
        <f t="shared" si="41"/>
        <v>90228196.928266957</v>
      </c>
      <c r="N85" s="2">
        <f t="shared" si="33"/>
        <v>7499644.3503624042</v>
      </c>
      <c r="P85">
        <v>82</v>
      </c>
      <c r="Q85" s="3">
        <f t="shared" si="31"/>
        <v>335332800</v>
      </c>
      <c r="R85" s="6">
        <f>$C$13+$C$6*$A$18*$C$10+50*'Carbon Tax'!$B$6</f>
        <v>131999782.44834734</v>
      </c>
      <c r="S85" s="3">
        <f t="shared" si="34"/>
        <v>203333017.55165267</v>
      </c>
      <c r="T85" s="7">
        <f t="shared" si="30"/>
        <v>207024.70534119153</v>
      </c>
      <c r="U85" s="7">
        <f t="shared" si="29"/>
        <v>51756.176335297881</v>
      </c>
      <c r="V85" s="7">
        <f t="shared" si="38"/>
        <v>203281261.37531736</v>
      </c>
      <c r="W85" s="7">
        <f t="shared" si="39"/>
        <v>54885940.571335696</v>
      </c>
      <c r="X85" s="11">
        <f t="shared" si="40"/>
        <v>148447076.98031697</v>
      </c>
      <c r="Y85" s="7">
        <f t="shared" si="35"/>
        <v>12338718.051612411</v>
      </c>
    </row>
    <row r="86" spans="5:25">
      <c r="E86">
        <v>83</v>
      </c>
      <c r="F86" s="2">
        <f t="shared" si="45"/>
        <v>142612800</v>
      </c>
      <c r="G86" s="2">
        <f t="shared" si="46"/>
        <v>19600000</v>
      </c>
      <c r="H86" s="2">
        <f t="shared" si="32"/>
        <v>123012800</v>
      </c>
      <c r="I86" s="2">
        <f t="shared" si="43"/>
        <v>3706136.417121904</v>
      </c>
      <c r="J86" s="2">
        <f t="shared" si="44"/>
        <v>1111840.9251365711</v>
      </c>
      <c r="K86" s="2">
        <f t="shared" si="37"/>
        <v>121900959.07486343</v>
      </c>
      <c r="L86" s="2">
        <f t="shared" si="42"/>
        <v>32913258.950213131</v>
      </c>
      <c r="M86" s="2">
        <f t="shared" si="41"/>
        <v>90099541.049786866</v>
      </c>
      <c r="N86" s="2">
        <f t="shared" si="33"/>
        <v>7265183.0128711527</v>
      </c>
      <c r="P86">
        <v>83</v>
      </c>
      <c r="Q86" s="3">
        <f t="shared" si="31"/>
        <v>335332800</v>
      </c>
      <c r="R86" s="6">
        <f>$C$13+$C$6*$A$18*$C$10+50*'Carbon Tax'!$B$6</f>
        <v>131999782.44834734</v>
      </c>
      <c r="S86" s="3">
        <f t="shared" si="34"/>
        <v>203333017.55165267</v>
      </c>
      <c r="T86" s="7">
        <f t="shared" si="30"/>
        <v>155268.52900589365</v>
      </c>
      <c r="U86" s="7">
        <f t="shared" si="29"/>
        <v>38817.132251473413</v>
      </c>
      <c r="V86" s="7">
        <f t="shared" si="38"/>
        <v>203294200.4194012</v>
      </c>
      <c r="W86" s="7">
        <f t="shared" si="39"/>
        <v>54889434.113238327</v>
      </c>
      <c r="X86" s="11">
        <f t="shared" si="40"/>
        <v>148443583.43841434</v>
      </c>
      <c r="Y86" s="7">
        <f t="shared" si="35"/>
        <v>11969759.093118494</v>
      </c>
    </row>
    <row r="87" spans="5:25">
      <c r="E87">
        <v>84</v>
      </c>
      <c r="F87" s="2">
        <f t="shared" si="45"/>
        <v>142612800</v>
      </c>
      <c r="G87" s="2">
        <f t="shared" si="46"/>
        <v>19600000</v>
      </c>
      <c r="H87" s="2">
        <f t="shared" si="32"/>
        <v>123012800</v>
      </c>
      <c r="I87" s="2">
        <f t="shared" si="43"/>
        <v>2594295.4919853332</v>
      </c>
      <c r="J87" s="2">
        <f t="shared" si="44"/>
        <v>778288.64759559988</v>
      </c>
      <c r="K87" s="2">
        <f t="shared" si="37"/>
        <v>122234511.3524044</v>
      </c>
      <c r="L87" s="2">
        <f t="shared" si="42"/>
        <v>33003318.065149192</v>
      </c>
      <c r="M87" s="2">
        <f t="shared" si="41"/>
        <v>90009481.934850812</v>
      </c>
      <c r="N87" s="2">
        <f t="shared" si="33"/>
        <v>7041056.5479442067</v>
      </c>
      <c r="P87">
        <v>84</v>
      </c>
      <c r="Q87" s="3">
        <f t="shared" si="31"/>
        <v>335332800</v>
      </c>
      <c r="R87" s="6">
        <f>$C$13+$C$6*$A$18*$C$10+50*'Carbon Tax'!$B$6</f>
        <v>131999782.44834734</v>
      </c>
      <c r="S87" s="3">
        <f t="shared" si="34"/>
        <v>203333017.55165267</v>
      </c>
      <c r="T87" s="7">
        <f t="shared" si="30"/>
        <v>116451.39675442025</v>
      </c>
      <c r="U87" s="7">
        <f t="shared" si="29"/>
        <v>29112.849188605061</v>
      </c>
      <c r="V87" s="7">
        <f t="shared" si="38"/>
        <v>203303904.70246407</v>
      </c>
      <c r="W87" s="7">
        <f t="shared" si="39"/>
        <v>54892054.269665301</v>
      </c>
      <c r="X87" s="11">
        <f t="shared" si="40"/>
        <v>148440963.28198737</v>
      </c>
      <c r="Y87" s="7">
        <f t="shared" si="35"/>
        <v>11611901.257872906</v>
      </c>
    </row>
    <row r="88" spans="5:25">
      <c r="E88">
        <v>85</v>
      </c>
      <c r="F88" s="2">
        <f t="shared" si="45"/>
        <v>142612800</v>
      </c>
      <c r="G88" s="2">
        <f t="shared" si="46"/>
        <v>19600000</v>
      </c>
      <c r="H88" s="2">
        <f t="shared" si="32"/>
        <v>123012800</v>
      </c>
      <c r="I88" s="2">
        <f t="shared" si="43"/>
        <v>1816006.8443897334</v>
      </c>
      <c r="J88" s="2">
        <f t="shared" si="44"/>
        <v>544802.05331691995</v>
      </c>
      <c r="K88" s="2">
        <f t="shared" si="37"/>
        <v>122467997.94668308</v>
      </c>
      <c r="L88" s="2">
        <f t="shared" si="42"/>
        <v>33066359.445604432</v>
      </c>
      <c r="M88" s="2">
        <f t="shared" si="41"/>
        <v>89946440.554395571</v>
      </c>
      <c r="N88" s="2">
        <f t="shared" si="33"/>
        <v>6825887.7479206063</v>
      </c>
      <c r="P88">
        <v>85</v>
      </c>
      <c r="Q88" s="3">
        <f t="shared" si="31"/>
        <v>335332800</v>
      </c>
      <c r="R88" s="6">
        <f>$C$13+$C$6*$A$18*$C$10+50*'Carbon Tax'!$B$6</f>
        <v>131999782.44834734</v>
      </c>
      <c r="S88" s="3">
        <f t="shared" si="34"/>
        <v>203333017.55165267</v>
      </c>
      <c r="T88" s="7">
        <f t="shared" si="30"/>
        <v>87338.547565815184</v>
      </c>
      <c r="U88" s="7">
        <f t="shared" si="29"/>
        <v>21834.636891453796</v>
      </c>
      <c r="V88" s="7">
        <f t="shared" si="38"/>
        <v>203311182.91476122</v>
      </c>
      <c r="W88" s="7">
        <f t="shared" si="39"/>
        <v>54894019.386985533</v>
      </c>
      <c r="X88" s="11">
        <f t="shared" si="40"/>
        <v>148438998.16466713</v>
      </c>
      <c r="Y88" s="7">
        <f t="shared" si="35"/>
        <v>11264791.94330159</v>
      </c>
    </row>
    <row r="89" spans="5:25">
      <c r="E89">
        <v>86</v>
      </c>
      <c r="F89" s="2">
        <f t="shared" si="45"/>
        <v>142612800</v>
      </c>
      <c r="G89" s="2">
        <f t="shared" si="46"/>
        <v>19600000</v>
      </c>
      <c r="H89" s="2">
        <f t="shared" si="32"/>
        <v>123012800</v>
      </c>
      <c r="I89" s="2">
        <f t="shared" si="43"/>
        <v>1271204.7910728133</v>
      </c>
      <c r="J89" s="2">
        <f t="shared" si="44"/>
        <v>381361.43732184399</v>
      </c>
      <c r="K89" s="2">
        <f t="shared" si="37"/>
        <v>122631438.56267816</v>
      </c>
      <c r="L89" s="2">
        <f t="shared" si="42"/>
        <v>33110488.411923107</v>
      </c>
      <c r="M89" s="2">
        <f t="shared" si="41"/>
        <v>89902311.58807689</v>
      </c>
      <c r="N89" s="2">
        <f t="shared" si="33"/>
        <v>6618683.4236456286</v>
      </c>
      <c r="P89">
        <v>86</v>
      </c>
      <c r="Q89" s="3">
        <f t="shared" si="31"/>
        <v>335332800</v>
      </c>
      <c r="R89" s="6">
        <f>$C$13+$C$6*$A$18*$C$10+50*'Carbon Tax'!$B$6</f>
        <v>131999782.44834734</v>
      </c>
      <c r="S89" s="3">
        <f t="shared" si="34"/>
        <v>203333017.55165267</v>
      </c>
      <c r="T89" s="7">
        <f t="shared" si="30"/>
        <v>65503.910674361388</v>
      </c>
      <c r="U89" s="7">
        <f t="shared" si="29"/>
        <v>16375.977668590347</v>
      </c>
      <c r="V89" s="7">
        <f t="shared" si="38"/>
        <v>203316641.57398409</v>
      </c>
      <c r="W89" s="7">
        <f t="shared" si="39"/>
        <v>54895493.224975705</v>
      </c>
      <c r="X89" s="11">
        <f t="shared" si="40"/>
        <v>148437524.32667696</v>
      </c>
      <c r="Y89" s="7">
        <f t="shared" si="35"/>
        <v>10928094.777023157</v>
      </c>
    </row>
    <row r="90" spans="5:25">
      <c r="E90">
        <v>87</v>
      </c>
      <c r="F90" s="2">
        <f t="shared" si="45"/>
        <v>142612800</v>
      </c>
      <c r="G90" s="2">
        <f t="shared" si="46"/>
        <v>19600000</v>
      </c>
      <c r="H90" s="2">
        <f t="shared" si="32"/>
        <v>123012800</v>
      </c>
      <c r="I90" s="2">
        <f t="shared" si="43"/>
        <v>889843.35375096928</v>
      </c>
      <c r="J90" s="2">
        <f t="shared" si="44"/>
        <v>266953.00612529076</v>
      </c>
      <c r="K90" s="2">
        <f t="shared" si="37"/>
        <v>122745846.99387471</v>
      </c>
      <c r="L90" s="2">
        <f t="shared" si="42"/>
        <v>33141378.688346174</v>
      </c>
      <c r="M90" s="2">
        <f t="shared" si="41"/>
        <v>89871421.311653823</v>
      </c>
      <c r="N90" s="2">
        <f t="shared" si="33"/>
        <v>6418712.8983716294</v>
      </c>
      <c r="P90">
        <v>87</v>
      </c>
      <c r="Q90" s="3">
        <f t="shared" si="31"/>
        <v>335332800</v>
      </c>
      <c r="R90" s="6">
        <f>$C$13+$C$6*$A$18*$C$10+50*'Carbon Tax'!$B$6</f>
        <v>131999782.44834734</v>
      </c>
      <c r="S90" s="3">
        <f t="shared" si="34"/>
        <v>203333017.55165267</v>
      </c>
      <c r="T90" s="7">
        <f t="shared" si="30"/>
        <v>49127.933005771039</v>
      </c>
      <c r="U90" s="7">
        <f t="shared" si="29"/>
        <v>12281.98325144276</v>
      </c>
      <c r="V90" s="7">
        <f t="shared" si="38"/>
        <v>203320735.56840122</v>
      </c>
      <c r="W90" s="7">
        <f t="shared" si="39"/>
        <v>54896598.603468329</v>
      </c>
      <c r="X90" s="11">
        <f t="shared" si="40"/>
        <v>148436418.94818434</v>
      </c>
      <c r="Y90" s="7">
        <f t="shared" si="35"/>
        <v>10601487.580649376</v>
      </c>
    </row>
    <row r="91" spans="5:25">
      <c r="E91">
        <v>88</v>
      </c>
      <c r="F91" s="2">
        <f t="shared" si="45"/>
        <v>142612800</v>
      </c>
      <c r="G91" s="2">
        <f t="shared" si="46"/>
        <v>19600000</v>
      </c>
      <c r="H91" s="2">
        <f t="shared" si="32"/>
        <v>123012800</v>
      </c>
      <c r="I91" s="2">
        <f t="shared" si="43"/>
        <v>622890.34762567852</v>
      </c>
      <c r="J91" s="2">
        <f t="shared" si="44"/>
        <v>186867.10428770355</v>
      </c>
      <c r="K91" s="2">
        <f t="shared" si="37"/>
        <v>122825932.8957123</v>
      </c>
      <c r="L91" s="2">
        <f t="shared" si="42"/>
        <v>33163001.881842323</v>
      </c>
      <c r="M91" s="2">
        <f t="shared" si="41"/>
        <v>89849798.118157685</v>
      </c>
      <c r="N91" s="2">
        <f t="shared" si="33"/>
        <v>6225425.443148246</v>
      </c>
      <c r="P91">
        <v>88</v>
      </c>
      <c r="Q91" s="3">
        <f t="shared" si="31"/>
        <v>335332800</v>
      </c>
      <c r="R91" s="6">
        <f>$C$13+$C$6*$A$18*$C$10+50*'Carbon Tax'!$B$6</f>
        <v>131999782.44834734</v>
      </c>
      <c r="S91" s="3">
        <f t="shared" si="34"/>
        <v>203333017.55165267</v>
      </c>
      <c r="T91" s="7">
        <f t="shared" si="30"/>
        <v>36845.949754328278</v>
      </c>
      <c r="U91" s="7">
        <f t="shared" ref="U91:U112" si="47">T91*$B$29</f>
        <v>9211.4874385820694</v>
      </c>
      <c r="V91" s="7">
        <f t="shared" si="38"/>
        <v>203323806.06421408</v>
      </c>
      <c r="W91" s="7">
        <f t="shared" si="39"/>
        <v>54897427.637337804</v>
      </c>
      <c r="X91" s="11">
        <f t="shared" si="40"/>
        <v>148435589.91431487</v>
      </c>
      <c r="Y91" s="7">
        <f t="shared" si="35"/>
        <v>10284660.817001317</v>
      </c>
    </row>
    <row r="92" spans="5:25">
      <c r="E92">
        <v>89</v>
      </c>
      <c r="F92" s="2">
        <f t="shared" si="45"/>
        <v>142612800</v>
      </c>
      <c r="G92" s="2">
        <f t="shared" si="46"/>
        <v>19600000</v>
      </c>
      <c r="H92" s="2">
        <f t="shared" si="32"/>
        <v>123012800</v>
      </c>
      <c r="I92" s="2">
        <f t="shared" si="43"/>
        <v>436023.243337975</v>
      </c>
      <c r="J92" s="2">
        <f t="shared" si="44"/>
        <v>130806.9730013925</v>
      </c>
      <c r="K92" s="2">
        <f t="shared" si="37"/>
        <v>122881993.02699861</v>
      </c>
      <c r="L92" s="2">
        <f t="shared" si="42"/>
        <v>33178138.117289625</v>
      </c>
      <c r="M92" s="2">
        <f t="shared" si="41"/>
        <v>89834661.882710367</v>
      </c>
      <c r="N92" s="2">
        <f t="shared" si="33"/>
        <v>6038394.1583089503</v>
      </c>
      <c r="P92">
        <v>89</v>
      </c>
      <c r="Q92" s="3">
        <f t="shared" si="31"/>
        <v>335332800</v>
      </c>
      <c r="R92" s="6">
        <f>$C$13+$C$6*$A$18*$C$10+50*'Carbon Tax'!$B$6</f>
        <v>131999782.44834734</v>
      </c>
      <c r="S92" s="3">
        <f t="shared" si="34"/>
        <v>203333017.55165267</v>
      </c>
      <c r="T92" s="7">
        <f t="shared" si="30"/>
        <v>27634.462315746208</v>
      </c>
      <c r="U92" s="7">
        <f t="shared" si="47"/>
        <v>6908.6155789365521</v>
      </c>
      <c r="V92" s="7">
        <f t="shared" si="38"/>
        <v>203326108.93607372</v>
      </c>
      <c r="W92" s="7">
        <f t="shared" si="39"/>
        <v>54898049.41273991</v>
      </c>
      <c r="X92" s="11">
        <f t="shared" si="40"/>
        <v>148434968.13891277</v>
      </c>
      <c r="Y92" s="7">
        <f t="shared" si="35"/>
        <v>9977316.3911834136</v>
      </c>
    </row>
    <row r="93" spans="5:25">
      <c r="E93">
        <v>90</v>
      </c>
      <c r="F93" s="2">
        <f t="shared" si="45"/>
        <v>142612800</v>
      </c>
      <c r="G93" s="2">
        <f t="shared" si="46"/>
        <v>19600000</v>
      </c>
      <c r="H93" s="2">
        <f t="shared" si="32"/>
        <v>123012800</v>
      </c>
      <c r="I93" s="2">
        <f t="shared" si="43"/>
        <v>305216.2703365825</v>
      </c>
      <c r="J93" s="2">
        <f t="shared" si="44"/>
        <v>91564.881100974744</v>
      </c>
      <c r="K93" s="2">
        <f t="shared" si="37"/>
        <v>122921235.11889903</v>
      </c>
      <c r="L93" s="2">
        <f t="shared" si="42"/>
        <v>33188733.482102741</v>
      </c>
      <c r="M93" s="2">
        <f t="shared" si="41"/>
        <v>89824066.517897263</v>
      </c>
      <c r="N93" s="2">
        <f t="shared" si="33"/>
        <v>5857277.8155835774</v>
      </c>
      <c r="P93">
        <v>90</v>
      </c>
      <c r="Q93" s="3">
        <f t="shared" si="31"/>
        <v>335332800</v>
      </c>
      <c r="R93" s="6">
        <f>$C$13+$C$6*$A$18*$C$10+50*'Carbon Tax'!$B$6</f>
        <v>131999782.44834734</v>
      </c>
      <c r="S93" s="3">
        <f t="shared" si="34"/>
        <v>203333017.55165267</v>
      </c>
      <c r="T93" s="7">
        <f t="shared" si="30"/>
        <v>20725.846736809657</v>
      </c>
      <c r="U93" s="7">
        <f t="shared" si="47"/>
        <v>5181.4616842024143</v>
      </c>
      <c r="V93" s="7">
        <f t="shared" si="38"/>
        <v>203327836.08996847</v>
      </c>
      <c r="W93" s="7">
        <f t="shared" si="39"/>
        <v>54898515.744291492</v>
      </c>
      <c r="X93" s="11">
        <f t="shared" si="40"/>
        <v>148434501.80736119</v>
      </c>
      <c r="Y93" s="7">
        <f t="shared" si="35"/>
        <v>9679166.7111867666</v>
      </c>
    </row>
    <row r="94" spans="5:25">
      <c r="E94">
        <v>91</v>
      </c>
      <c r="F94" s="2">
        <f t="shared" si="45"/>
        <v>142612800</v>
      </c>
      <c r="G94" s="2">
        <f t="shared" si="46"/>
        <v>19600000</v>
      </c>
      <c r="H94" s="2">
        <f t="shared" si="32"/>
        <v>123012800</v>
      </c>
      <c r="I94" s="2">
        <f t="shared" si="43"/>
        <v>213651.38923560776</v>
      </c>
      <c r="J94" s="2">
        <f t="shared" si="44"/>
        <v>64095.416770682321</v>
      </c>
      <c r="K94" s="2">
        <f t="shared" si="37"/>
        <v>122948704.58322932</v>
      </c>
      <c r="L94" s="2">
        <f t="shared" si="42"/>
        <v>33196150.23747192</v>
      </c>
      <c r="M94" s="2">
        <f t="shared" si="41"/>
        <v>89816649.762528077</v>
      </c>
      <c r="N94" s="2">
        <f t="shared" si="33"/>
        <v>5681794.8984432118</v>
      </c>
      <c r="P94">
        <v>91</v>
      </c>
      <c r="Q94" s="3">
        <f t="shared" si="31"/>
        <v>335332800</v>
      </c>
      <c r="R94" s="6">
        <f>$C$13+$C$6*$A$18*$C$10+50*'Carbon Tax'!$B$6</f>
        <v>131999782.44834734</v>
      </c>
      <c r="S94" s="3">
        <f t="shared" si="34"/>
        <v>203333017.55165267</v>
      </c>
      <c r="T94" s="7">
        <f t="shared" si="30"/>
        <v>15544.385052607242</v>
      </c>
      <c r="U94" s="7">
        <f t="shared" si="47"/>
        <v>3886.0962631518105</v>
      </c>
      <c r="V94" s="7">
        <f t="shared" si="38"/>
        <v>203329131.45538953</v>
      </c>
      <c r="W94" s="7">
        <f t="shared" si="39"/>
        <v>54898865.492955178</v>
      </c>
      <c r="X94" s="11">
        <f t="shared" si="40"/>
        <v>148434152.05869749</v>
      </c>
      <c r="Y94" s="7">
        <f t="shared" si="35"/>
        <v>9389933.9393274747</v>
      </c>
    </row>
    <row r="95" spans="5:25">
      <c r="E95">
        <v>92</v>
      </c>
      <c r="F95" s="2">
        <f t="shared" si="45"/>
        <v>142612800</v>
      </c>
      <c r="G95" s="2">
        <f t="shared" si="46"/>
        <v>19600000</v>
      </c>
      <c r="H95" s="2">
        <f t="shared" si="32"/>
        <v>123012800</v>
      </c>
      <c r="I95" s="2">
        <f t="shared" si="43"/>
        <v>149555.97246492543</v>
      </c>
      <c r="J95" s="2">
        <f t="shared" si="44"/>
        <v>44866.79173947763</v>
      </c>
      <c r="K95" s="2">
        <f t="shared" si="37"/>
        <v>122967933.20826052</v>
      </c>
      <c r="L95" s="2">
        <f t="shared" si="42"/>
        <v>33201341.966230344</v>
      </c>
      <c r="M95" s="2">
        <f t="shared" si="41"/>
        <v>89811458.033769652</v>
      </c>
      <c r="N95" s="2">
        <f t="shared" si="33"/>
        <v>5511705.9274834143</v>
      </c>
      <c r="P95">
        <v>92</v>
      </c>
      <c r="Q95" s="3">
        <f t="shared" si="31"/>
        <v>335332800</v>
      </c>
      <c r="R95" s="6">
        <f>$C$13+$C$6*$A$18*$C$10+50*'Carbon Tax'!$B$6</f>
        <v>131999782.44834734</v>
      </c>
      <c r="S95" s="3">
        <f t="shared" si="34"/>
        <v>203333017.55165267</v>
      </c>
      <c r="T95" s="7">
        <f t="shared" si="30"/>
        <v>11658.288789455431</v>
      </c>
      <c r="U95" s="7">
        <f t="shared" si="47"/>
        <v>2914.5721973638579</v>
      </c>
      <c r="V95" s="7">
        <f t="shared" si="38"/>
        <v>203330102.97945529</v>
      </c>
      <c r="W95" s="7">
        <f t="shared" si="39"/>
        <v>54899127.804452933</v>
      </c>
      <c r="X95" s="11">
        <f t="shared" si="40"/>
        <v>148433889.74719974</v>
      </c>
      <c r="Y95" s="7">
        <f t="shared" si="35"/>
        <v>9109349.3844787683</v>
      </c>
    </row>
    <row r="96" spans="5:25">
      <c r="E96">
        <v>93</v>
      </c>
      <c r="F96" s="2">
        <f t="shared" si="45"/>
        <v>142612800</v>
      </c>
      <c r="G96" s="2">
        <f t="shared" si="46"/>
        <v>19600000</v>
      </c>
      <c r="H96" s="2">
        <f t="shared" si="32"/>
        <v>123012800</v>
      </c>
      <c r="I96" s="2">
        <f t="shared" si="43"/>
        <v>104689.1807254478</v>
      </c>
      <c r="J96" s="2">
        <f t="shared" si="44"/>
        <v>31406.754217634341</v>
      </c>
      <c r="K96" s="2">
        <f t="shared" si="37"/>
        <v>122981393.24578236</v>
      </c>
      <c r="L96" s="2">
        <f t="shared" si="42"/>
        <v>33204976.17636124</v>
      </c>
      <c r="M96" s="2">
        <f t="shared" si="41"/>
        <v>89807823.823638767</v>
      </c>
      <c r="N96" s="2">
        <f t="shared" si="33"/>
        <v>5346801.4134153798</v>
      </c>
      <c r="P96">
        <v>93</v>
      </c>
      <c r="Q96" s="3">
        <f t="shared" si="31"/>
        <v>335332800</v>
      </c>
      <c r="R96" s="6">
        <f>$C$13+$C$6*$A$18*$C$10+50*'Carbon Tax'!$B$6</f>
        <v>131999782.44834734</v>
      </c>
      <c r="S96" s="3">
        <f t="shared" si="34"/>
        <v>203333017.55165267</v>
      </c>
      <c r="T96" s="7">
        <f t="shared" si="30"/>
        <v>8743.7165920915741</v>
      </c>
      <c r="U96" s="7">
        <f t="shared" si="47"/>
        <v>2185.9291480228935</v>
      </c>
      <c r="V96" s="7">
        <f t="shared" si="38"/>
        <v>203330831.62250465</v>
      </c>
      <c r="W96" s="7">
        <f t="shared" si="39"/>
        <v>54899324.538076259</v>
      </c>
      <c r="X96" s="11">
        <f t="shared" si="40"/>
        <v>148433693.01357642</v>
      </c>
      <c r="Y96" s="7">
        <f t="shared" si="35"/>
        <v>8837152.9986294545</v>
      </c>
    </row>
    <row r="97" spans="5:25">
      <c r="E97">
        <v>94</v>
      </c>
      <c r="F97" s="2">
        <f t="shared" si="45"/>
        <v>142612800</v>
      </c>
      <c r="G97" s="2">
        <f t="shared" si="46"/>
        <v>19600000</v>
      </c>
      <c r="H97" s="2">
        <f t="shared" si="32"/>
        <v>123012800</v>
      </c>
      <c r="I97" s="2">
        <f t="shared" si="43"/>
        <v>73282.426507813463</v>
      </c>
      <c r="J97" s="2">
        <f t="shared" si="44"/>
        <v>21984.727952344037</v>
      </c>
      <c r="K97" s="2">
        <f t="shared" si="37"/>
        <v>122990815.27204765</v>
      </c>
      <c r="L97" s="2">
        <f t="shared" si="42"/>
        <v>33207520.123452868</v>
      </c>
      <c r="M97" s="2">
        <f t="shared" si="41"/>
        <v>89805279.876547128</v>
      </c>
      <c r="N97" s="2">
        <f t="shared" si="33"/>
        <v>5186893.6330050584</v>
      </c>
      <c r="P97">
        <v>94</v>
      </c>
      <c r="Q97" s="3">
        <f t="shared" si="31"/>
        <v>335332800</v>
      </c>
      <c r="R97" s="6">
        <f>$C$13+$C$6*$A$18*$C$10+50*'Carbon Tax'!$B$6</f>
        <v>131999782.44834734</v>
      </c>
      <c r="S97" s="3">
        <f t="shared" si="34"/>
        <v>203333017.55165267</v>
      </c>
      <c r="T97" s="7">
        <f t="shared" si="30"/>
        <v>6557.787444068681</v>
      </c>
      <c r="U97" s="7">
        <f t="shared" si="47"/>
        <v>1639.4468610171702</v>
      </c>
      <c r="V97" s="7">
        <f t="shared" si="38"/>
        <v>203331378.10479164</v>
      </c>
      <c r="W97" s="7">
        <f t="shared" si="39"/>
        <v>54899472.088293746</v>
      </c>
      <c r="X97" s="11">
        <f t="shared" si="40"/>
        <v>148433545.46335894</v>
      </c>
      <c r="Y97" s="7">
        <f t="shared" si="35"/>
        <v>8573092.9511787761</v>
      </c>
    </row>
    <row r="98" spans="5:25">
      <c r="E98">
        <v>95</v>
      </c>
      <c r="F98" s="2">
        <f t="shared" si="45"/>
        <v>142612800</v>
      </c>
      <c r="G98" s="2">
        <f t="shared" si="46"/>
        <v>19600000</v>
      </c>
      <c r="H98" s="2">
        <f t="shared" si="32"/>
        <v>123012800</v>
      </c>
      <c r="I98" s="2">
        <f t="shared" si="43"/>
        <v>51297.698555469426</v>
      </c>
      <c r="J98" s="2">
        <f t="shared" si="44"/>
        <v>15389.309566640826</v>
      </c>
      <c r="K98" s="2">
        <f t="shared" si="37"/>
        <v>122997410.69043335</v>
      </c>
      <c r="L98" s="2">
        <f t="shared" si="42"/>
        <v>33209300.886417009</v>
      </c>
      <c r="M98" s="2">
        <f t="shared" si="41"/>
        <v>89803499.113582999</v>
      </c>
      <c r="N98" s="2">
        <f t="shared" si="33"/>
        <v>5031811.0024045389</v>
      </c>
      <c r="P98">
        <v>95</v>
      </c>
      <c r="Q98" s="3">
        <f t="shared" si="31"/>
        <v>335332800</v>
      </c>
      <c r="R98" s="6">
        <f>$C$13+$C$6*$A$18*$C$10+50*'Carbon Tax'!$B$6</f>
        <v>131999782.44834734</v>
      </c>
      <c r="S98" s="3">
        <f t="shared" si="34"/>
        <v>203333017.55165267</v>
      </c>
      <c r="T98" s="7">
        <f t="shared" si="30"/>
        <v>4918.3405830515112</v>
      </c>
      <c r="U98" s="7">
        <f t="shared" si="47"/>
        <v>1229.5851457628778</v>
      </c>
      <c r="V98" s="7">
        <f t="shared" si="38"/>
        <v>203331787.9665069</v>
      </c>
      <c r="W98" s="7">
        <f t="shared" si="39"/>
        <v>54899582.750956863</v>
      </c>
      <c r="X98" s="11">
        <f t="shared" si="40"/>
        <v>148433434.80069581</v>
      </c>
      <c r="Y98" s="7">
        <f t="shared" si="35"/>
        <v>8316925.2615666641</v>
      </c>
    </row>
    <row r="99" spans="5:25">
      <c r="E99">
        <v>96</v>
      </c>
      <c r="F99" s="2">
        <f t="shared" si="45"/>
        <v>142612800</v>
      </c>
      <c r="G99" s="2">
        <f t="shared" si="46"/>
        <v>19600000</v>
      </c>
      <c r="H99" s="2">
        <f t="shared" si="32"/>
        <v>123012800</v>
      </c>
      <c r="I99" s="2">
        <f t="shared" si="43"/>
        <v>35908.388988828599</v>
      </c>
      <c r="J99" s="2">
        <f t="shared" si="44"/>
        <v>10772.516696648579</v>
      </c>
      <c r="K99" s="2">
        <f t="shared" si="37"/>
        <v>123002027.48330335</v>
      </c>
      <c r="L99" s="2">
        <f t="shared" si="42"/>
        <v>33210547.420491908</v>
      </c>
      <c r="M99" s="2">
        <f t="shared" si="41"/>
        <v>89802252.579508096</v>
      </c>
      <c r="N99" s="2">
        <f t="shared" ref="N99:N130" si="48">M99/((1+$B$16)^E99)</f>
        <v>4881394.2155815801</v>
      </c>
      <c r="P99">
        <v>96</v>
      </c>
      <c r="Q99" s="3">
        <f t="shared" si="31"/>
        <v>335332800</v>
      </c>
      <c r="R99" s="6">
        <f>$C$13+$C$6*$A$18*$C$10+50*'Carbon Tax'!$B$6</f>
        <v>131999782.44834734</v>
      </c>
      <c r="S99" s="3">
        <f t="shared" si="34"/>
        <v>203333017.55165267</v>
      </c>
      <c r="T99" s="7">
        <f t="shared" si="30"/>
        <v>3688.7554372886334</v>
      </c>
      <c r="U99" s="7">
        <f t="shared" si="47"/>
        <v>922.18885932215835</v>
      </c>
      <c r="V99" s="7">
        <f t="shared" si="38"/>
        <v>203332095.36279336</v>
      </c>
      <c r="W99" s="7">
        <f t="shared" si="39"/>
        <v>54899665.747954212</v>
      </c>
      <c r="X99" s="11">
        <f t="shared" si="40"/>
        <v>148433351.80369845</v>
      </c>
      <c r="Y99" s="7">
        <f t="shared" ref="Y99:Y130" si="49">X99/((1+$B$16)^P99)</f>
        <v>8068413.4760701591</v>
      </c>
    </row>
    <row r="100" spans="5:25">
      <c r="E100">
        <v>97</v>
      </c>
      <c r="F100" s="2">
        <f t="shared" si="45"/>
        <v>142612800</v>
      </c>
      <c r="G100" s="2">
        <f t="shared" si="46"/>
        <v>19600000</v>
      </c>
      <c r="H100" s="2">
        <f t="shared" si="32"/>
        <v>123012800</v>
      </c>
      <c r="I100" s="2">
        <f t="shared" si="43"/>
        <v>25135.872292180022</v>
      </c>
      <c r="J100" s="2">
        <f t="shared" si="44"/>
        <v>7540.761687654006</v>
      </c>
      <c r="K100" s="2">
        <f t="shared" si="37"/>
        <v>123005259.23831235</v>
      </c>
      <c r="L100" s="2">
        <f t="shared" si="42"/>
        <v>33211419.994344335</v>
      </c>
      <c r="M100" s="2">
        <f t="shared" si="41"/>
        <v>89801380.005655661</v>
      </c>
      <c r="N100" s="2">
        <f t="shared" si="48"/>
        <v>4735493.5826122388</v>
      </c>
      <c r="P100">
        <v>97</v>
      </c>
      <c r="Q100" s="3">
        <f t="shared" si="31"/>
        <v>335332800</v>
      </c>
      <c r="R100" s="6">
        <f>$C$13+$C$6*$A$18*$C$10+50*'Carbon Tax'!$B$6</f>
        <v>131999782.44834734</v>
      </c>
      <c r="S100" s="3">
        <f t="shared" si="34"/>
        <v>203333017.55165267</v>
      </c>
      <c r="T100" s="7">
        <f t="shared" si="30"/>
        <v>2766.5665779664751</v>
      </c>
      <c r="U100" s="7">
        <f t="shared" si="47"/>
        <v>691.64164449161876</v>
      </c>
      <c r="V100" s="7">
        <f t="shared" si="38"/>
        <v>203332325.91000819</v>
      </c>
      <c r="W100" s="7">
        <f t="shared" si="39"/>
        <v>54899727.995702215</v>
      </c>
      <c r="X100" s="11">
        <f t="shared" si="40"/>
        <v>148433289.55595046</v>
      </c>
      <c r="Y100" s="7">
        <f t="shared" si="49"/>
        <v>7827328.3784053093</v>
      </c>
    </row>
    <row r="101" spans="5:25">
      <c r="E101">
        <v>98</v>
      </c>
      <c r="F101" s="2">
        <f t="shared" si="45"/>
        <v>142612800</v>
      </c>
      <c r="G101" s="2">
        <f t="shared" si="46"/>
        <v>19600000</v>
      </c>
      <c r="H101" s="2">
        <f t="shared" si="32"/>
        <v>123012800</v>
      </c>
      <c r="I101" s="2">
        <f t="shared" si="43"/>
        <v>17595.110604526017</v>
      </c>
      <c r="J101" s="2">
        <f t="shared" si="44"/>
        <v>5278.533181357805</v>
      </c>
      <c r="K101" s="2">
        <f t="shared" si="37"/>
        <v>123007521.46681865</v>
      </c>
      <c r="L101" s="2">
        <f t="shared" si="42"/>
        <v>33212030.796041038</v>
      </c>
      <c r="M101" s="2">
        <f t="shared" si="41"/>
        <v>89800769.203958958</v>
      </c>
      <c r="N101" s="2">
        <f t="shared" si="48"/>
        <v>4593967.1839580694</v>
      </c>
      <c r="P101">
        <v>98</v>
      </c>
      <c r="Q101" s="3">
        <f t="shared" si="31"/>
        <v>335332800</v>
      </c>
      <c r="R101" s="6">
        <f>$C$13+$C$6*$A$18*$C$10+50*'Carbon Tax'!$B$6</f>
        <v>131999782.44834734</v>
      </c>
      <c r="S101" s="3">
        <f t="shared" si="34"/>
        <v>203333017.55165267</v>
      </c>
      <c r="T101" s="7">
        <f t="shared" si="30"/>
        <v>2074.9249334748565</v>
      </c>
      <c r="U101" s="7">
        <f t="shared" si="47"/>
        <v>518.73123336871413</v>
      </c>
      <c r="V101" s="7">
        <f t="shared" si="38"/>
        <v>203332498.82041931</v>
      </c>
      <c r="W101" s="7">
        <f t="shared" ref="W101:W132" si="50">IF(W100&lt;0,V101*$B$15+W100,V101*$B$15)</f>
        <v>54899774.68151322</v>
      </c>
      <c r="X101" s="11">
        <f t="shared" si="40"/>
        <v>148433242.87013945</v>
      </c>
      <c r="Y101" s="7">
        <f t="shared" si="49"/>
        <v>7593447.7265461609</v>
      </c>
    </row>
    <row r="102" spans="5:25">
      <c r="E102">
        <v>99</v>
      </c>
      <c r="F102" s="2">
        <f t="shared" si="45"/>
        <v>142612800</v>
      </c>
      <c r="G102" s="2">
        <f>$B$13+$B$12</f>
        <v>1134800000</v>
      </c>
      <c r="H102" s="2">
        <f t="shared" si="32"/>
        <v>-992187200</v>
      </c>
      <c r="I102" s="2">
        <f t="shared" si="43"/>
        <v>12316.577423168212</v>
      </c>
      <c r="J102" s="13">
        <v>0</v>
      </c>
      <c r="K102" s="13">
        <f>H102-J102+$B$12+$B$14</f>
        <v>123012800</v>
      </c>
      <c r="L102" s="2">
        <f t="shared" si="42"/>
        <v>33213456.000000004</v>
      </c>
      <c r="M102" s="13">
        <f>IF(L102&lt;0,H102,H102-L102+$B$14)</f>
        <v>-1025400656</v>
      </c>
      <c r="N102" s="2">
        <f t="shared" si="48"/>
        <v>-50889362.794410191</v>
      </c>
      <c r="P102">
        <v>99</v>
      </c>
      <c r="Q102" s="3">
        <f t="shared" si="31"/>
        <v>335332800</v>
      </c>
      <c r="R102" s="6">
        <f>$C$13+$C$6*$A$18*$C$10+50*'Carbon Tax'!$B$6</f>
        <v>131999782.44834734</v>
      </c>
      <c r="S102" s="3">
        <f t="shared" si="34"/>
        <v>203333017.55165267</v>
      </c>
      <c r="T102" s="7">
        <f t="shared" si="30"/>
        <v>1556.1937001061424</v>
      </c>
      <c r="U102" s="7">
        <f t="shared" si="47"/>
        <v>389.0484250265356</v>
      </c>
      <c r="V102" s="7">
        <f t="shared" si="38"/>
        <v>203332628.50322765</v>
      </c>
      <c r="W102" s="7">
        <f t="shared" si="50"/>
        <v>54899809.695871472</v>
      </c>
      <c r="X102" s="11">
        <f t="shared" si="40"/>
        <v>148433207.8557812</v>
      </c>
      <c r="Y102" s="7">
        <f t="shared" si="49"/>
        <v>7366556.0101913437</v>
      </c>
    </row>
    <row r="103" spans="5:25">
      <c r="E103">
        <v>100</v>
      </c>
      <c r="F103" s="2">
        <v>0</v>
      </c>
      <c r="G103" s="2">
        <v>0</v>
      </c>
      <c r="H103" s="2">
        <f t="shared" si="32"/>
        <v>0</v>
      </c>
      <c r="I103" s="2">
        <v>1115200000</v>
      </c>
      <c r="J103" s="2">
        <f>I103*0.3</f>
        <v>334560000</v>
      </c>
      <c r="K103" s="2">
        <f t="shared" si="37"/>
        <v>-334560000</v>
      </c>
      <c r="L103" s="2">
        <f>K103*$B$15</f>
        <v>-90331200</v>
      </c>
      <c r="M103" s="2">
        <f t="shared" si="41"/>
        <v>0</v>
      </c>
      <c r="N103" s="2">
        <f t="shared" si="48"/>
        <v>0</v>
      </c>
      <c r="P103">
        <v>100</v>
      </c>
      <c r="Q103" s="3">
        <f t="shared" si="31"/>
        <v>335332800</v>
      </c>
      <c r="R103" s="6">
        <f>$C$13+$C$6*$A$18*$C$10+50*'Carbon Tax'!$B$6</f>
        <v>131999782.44834734</v>
      </c>
      <c r="S103" s="3">
        <f t="shared" si="34"/>
        <v>203333017.55165267</v>
      </c>
      <c r="T103" s="7">
        <f t="shared" si="30"/>
        <v>1167.1452750796068</v>
      </c>
      <c r="U103" s="7">
        <f t="shared" si="47"/>
        <v>291.7863187699017</v>
      </c>
      <c r="V103" s="7">
        <f t="shared" si="38"/>
        <v>203332725.76533389</v>
      </c>
      <c r="W103" s="7">
        <f t="shared" si="50"/>
        <v>54899835.956640154</v>
      </c>
      <c r="X103" s="11">
        <f t="shared" si="40"/>
        <v>148433181.59501252</v>
      </c>
      <c r="Y103" s="7">
        <f t="shared" si="49"/>
        <v>7146444.224778777</v>
      </c>
    </row>
    <row r="104" spans="5:25">
      <c r="E104">
        <v>101</v>
      </c>
      <c r="F104" s="2">
        <v>0</v>
      </c>
      <c r="G104" s="2">
        <v>0</v>
      </c>
      <c r="H104" s="2">
        <f t="shared" si="32"/>
        <v>0</v>
      </c>
      <c r="I104" s="2">
        <f>I103-J103</f>
        <v>780640000</v>
      </c>
      <c r="J104" s="2">
        <f>I104*0.3</f>
        <v>234192000</v>
      </c>
      <c r="K104" s="2">
        <f t="shared" si="37"/>
        <v>-234192000</v>
      </c>
      <c r="L104" s="2">
        <f t="shared" ref="L104:L135" si="51">IF(L103&lt;0,K104*$B$15+L103,K104*$B$15)</f>
        <v>-153563040</v>
      </c>
      <c r="M104" s="2">
        <f t="shared" si="41"/>
        <v>0</v>
      </c>
      <c r="N104" s="2">
        <f t="shared" si="48"/>
        <v>0</v>
      </c>
      <c r="P104">
        <v>101</v>
      </c>
      <c r="Q104" s="3">
        <f t="shared" si="31"/>
        <v>335332800</v>
      </c>
      <c r="R104" s="6">
        <f>$C$13+$C$6*$A$18*$C$10+50*'Carbon Tax'!$B$6</f>
        <v>131999782.44834734</v>
      </c>
      <c r="S104" s="3">
        <f t="shared" si="34"/>
        <v>203333017.55165267</v>
      </c>
      <c r="T104" s="7">
        <f t="shared" si="30"/>
        <v>875.35895630970504</v>
      </c>
      <c r="U104" s="7">
        <f t="shared" si="47"/>
        <v>218.83973907742626</v>
      </c>
      <c r="V104" s="7">
        <f t="shared" si="38"/>
        <v>203332798.71191359</v>
      </c>
      <c r="W104" s="7">
        <f t="shared" si="50"/>
        <v>54899855.652216673</v>
      </c>
      <c r="X104" s="11">
        <f t="shared" si="40"/>
        <v>148433161.899436</v>
      </c>
      <c r="Y104" s="7">
        <f t="shared" si="49"/>
        <v>6932909.6590203438</v>
      </c>
    </row>
    <row r="105" spans="5:25">
      <c r="E105">
        <v>102</v>
      </c>
      <c r="F105" s="2">
        <v>0</v>
      </c>
      <c r="G105" s="2">
        <v>0</v>
      </c>
      <c r="H105" s="2">
        <f t="shared" si="32"/>
        <v>0</v>
      </c>
      <c r="I105" s="2">
        <f t="shared" ref="I105:I135" si="52">I104-J104</f>
        <v>546448000</v>
      </c>
      <c r="J105" s="2">
        <f t="shared" ref="J105:J134" si="53">I105*0.3</f>
        <v>163934400</v>
      </c>
      <c r="K105" s="2">
        <f t="shared" si="37"/>
        <v>-163934400</v>
      </c>
      <c r="L105" s="2">
        <f t="shared" si="51"/>
        <v>-197825328</v>
      </c>
      <c r="M105" s="2">
        <f t="shared" si="41"/>
        <v>0</v>
      </c>
      <c r="N105" s="2">
        <f t="shared" si="48"/>
        <v>0</v>
      </c>
      <c r="P105">
        <v>102</v>
      </c>
      <c r="Q105" s="3">
        <f t="shared" si="31"/>
        <v>335332800</v>
      </c>
      <c r="R105" s="6">
        <f>$C$13+$C$6*$A$18*$C$10+50*'Carbon Tax'!$B$6</f>
        <v>131999782.44834734</v>
      </c>
      <c r="S105" s="3">
        <f t="shared" si="34"/>
        <v>203333017.55165267</v>
      </c>
      <c r="T105" s="7">
        <f t="shared" si="30"/>
        <v>656.51921723227883</v>
      </c>
      <c r="U105" s="7">
        <f t="shared" si="47"/>
        <v>164.12980430806971</v>
      </c>
      <c r="V105" s="7">
        <f t="shared" si="38"/>
        <v>203332853.42184836</v>
      </c>
      <c r="W105" s="7">
        <f t="shared" si="50"/>
        <v>54899870.423899062</v>
      </c>
      <c r="X105" s="11">
        <f t="shared" si="40"/>
        <v>148433147.12775362</v>
      </c>
      <c r="Y105" s="7">
        <f t="shared" si="49"/>
        <v>6725755.6937089618</v>
      </c>
    </row>
    <row r="106" spans="5:25">
      <c r="E106">
        <v>103</v>
      </c>
      <c r="F106" s="2">
        <f t="shared" ref="F106:F135" si="54">$B$11</f>
        <v>142612800</v>
      </c>
      <c r="G106" s="2">
        <f t="shared" ref="G106:G134" si="55">$B$13</f>
        <v>19600000</v>
      </c>
      <c r="H106" s="2">
        <f t="shared" si="32"/>
        <v>123012800</v>
      </c>
      <c r="I106" s="2">
        <f t="shared" si="52"/>
        <v>382513600</v>
      </c>
      <c r="J106" s="2">
        <f t="shared" si="53"/>
        <v>114754080</v>
      </c>
      <c r="K106" s="2">
        <f t="shared" si="37"/>
        <v>8258720</v>
      </c>
      <c r="L106" s="2">
        <f t="shared" si="51"/>
        <v>-195595473.59999999</v>
      </c>
      <c r="M106" s="2">
        <f t="shared" si="41"/>
        <v>123012800</v>
      </c>
      <c r="N106" s="2">
        <f t="shared" si="48"/>
        <v>5407369.989895273</v>
      </c>
      <c r="P106">
        <v>103</v>
      </c>
      <c r="Q106" s="3">
        <f t="shared" si="31"/>
        <v>335332800</v>
      </c>
      <c r="R106" s="6">
        <f>$C$13+$C$6*$A$18*$C$10+50*'Carbon Tax'!$B$6</f>
        <v>131999782.44834734</v>
      </c>
      <c r="S106" s="3">
        <f t="shared" si="34"/>
        <v>203333017.55165267</v>
      </c>
      <c r="T106" s="7">
        <f t="shared" si="30"/>
        <v>492.38941292420913</v>
      </c>
      <c r="U106" s="7">
        <f t="shared" si="47"/>
        <v>123.09735323105228</v>
      </c>
      <c r="V106" s="7">
        <f t="shared" si="38"/>
        <v>203332894.45429945</v>
      </c>
      <c r="W106" s="7">
        <f t="shared" si="50"/>
        <v>54899881.502660856</v>
      </c>
      <c r="X106" s="11">
        <f t="shared" si="40"/>
        <v>148433136.0489918</v>
      </c>
      <c r="Y106" s="7">
        <f t="shared" si="49"/>
        <v>6524791.6101199267</v>
      </c>
    </row>
    <row r="107" spans="5:25">
      <c r="E107">
        <v>104</v>
      </c>
      <c r="F107" s="2">
        <f t="shared" si="54"/>
        <v>142612800</v>
      </c>
      <c r="G107" s="2">
        <f t="shared" si="55"/>
        <v>19600000</v>
      </c>
      <c r="H107" s="2">
        <f t="shared" si="32"/>
        <v>123012800</v>
      </c>
      <c r="I107" s="2">
        <f t="shared" si="52"/>
        <v>267759520</v>
      </c>
      <c r="J107" s="2">
        <f t="shared" si="53"/>
        <v>80327856</v>
      </c>
      <c r="K107" s="2">
        <f t="shared" si="37"/>
        <v>42684944</v>
      </c>
      <c r="L107" s="2">
        <f t="shared" si="51"/>
        <v>-184070538.72</v>
      </c>
      <c r="M107" s="2">
        <f t="shared" si="41"/>
        <v>123012800</v>
      </c>
      <c r="N107" s="2">
        <f t="shared" si="48"/>
        <v>5245799.3693202101</v>
      </c>
      <c r="P107">
        <v>104</v>
      </c>
      <c r="Q107" s="3">
        <f t="shared" si="31"/>
        <v>335332800</v>
      </c>
      <c r="R107" s="6">
        <f>$C$13+$C$6*$A$18*$C$10+50*'Carbon Tax'!$B$6</f>
        <v>131999782.44834734</v>
      </c>
      <c r="S107" s="3">
        <f t="shared" si="34"/>
        <v>203333017.55165267</v>
      </c>
      <c r="T107" s="7">
        <f t="shared" si="30"/>
        <v>369.29205969315683</v>
      </c>
      <c r="U107" s="7">
        <f t="shared" si="47"/>
        <v>92.323014923289207</v>
      </c>
      <c r="V107" s="7">
        <f t="shared" si="38"/>
        <v>203332925.22863775</v>
      </c>
      <c r="W107" s="7">
        <f t="shared" si="50"/>
        <v>54899889.811732195</v>
      </c>
      <c r="X107" s="11">
        <f t="shared" si="40"/>
        <v>148433127.73992047</v>
      </c>
      <c r="Y107" s="7">
        <f t="shared" si="49"/>
        <v>6329832.4067438589</v>
      </c>
    </row>
    <row r="108" spans="5:25">
      <c r="E108">
        <v>105</v>
      </c>
      <c r="F108" s="2">
        <f t="shared" si="54"/>
        <v>142612800</v>
      </c>
      <c r="G108" s="2">
        <f t="shared" si="55"/>
        <v>19600000</v>
      </c>
      <c r="H108" s="2">
        <f t="shared" si="32"/>
        <v>123012800</v>
      </c>
      <c r="I108" s="2">
        <f t="shared" si="52"/>
        <v>187431664</v>
      </c>
      <c r="J108" s="2">
        <f t="shared" si="53"/>
        <v>56229499.199999996</v>
      </c>
      <c r="K108" s="2">
        <f t="shared" si="37"/>
        <v>66783300.800000004</v>
      </c>
      <c r="L108" s="2">
        <f t="shared" si="51"/>
        <v>-166039047.50400001</v>
      </c>
      <c r="M108" s="2">
        <f t="shared" si="41"/>
        <v>123012800</v>
      </c>
      <c r="N108" s="2">
        <f t="shared" si="48"/>
        <v>5089056.4312380776</v>
      </c>
      <c r="P108">
        <v>105</v>
      </c>
      <c r="Q108" s="3">
        <f t="shared" si="31"/>
        <v>335332800</v>
      </c>
      <c r="R108" s="6">
        <f>$C$13+$C$6*$A$18*$C$10+50*'Carbon Tax'!$B$6</f>
        <v>131999782.44834734</v>
      </c>
      <c r="S108" s="3">
        <f t="shared" si="34"/>
        <v>203333017.55165267</v>
      </c>
      <c r="T108" s="7">
        <f t="shared" si="30"/>
        <v>276.96904476986765</v>
      </c>
      <c r="U108" s="7">
        <f t="shared" si="47"/>
        <v>69.242261192466913</v>
      </c>
      <c r="V108" s="7">
        <f t="shared" si="38"/>
        <v>203332948.30939147</v>
      </c>
      <c r="W108" s="7">
        <f t="shared" si="50"/>
        <v>54899896.043535702</v>
      </c>
      <c r="X108" s="11">
        <f t="shared" si="40"/>
        <v>148433121.50811696</v>
      </c>
      <c r="Y108" s="7">
        <f t="shared" si="49"/>
        <v>6140698.6233922457</v>
      </c>
    </row>
    <row r="109" spans="5:25">
      <c r="E109">
        <v>106</v>
      </c>
      <c r="F109" s="2">
        <f t="shared" si="54"/>
        <v>142612800</v>
      </c>
      <c r="G109" s="2">
        <f t="shared" si="55"/>
        <v>19600000</v>
      </c>
      <c r="H109" s="2">
        <f t="shared" si="32"/>
        <v>123012800</v>
      </c>
      <c r="I109" s="2">
        <f t="shared" si="52"/>
        <v>131202164.80000001</v>
      </c>
      <c r="J109" s="2">
        <f t="shared" si="53"/>
        <v>39360649.440000005</v>
      </c>
      <c r="K109" s="2">
        <f t="shared" si="37"/>
        <v>83652150.560000002</v>
      </c>
      <c r="L109" s="2">
        <f t="shared" si="51"/>
        <v>-143452966.85280001</v>
      </c>
      <c r="M109" s="2">
        <f t="shared" si="41"/>
        <v>123012800</v>
      </c>
      <c r="N109" s="2">
        <f t="shared" si="48"/>
        <v>4936996.9259197488</v>
      </c>
      <c r="P109">
        <v>106</v>
      </c>
      <c r="Q109" s="3">
        <f t="shared" si="31"/>
        <v>335332800</v>
      </c>
      <c r="R109" s="6">
        <f>$C$13+$C$6*$A$18*$C$10+50*'Carbon Tax'!$B$6</f>
        <v>131999782.44834734</v>
      </c>
      <c r="S109" s="3">
        <f t="shared" si="34"/>
        <v>203333017.55165267</v>
      </c>
      <c r="T109" s="7">
        <f t="shared" si="30"/>
        <v>207.72678357740074</v>
      </c>
      <c r="U109" s="7">
        <f t="shared" si="47"/>
        <v>51.931695894350185</v>
      </c>
      <c r="V109" s="7">
        <f t="shared" si="38"/>
        <v>203332965.61995676</v>
      </c>
      <c r="W109" s="7">
        <f t="shared" si="50"/>
        <v>54899900.717388332</v>
      </c>
      <c r="X109" s="11">
        <f t="shared" si="40"/>
        <v>148433116.83426434</v>
      </c>
      <c r="Y109" s="7">
        <f t="shared" si="49"/>
        <v>5957216.1719386112</v>
      </c>
    </row>
    <row r="110" spans="5:25">
      <c r="E110">
        <v>107</v>
      </c>
      <c r="F110" s="2">
        <f t="shared" si="54"/>
        <v>142612800</v>
      </c>
      <c r="G110" s="2">
        <f t="shared" si="55"/>
        <v>19600000</v>
      </c>
      <c r="H110" s="2">
        <f t="shared" si="32"/>
        <v>123012800</v>
      </c>
      <c r="I110" s="2">
        <f t="shared" si="52"/>
        <v>91841515.360000014</v>
      </c>
      <c r="J110" s="2">
        <f t="shared" si="53"/>
        <v>27552454.608000003</v>
      </c>
      <c r="K110" s="2">
        <f t="shared" si="37"/>
        <v>95460345.39199999</v>
      </c>
      <c r="L110" s="2">
        <f t="shared" si="51"/>
        <v>-117678673.59696001</v>
      </c>
      <c r="M110" s="2">
        <f t="shared" si="41"/>
        <v>123012800</v>
      </c>
      <c r="N110" s="2">
        <f t="shared" si="48"/>
        <v>4789480.9137754655</v>
      </c>
      <c r="P110">
        <v>107</v>
      </c>
      <c r="Q110" s="3">
        <f t="shared" si="31"/>
        <v>335332800</v>
      </c>
      <c r="R110" s="6">
        <f>$C$13+$C$6*$A$18*$C$10+50*'Carbon Tax'!$B$6</f>
        <v>131999782.44834734</v>
      </c>
      <c r="S110" s="3">
        <f t="shared" si="34"/>
        <v>203333017.55165267</v>
      </c>
      <c r="T110" s="7">
        <f t="shared" si="30"/>
        <v>155.79508768305055</v>
      </c>
      <c r="U110" s="7">
        <f t="shared" si="47"/>
        <v>38.948771920762638</v>
      </c>
      <c r="V110" s="7">
        <f t="shared" si="38"/>
        <v>203332978.60288075</v>
      </c>
      <c r="W110" s="7">
        <f t="shared" si="50"/>
        <v>54899904.222777806</v>
      </c>
      <c r="X110" s="11">
        <f t="shared" si="40"/>
        <v>148433113.32887486</v>
      </c>
      <c r="Y110" s="7">
        <f t="shared" si="49"/>
        <v>5779216.173121145</v>
      </c>
    </row>
    <row r="111" spans="5:25">
      <c r="E111">
        <v>108</v>
      </c>
      <c r="F111" s="2">
        <f t="shared" si="54"/>
        <v>142612800</v>
      </c>
      <c r="G111" s="2">
        <f t="shared" si="55"/>
        <v>19600000</v>
      </c>
      <c r="H111" s="2">
        <f t="shared" si="32"/>
        <v>123012800</v>
      </c>
      <c r="I111" s="2">
        <f t="shared" si="52"/>
        <v>64289060.752000012</v>
      </c>
      <c r="J111" s="2">
        <f t="shared" si="53"/>
        <v>19286718.225600004</v>
      </c>
      <c r="K111" s="2">
        <f t="shared" si="37"/>
        <v>103726081.7744</v>
      </c>
      <c r="L111" s="2">
        <f t="shared" si="51"/>
        <v>-89672631.517872006</v>
      </c>
      <c r="M111" s="2">
        <f t="shared" si="41"/>
        <v>123012800</v>
      </c>
      <c r="N111" s="2">
        <f t="shared" si="48"/>
        <v>4646372.6365691358</v>
      </c>
      <c r="P111">
        <v>108</v>
      </c>
      <c r="Q111" s="3">
        <f t="shared" si="31"/>
        <v>335332800</v>
      </c>
      <c r="R111" s="6">
        <f>$C$13+$C$6*$A$18*$C$10+50*'Carbon Tax'!$B$6</f>
        <v>131999782.44834734</v>
      </c>
      <c r="S111" s="3">
        <f t="shared" si="34"/>
        <v>203333017.55165267</v>
      </c>
      <c r="T111" s="7">
        <f t="shared" si="30"/>
        <v>116.84631576228792</v>
      </c>
      <c r="U111" s="7">
        <f t="shared" si="47"/>
        <v>29.211578940571979</v>
      </c>
      <c r="V111" s="7">
        <f t="shared" si="38"/>
        <v>203332988.34007373</v>
      </c>
      <c r="W111" s="7">
        <f t="shared" si="50"/>
        <v>54899906.85181991</v>
      </c>
      <c r="X111" s="11">
        <f t="shared" si="40"/>
        <v>148433110.69983277</v>
      </c>
      <c r="Y111" s="7">
        <f t="shared" si="49"/>
        <v>5606534.7989521446</v>
      </c>
    </row>
    <row r="112" spans="5:25">
      <c r="E112">
        <v>109</v>
      </c>
      <c r="F112" s="2">
        <f t="shared" si="54"/>
        <v>142612800</v>
      </c>
      <c r="G112" s="2">
        <f t="shared" si="55"/>
        <v>19600000</v>
      </c>
      <c r="H112" s="2">
        <f t="shared" si="32"/>
        <v>123012800</v>
      </c>
      <c r="I112" s="2">
        <f t="shared" si="52"/>
        <v>45002342.526400007</v>
      </c>
      <c r="J112" s="2">
        <f t="shared" si="53"/>
        <v>13500702.757920003</v>
      </c>
      <c r="K112" s="2">
        <f t="shared" si="37"/>
        <v>109512097.24208</v>
      </c>
      <c r="L112" s="2">
        <f t="shared" si="51"/>
        <v>-60104365.262510404</v>
      </c>
      <c r="M112" s="2">
        <f t="shared" si="41"/>
        <v>123012800</v>
      </c>
      <c r="N112" s="2">
        <f t="shared" si="48"/>
        <v>4507540.3924807291</v>
      </c>
      <c r="P112">
        <v>109</v>
      </c>
      <c r="Q112" s="3">
        <f t="shared" si="31"/>
        <v>335332800</v>
      </c>
      <c r="R112" s="6">
        <f>$C$13+$C$6*$A$18*$C$10+50*'Carbon Tax'!$B$6</f>
        <v>131999782.44834734</v>
      </c>
      <c r="S112" s="3">
        <f t="shared" si="34"/>
        <v>203333017.55165267</v>
      </c>
      <c r="T112" s="7">
        <f t="shared" si="30"/>
        <v>87.634736821715933</v>
      </c>
      <c r="U112" s="7">
        <f t="shared" si="47"/>
        <v>21.908684205428983</v>
      </c>
      <c r="V112" s="7">
        <f t="shared" si="38"/>
        <v>203332995.64296848</v>
      </c>
      <c r="W112" s="7">
        <f t="shared" si="50"/>
        <v>54899908.823601492</v>
      </c>
      <c r="X112" s="11">
        <f t="shared" si="40"/>
        <v>148433108.72805119</v>
      </c>
      <c r="Y112" s="7">
        <f t="shared" si="49"/>
        <v>5439013.1203677552</v>
      </c>
    </row>
    <row r="113" spans="5:25">
      <c r="E113">
        <v>110</v>
      </c>
      <c r="F113" s="2">
        <f t="shared" si="54"/>
        <v>142612800</v>
      </c>
      <c r="G113" s="2">
        <f t="shared" si="55"/>
        <v>19600000</v>
      </c>
      <c r="H113" s="2">
        <f t="shared" si="32"/>
        <v>123012800</v>
      </c>
      <c r="I113" s="2">
        <f t="shared" si="52"/>
        <v>31501639.768480003</v>
      </c>
      <c r="J113" s="2">
        <f t="shared" si="53"/>
        <v>9450491.9305440001</v>
      </c>
      <c r="K113" s="2">
        <f t="shared" si="37"/>
        <v>113562308.069456</v>
      </c>
      <c r="L113" s="2">
        <f t="shared" si="51"/>
        <v>-29442542.083757281</v>
      </c>
      <c r="M113" s="2">
        <f t="shared" si="41"/>
        <v>123012800</v>
      </c>
      <c r="N113" s="2">
        <f t="shared" si="48"/>
        <v>4372856.4149017548</v>
      </c>
      <c r="P113">
        <v>110</v>
      </c>
      <c r="Q113" s="3">
        <f t="shared" si="31"/>
        <v>335332800</v>
      </c>
      <c r="R113" s="6">
        <f>$C$13+$C$6*$A$18*$C$10+50*'Carbon Tax'!$B$6+$C$12</f>
        <v>498799782.44834733</v>
      </c>
      <c r="S113" s="3">
        <f t="shared" si="34"/>
        <v>-163466982.44834733</v>
      </c>
      <c r="T113" s="7">
        <f t="shared" si="30"/>
        <v>65.72605261628695</v>
      </c>
      <c r="U113" s="15">
        <v>0</v>
      </c>
      <c r="V113" s="15">
        <f>S58-U58+$C$12+$C$14</f>
        <v>203333017.55165267</v>
      </c>
      <c r="W113" s="7">
        <f t="shared" si="50"/>
        <v>54899914.738946222</v>
      </c>
      <c r="X113" s="16">
        <f>IF(W113&lt;0,S113,S113-W113+$C$14)</f>
        <v>-218366897.18729356</v>
      </c>
      <c r="Y113" s="7">
        <f t="shared" si="49"/>
        <v>-7762501.846699276</v>
      </c>
    </row>
    <row r="114" spans="5:25">
      <c r="E114">
        <v>111</v>
      </c>
      <c r="F114" s="2">
        <f t="shared" si="54"/>
        <v>142612800</v>
      </c>
      <c r="G114" s="2">
        <f t="shared" si="55"/>
        <v>19600000</v>
      </c>
      <c r="H114" s="2">
        <f t="shared" si="32"/>
        <v>123012800</v>
      </c>
      <c r="I114" s="2">
        <f t="shared" si="52"/>
        <v>22051147.837936003</v>
      </c>
      <c r="J114" s="2">
        <f t="shared" si="53"/>
        <v>6615344.3513808008</v>
      </c>
      <c r="K114" s="2">
        <f t="shared" si="37"/>
        <v>116397455.6486192</v>
      </c>
      <c r="L114" s="2">
        <f t="shared" si="51"/>
        <v>1984770.9413699061</v>
      </c>
      <c r="M114" s="2">
        <f t="shared" si="41"/>
        <v>121028029.05863009</v>
      </c>
      <c r="N114" s="2">
        <f t="shared" si="48"/>
        <v>4173750.3098758105</v>
      </c>
      <c r="P114">
        <v>111</v>
      </c>
      <c r="Q114" s="7">
        <v>0</v>
      </c>
      <c r="R114" s="7">
        <v>0</v>
      </c>
      <c r="S114" s="3">
        <f t="shared" si="34"/>
        <v>0</v>
      </c>
      <c r="T114" s="3">
        <f>$C$12</f>
        <v>366800000</v>
      </c>
      <c r="U114" s="7">
        <f t="shared" ref="U114:U145" si="56">T114*$B$29</f>
        <v>91700000</v>
      </c>
      <c r="V114" s="7">
        <f t="shared" si="38"/>
        <v>-91700000</v>
      </c>
      <c r="W114" s="7">
        <f t="shared" si="50"/>
        <v>-24759000</v>
      </c>
      <c r="X114" s="11">
        <f t="shared" si="40"/>
        <v>0</v>
      </c>
      <c r="Y114" s="7">
        <f t="shared" si="49"/>
        <v>0</v>
      </c>
    </row>
    <row r="115" spans="5:25">
      <c r="E115">
        <v>112</v>
      </c>
      <c r="F115" s="2">
        <f t="shared" si="54"/>
        <v>142612800</v>
      </c>
      <c r="G115" s="2">
        <f t="shared" si="55"/>
        <v>19600000</v>
      </c>
      <c r="H115" s="2">
        <f t="shared" si="32"/>
        <v>123012800</v>
      </c>
      <c r="I115" s="2">
        <f t="shared" si="52"/>
        <v>15435803.486555202</v>
      </c>
      <c r="J115" s="2">
        <f t="shared" si="53"/>
        <v>4630741.04596656</v>
      </c>
      <c r="K115" s="2">
        <f t="shared" si="37"/>
        <v>118382058.95403343</v>
      </c>
      <c r="L115" s="2">
        <f t="shared" si="51"/>
        <v>31963155.917589031</v>
      </c>
      <c r="M115" s="2">
        <f t="shared" si="41"/>
        <v>91049644.082410961</v>
      </c>
      <c r="N115" s="2">
        <f t="shared" si="48"/>
        <v>3046101.3283933694</v>
      </c>
      <c r="P115">
        <v>112</v>
      </c>
      <c r="Q115" s="7">
        <v>0</v>
      </c>
      <c r="R115" s="7">
        <v>0</v>
      </c>
      <c r="S115" s="3">
        <f t="shared" si="34"/>
        <v>0</v>
      </c>
      <c r="T115" s="7">
        <f>T114-U114</f>
        <v>275100000</v>
      </c>
      <c r="U115" s="7">
        <f t="shared" si="56"/>
        <v>68775000</v>
      </c>
      <c r="V115" s="7">
        <f t="shared" si="38"/>
        <v>-68775000</v>
      </c>
      <c r="W115" s="7">
        <f t="shared" si="50"/>
        <v>-43328250</v>
      </c>
      <c r="X115" s="11">
        <f t="shared" si="40"/>
        <v>0</v>
      </c>
      <c r="Y115" s="7">
        <f t="shared" si="49"/>
        <v>0</v>
      </c>
    </row>
    <row r="116" spans="5:25">
      <c r="E116">
        <v>113</v>
      </c>
      <c r="F116" s="2">
        <f t="shared" si="54"/>
        <v>142612800</v>
      </c>
      <c r="G116" s="2">
        <f t="shared" si="55"/>
        <v>19600000</v>
      </c>
      <c r="H116" s="2">
        <f t="shared" si="32"/>
        <v>123012800</v>
      </c>
      <c r="I116" s="2">
        <f t="shared" si="52"/>
        <v>10805062.440588642</v>
      </c>
      <c r="J116" s="2">
        <f t="shared" si="53"/>
        <v>3241518.7321765926</v>
      </c>
      <c r="K116" s="2">
        <f t="shared" si="37"/>
        <v>119771281.26782341</v>
      </c>
      <c r="L116" s="2">
        <f t="shared" si="51"/>
        <v>32338245.942312323</v>
      </c>
      <c r="M116" s="2">
        <f t="shared" si="41"/>
        <v>90674554.05768767</v>
      </c>
      <c r="N116" s="2">
        <f t="shared" si="48"/>
        <v>2942910.8900164561</v>
      </c>
      <c r="P116">
        <v>113</v>
      </c>
      <c r="Q116" s="7">
        <v>0</v>
      </c>
      <c r="R116" s="7">
        <v>0</v>
      </c>
      <c r="S116" s="3">
        <f t="shared" si="34"/>
        <v>0</v>
      </c>
      <c r="T116" s="7">
        <f t="shared" ref="T116:T168" si="57">T115-U115</f>
        <v>206325000</v>
      </c>
      <c r="U116" s="7">
        <f t="shared" si="56"/>
        <v>51581250</v>
      </c>
      <c r="V116" s="7">
        <f t="shared" si="38"/>
        <v>-51581250</v>
      </c>
      <c r="W116" s="7">
        <f t="shared" si="50"/>
        <v>-57255187.5</v>
      </c>
      <c r="X116" s="11">
        <f t="shared" si="40"/>
        <v>0</v>
      </c>
      <c r="Y116" s="7">
        <f t="shared" si="49"/>
        <v>0</v>
      </c>
    </row>
    <row r="117" spans="5:25">
      <c r="E117">
        <v>114</v>
      </c>
      <c r="F117" s="2">
        <f t="shared" si="54"/>
        <v>142612800</v>
      </c>
      <c r="G117" s="2">
        <f t="shared" si="55"/>
        <v>19600000</v>
      </c>
      <c r="H117" s="2">
        <f t="shared" si="32"/>
        <v>123012800</v>
      </c>
      <c r="I117" s="2">
        <f t="shared" si="52"/>
        <v>7563543.7084120493</v>
      </c>
      <c r="J117" s="2">
        <f t="shared" si="53"/>
        <v>2269063.1125236149</v>
      </c>
      <c r="K117" s="2">
        <f t="shared" si="37"/>
        <v>120743736.88747638</v>
      </c>
      <c r="L117" s="2">
        <f t="shared" si="51"/>
        <v>32600808.959618624</v>
      </c>
      <c r="M117" s="2">
        <f t="shared" si="41"/>
        <v>90411991.040381372</v>
      </c>
      <c r="N117" s="2">
        <f t="shared" si="48"/>
        <v>2846710.5255095684</v>
      </c>
      <c r="P117">
        <v>114</v>
      </c>
      <c r="Q117" s="7">
        <v>0</v>
      </c>
      <c r="R117" s="7">
        <v>0</v>
      </c>
      <c r="S117" s="3">
        <f t="shared" si="34"/>
        <v>0</v>
      </c>
      <c r="T117" s="7">
        <f t="shared" si="57"/>
        <v>154743750</v>
      </c>
      <c r="U117" s="7">
        <f t="shared" si="56"/>
        <v>38685937.5</v>
      </c>
      <c r="V117" s="7">
        <f t="shared" si="38"/>
        <v>-38685937.5</v>
      </c>
      <c r="W117" s="7">
        <f t="shared" si="50"/>
        <v>-67700390.625</v>
      </c>
      <c r="X117" s="11">
        <f t="shared" si="40"/>
        <v>0</v>
      </c>
      <c r="Y117" s="7">
        <f t="shared" si="49"/>
        <v>0</v>
      </c>
    </row>
    <row r="118" spans="5:25">
      <c r="E118">
        <v>115</v>
      </c>
      <c r="F118" s="2">
        <f t="shared" si="54"/>
        <v>142612800</v>
      </c>
      <c r="G118" s="2">
        <f t="shared" si="55"/>
        <v>19600000</v>
      </c>
      <c r="H118" s="2">
        <f t="shared" si="32"/>
        <v>123012800</v>
      </c>
      <c r="I118" s="2">
        <f t="shared" si="52"/>
        <v>5294480.595888434</v>
      </c>
      <c r="J118" s="2">
        <f t="shared" si="53"/>
        <v>1588344.1787665302</v>
      </c>
      <c r="K118" s="2">
        <f t="shared" si="37"/>
        <v>121424455.82123347</v>
      </c>
      <c r="L118" s="2">
        <f t="shared" si="51"/>
        <v>32784603.071733039</v>
      </c>
      <c r="M118" s="2">
        <f t="shared" si="41"/>
        <v>90228196.928266957</v>
      </c>
      <c r="N118" s="2">
        <f t="shared" si="48"/>
        <v>2756037.6280472479</v>
      </c>
      <c r="P118">
        <v>115</v>
      </c>
      <c r="Q118" s="7">
        <v>0</v>
      </c>
      <c r="R118" s="7">
        <v>0</v>
      </c>
      <c r="S118" s="3">
        <f t="shared" si="34"/>
        <v>0</v>
      </c>
      <c r="T118" s="7">
        <f t="shared" si="57"/>
        <v>116057812.5</v>
      </c>
      <c r="U118" s="7">
        <f t="shared" si="56"/>
        <v>29014453.125</v>
      </c>
      <c r="V118" s="7">
        <f t="shared" si="38"/>
        <v>-29014453.125</v>
      </c>
      <c r="W118" s="7">
        <f t="shared" si="50"/>
        <v>-75534292.96875</v>
      </c>
      <c r="X118" s="11">
        <f t="shared" si="40"/>
        <v>0</v>
      </c>
      <c r="Y118" s="7">
        <f t="shared" si="49"/>
        <v>0</v>
      </c>
    </row>
    <row r="119" spans="5:25">
      <c r="E119">
        <v>116</v>
      </c>
      <c r="F119" s="2">
        <f t="shared" si="54"/>
        <v>142612800</v>
      </c>
      <c r="G119" s="2">
        <f t="shared" si="55"/>
        <v>19600000</v>
      </c>
      <c r="H119" s="2">
        <f t="shared" si="32"/>
        <v>123012800</v>
      </c>
      <c r="I119" s="2">
        <f t="shared" si="52"/>
        <v>3706136.417121904</v>
      </c>
      <c r="J119" s="2">
        <f t="shared" si="53"/>
        <v>1111840.9251365711</v>
      </c>
      <c r="K119" s="2">
        <f t="shared" si="37"/>
        <v>121900959.07486343</v>
      </c>
      <c r="L119" s="2">
        <f t="shared" si="51"/>
        <v>32913258.950213131</v>
      </c>
      <c r="M119" s="2">
        <f t="shared" si="41"/>
        <v>90099541.049786866</v>
      </c>
      <c r="N119" s="2">
        <f t="shared" si="48"/>
        <v>2669875.6397901718</v>
      </c>
      <c r="P119">
        <v>116</v>
      </c>
      <c r="Q119" s="3">
        <f t="shared" ref="Q119:Q168" si="58">$C$11</f>
        <v>335332800</v>
      </c>
      <c r="R119" s="6">
        <f>$C$13+$C$6*$A$18*$C$10+50*'Carbon Tax'!$B$6</f>
        <v>131999782.44834734</v>
      </c>
      <c r="S119" s="3">
        <f t="shared" si="34"/>
        <v>203333017.55165267</v>
      </c>
      <c r="T119" s="7">
        <f t="shared" si="57"/>
        <v>87043359.375</v>
      </c>
      <c r="U119" s="7">
        <f t="shared" si="56"/>
        <v>21760839.84375</v>
      </c>
      <c r="V119" s="7">
        <f t="shared" si="38"/>
        <v>181572177.70790267</v>
      </c>
      <c r="W119" s="7">
        <f t="shared" si="50"/>
        <v>-26509804.987616278</v>
      </c>
      <c r="X119" s="11">
        <f t="shared" si="40"/>
        <v>203333017.55165267</v>
      </c>
      <c r="Y119" s="7">
        <f t="shared" si="49"/>
        <v>6025267.875961829</v>
      </c>
    </row>
    <row r="120" spans="5:25">
      <c r="E120">
        <v>117</v>
      </c>
      <c r="F120" s="2">
        <f t="shared" si="54"/>
        <v>142612800</v>
      </c>
      <c r="G120" s="2">
        <f t="shared" si="55"/>
        <v>19600000</v>
      </c>
      <c r="H120" s="2">
        <f t="shared" si="32"/>
        <v>123012800</v>
      </c>
      <c r="I120" s="2">
        <f t="shared" si="52"/>
        <v>2594295.4919853332</v>
      </c>
      <c r="J120" s="2">
        <f t="shared" si="53"/>
        <v>778288.64759559988</v>
      </c>
      <c r="K120" s="2">
        <f t="shared" si="37"/>
        <v>122234511.3524044</v>
      </c>
      <c r="L120" s="2">
        <f t="shared" si="51"/>
        <v>33003318.065149192</v>
      </c>
      <c r="M120" s="2">
        <f t="shared" si="41"/>
        <v>90009481.934850812</v>
      </c>
      <c r="N120" s="2">
        <f t="shared" si="48"/>
        <v>2587511.6046542884</v>
      </c>
      <c r="P120">
        <v>117</v>
      </c>
      <c r="Q120" s="3">
        <f t="shared" si="58"/>
        <v>335332800</v>
      </c>
      <c r="R120" s="6">
        <f>$C$13+$C$6*$A$18*$C$10+50*'Carbon Tax'!$B$6</f>
        <v>131999782.44834734</v>
      </c>
      <c r="S120" s="3">
        <f t="shared" si="34"/>
        <v>203333017.55165267</v>
      </c>
      <c r="T120" s="7">
        <f t="shared" si="57"/>
        <v>65282519.53125</v>
      </c>
      <c r="U120" s="7">
        <f t="shared" si="56"/>
        <v>16320629.8828125</v>
      </c>
      <c r="V120" s="7">
        <f t="shared" si="38"/>
        <v>187012387.66884017</v>
      </c>
      <c r="W120" s="7">
        <f t="shared" si="50"/>
        <v>23983539.682970569</v>
      </c>
      <c r="X120" s="11">
        <f t="shared" si="40"/>
        <v>179349477.86868209</v>
      </c>
      <c r="Y120" s="7">
        <f t="shared" si="49"/>
        <v>5155777.428091377</v>
      </c>
    </row>
    <row r="121" spans="5:25">
      <c r="E121">
        <v>118</v>
      </c>
      <c r="F121" s="2">
        <f t="shared" si="54"/>
        <v>142612800</v>
      </c>
      <c r="G121" s="2">
        <f t="shared" si="55"/>
        <v>19600000</v>
      </c>
      <c r="H121" s="2">
        <f t="shared" si="32"/>
        <v>123012800</v>
      </c>
      <c r="I121" s="2">
        <f t="shared" si="52"/>
        <v>1816006.8443897334</v>
      </c>
      <c r="J121" s="2">
        <f t="shared" si="53"/>
        <v>544802.05331691995</v>
      </c>
      <c r="K121" s="2">
        <f t="shared" si="37"/>
        <v>122467997.94668308</v>
      </c>
      <c r="L121" s="2">
        <f t="shared" si="51"/>
        <v>33066359.445604432</v>
      </c>
      <c r="M121" s="2">
        <f t="shared" si="41"/>
        <v>89946440.554395571</v>
      </c>
      <c r="N121" s="2">
        <f t="shared" si="48"/>
        <v>2508439.4138219105</v>
      </c>
      <c r="P121">
        <v>118</v>
      </c>
      <c r="Q121" s="3">
        <f t="shared" si="58"/>
        <v>335332800</v>
      </c>
      <c r="R121" s="6">
        <f>$C$13+$C$6*$A$18*$C$10+50*'Carbon Tax'!$B$6</f>
        <v>131999782.44834734</v>
      </c>
      <c r="S121" s="3">
        <f t="shared" si="34"/>
        <v>203333017.55165267</v>
      </c>
      <c r="T121" s="7">
        <f t="shared" si="57"/>
        <v>48961889.6484375</v>
      </c>
      <c r="U121" s="7">
        <f t="shared" si="56"/>
        <v>12240472.412109375</v>
      </c>
      <c r="V121" s="7">
        <f t="shared" si="38"/>
        <v>191092545.13954329</v>
      </c>
      <c r="W121" s="7">
        <f t="shared" si="50"/>
        <v>51594987.187676691</v>
      </c>
      <c r="X121" s="11">
        <f t="shared" si="40"/>
        <v>151738030.36397597</v>
      </c>
      <c r="Y121" s="7">
        <f t="shared" si="49"/>
        <v>4231692.2559099803</v>
      </c>
    </row>
    <row r="122" spans="5:25">
      <c r="E122">
        <v>119</v>
      </c>
      <c r="F122" s="2">
        <f t="shared" si="54"/>
        <v>142612800</v>
      </c>
      <c r="G122" s="2">
        <f t="shared" si="55"/>
        <v>19600000</v>
      </c>
      <c r="H122" s="2">
        <f t="shared" si="32"/>
        <v>123012800</v>
      </c>
      <c r="I122" s="2">
        <f t="shared" si="52"/>
        <v>1271204.7910728133</v>
      </c>
      <c r="J122" s="2">
        <f t="shared" si="53"/>
        <v>381361.43732184399</v>
      </c>
      <c r="K122" s="2">
        <f t="shared" si="37"/>
        <v>122631438.56267816</v>
      </c>
      <c r="L122" s="2">
        <f t="shared" si="51"/>
        <v>33110488.411923107</v>
      </c>
      <c r="M122" s="2">
        <f t="shared" si="41"/>
        <v>89902311.58807689</v>
      </c>
      <c r="N122" s="2">
        <f t="shared" si="48"/>
        <v>2432294.081094454</v>
      </c>
      <c r="P122">
        <v>119</v>
      </c>
      <c r="Q122" s="3">
        <f t="shared" si="58"/>
        <v>335332800</v>
      </c>
      <c r="R122" s="6">
        <f>$C$13+$C$6*$A$18*$C$10+50*'Carbon Tax'!$B$6</f>
        <v>131999782.44834734</v>
      </c>
      <c r="S122" s="3">
        <f t="shared" si="34"/>
        <v>203333017.55165267</v>
      </c>
      <c r="T122" s="7">
        <f t="shared" si="57"/>
        <v>36721417.236328125</v>
      </c>
      <c r="U122" s="7">
        <f t="shared" si="56"/>
        <v>9180354.3090820313</v>
      </c>
      <c r="V122" s="7">
        <f t="shared" si="38"/>
        <v>194152663.24257064</v>
      </c>
      <c r="W122" s="7">
        <f t="shared" si="50"/>
        <v>52421219.075494073</v>
      </c>
      <c r="X122" s="11">
        <f t="shared" si="40"/>
        <v>150911798.47615859</v>
      </c>
      <c r="Y122" s="7">
        <f t="shared" si="49"/>
        <v>4082896.9546714132</v>
      </c>
    </row>
    <row r="123" spans="5:25">
      <c r="E123">
        <v>120</v>
      </c>
      <c r="F123" s="2">
        <f t="shared" si="54"/>
        <v>142612800</v>
      </c>
      <c r="G123" s="2">
        <f t="shared" si="55"/>
        <v>19600000</v>
      </c>
      <c r="H123" s="2">
        <f t="shared" si="32"/>
        <v>123012800</v>
      </c>
      <c r="I123" s="2">
        <f t="shared" si="52"/>
        <v>889843.35375096928</v>
      </c>
      <c r="J123" s="2">
        <f t="shared" si="53"/>
        <v>266953.00612529076</v>
      </c>
      <c r="K123" s="2">
        <f t="shared" si="37"/>
        <v>122745846.99387471</v>
      </c>
      <c r="L123" s="2">
        <f t="shared" si="51"/>
        <v>33141378.688346174</v>
      </c>
      <c r="M123" s="2">
        <f t="shared" si="41"/>
        <v>89871421.311653823</v>
      </c>
      <c r="N123" s="2">
        <f t="shared" si="48"/>
        <v>2358807.0907241851</v>
      </c>
      <c r="P123">
        <v>120</v>
      </c>
      <c r="Q123" s="3">
        <f t="shared" si="58"/>
        <v>335332800</v>
      </c>
      <c r="R123" s="6">
        <f>$C$13+$C$6*$A$18*$C$10+50*'Carbon Tax'!$B$6</f>
        <v>131999782.44834734</v>
      </c>
      <c r="S123" s="3">
        <f t="shared" si="34"/>
        <v>203333017.55165267</v>
      </c>
      <c r="T123" s="7">
        <f t="shared" si="57"/>
        <v>27541062.927246094</v>
      </c>
      <c r="U123" s="7">
        <f t="shared" si="56"/>
        <v>6885265.7318115234</v>
      </c>
      <c r="V123" s="7">
        <f t="shared" si="38"/>
        <v>196447751.81984115</v>
      </c>
      <c r="W123" s="7">
        <f t="shared" si="50"/>
        <v>53040892.99135711</v>
      </c>
      <c r="X123" s="11">
        <f t="shared" si="40"/>
        <v>150292124.56029555</v>
      </c>
      <c r="Y123" s="7">
        <f t="shared" si="49"/>
        <v>3944636.9481958724</v>
      </c>
    </row>
    <row r="124" spans="5:25">
      <c r="E124">
        <v>121</v>
      </c>
      <c r="F124" s="2">
        <f t="shared" si="54"/>
        <v>142612800</v>
      </c>
      <c r="G124" s="2">
        <f t="shared" si="55"/>
        <v>19600000</v>
      </c>
      <c r="H124" s="2">
        <f t="shared" si="32"/>
        <v>123012800</v>
      </c>
      <c r="I124" s="2">
        <f t="shared" si="52"/>
        <v>622890.34762567852</v>
      </c>
      <c r="J124" s="2">
        <f t="shared" si="53"/>
        <v>186867.10428770355</v>
      </c>
      <c r="K124" s="2">
        <f t="shared" si="37"/>
        <v>122825932.8957123</v>
      </c>
      <c r="L124" s="2">
        <f t="shared" si="51"/>
        <v>33163001.881842323</v>
      </c>
      <c r="M124" s="2">
        <f t="shared" si="41"/>
        <v>89849798.118157685</v>
      </c>
      <c r="N124" s="2">
        <f t="shared" si="48"/>
        <v>2287776.0558192576</v>
      </c>
      <c r="P124">
        <v>121</v>
      </c>
      <c r="Q124" s="3">
        <f t="shared" si="58"/>
        <v>335332800</v>
      </c>
      <c r="R124" s="6">
        <f>$C$13+$C$6*$A$18*$C$10+50*'Carbon Tax'!$B$6</f>
        <v>131999782.44834734</v>
      </c>
      <c r="S124" s="3">
        <f t="shared" si="34"/>
        <v>203333017.55165267</v>
      </c>
      <c r="T124" s="7">
        <f t="shared" si="57"/>
        <v>20655797.19543457</v>
      </c>
      <c r="U124" s="7">
        <f t="shared" si="56"/>
        <v>5163949.2988586426</v>
      </c>
      <c r="V124" s="7">
        <f t="shared" si="38"/>
        <v>198169068.25279403</v>
      </c>
      <c r="W124" s="7">
        <f t="shared" si="50"/>
        <v>53505648.428254388</v>
      </c>
      <c r="X124" s="11">
        <f t="shared" si="40"/>
        <v>149827369.12339827</v>
      </c>
      <c r="Y124" s="7">
        <f t="shared" si="49"/>
        <v>3814938.6505703637</v>
      </c>
    </row>
    <row r="125" spans="5:25">
      <c r="E125">
        <v>122</v>
      </c>
      <c r="F125" s="2">
        <f t="shared" si="54"/>
        <v>142612800</v>
      </c>
      <c r="G125" s="2">
        <f t="shared" si="55"/>
        <v>19600000</v>
      </c>
      <c r="H125" s="2">
        <f t="shared" si="32"/>
        <v>123012800</v>
      </c>
      <c r="I125" s="2">
        <f t="shared" si="52"/>
        <v>436023.243337975</v>
      </c>
      <c r="J125" s="2">
        <f t="shared" si="53"/>
        <v>130806.9730013925</v>
      </c>
      <c r="K125" s="2">
        <f t="shared" si="37"/>
        <v>122881993.02699861</v>
      </c>
      <c r="L125" s="2">
        <f t="shared" si="51"/>
        <v>33178138.117289625</v>
      </c>
      <c r="M125" s="2">
        <f t="shared" si="41"/>
        <v>89834661.882710367</v>
      </c>
      <c r="N125" s="2">
        <f t="shared" si="48"/>
        <v>2219044.0954011329</v>
      </c>
      <c r="P125">
        <v>122</v>
      </c>
      <c r="Q125" s="3">
        <f t="shared" si="58"/>
        <v>335332800</v>
      </c>
      <c r="R125" s="6">
        <f>$C$13+$C$6*$A$18*$C$10+50*'Carbon Tax'!$B$6</f>
        <v>131999782.44834734</v>
      </c>
      <c r="S125" s="3">
        <f t="shared" si="34"/>
        <v>203333017.55165267</v>
      </c>
      <c r="T125" s="7">
        <f t="shared" si="57"/>
        <v>15491847.896575928</v>
      </c>
      <c r="U125" s="7">
        <f t="shared" si="56"/>
        <v>3872961.9741439819</v>
      </c>
      <c r="V125" s="7">
        <f t="shared" si="38"/>
        <v>199460055.57750869</v>
      </c>
      <c r="W125" s="7">
        <f t="shared" si="50"/>
        <v>53854215.005927347</v>
      </c>
      <c r="X125" s="11">
        <f t="shared" si="40"/>
        <v>149478802.54572532</v>
      </c>
      <c r="Y125" s="7">
        <f t="shared" si="49"/>
        <v>3692339.3178659338</v>
      </c>
    </row>
    <row r="126" spans="5:25">
      <c r="E126">
        <v>123</v>
      </c>
      <c r="F126" s="2">
        <f t="shared" si="54"/>
        <v>142612800</v>
      </c>
      <c r="G126" s="2">
        <f t="shared" si="55"/>
        <v>19600000</v>
      </c>
      <c r="H126" s="2">
        <f t="shared" si="32"/>
        <v>123012800</v>
      </c>
      <c r="I126" s="2">
        <f t="shared" si="52"/>
        <v>305216.2703365825</v>
      </c>
      <c r="J126" s="2">
        <f t="shared" si="53"/>
        <v>91564.881100974744</v>
      </c>
      <c r="K126" s="2">
        <f t="shared" si="37"/>
        <v>122921235.11889903</v>
      </c>
      <c r="L126" s="2">
        <f t="shared" si="51"/>
        <v>33188733.482102741</v>
      </c>
      <c r="M126" s="2">
        <f t="shared" si="41"/>
        <v>89824066.517897263</v>
      </c>
      <c r="N126" s="2">
        <f t="shared" si="48"/>
        <v>2152485.8117964836</v>
      </c>
      <c r="P126">
        <v>123</v>
      </c>
      <c r="Q126" s="3">
        <f t="shared" si="58"/>
        <v>335332800</v>
      </c>
      <c r="R126" s="6">
        <f>$C$13+$C$6*$A$18*$C$10+50*'Carbon Tax'!$B$6</f>
        <v>131999782.44834734</v>
      </c>
      <c r="S126" s="3">
        <f t="shared" si="34"/>
        <v>203333017.55165267</v>
      </c>
      <c r="T126" s="7">
        <f t="shared" si="57"/>
        <v>11618885.922431946</v>
      </c>
      <c r="U126" s="7">
        <f t="shared" si="56"/>
        <v>2904721.4806079865</v>
      </c>
      <c r="V126" s="7">
        <f t="shared" si="38"/>
        <v>200428296.07104468</v>
      </c>
      <c r="W126" s="7">
        <f t="shared" si="50"/>
        <v>54115639.939182065</v>
      </c>
      <c r="X126" s="11">
        <f t="shared" si="40"/>
        <v>149217377.6124706</v>
      </c>
      <c r="Y126" s="7">
        <f t="shared" si="49"/>
        <v>3575748.6900275783</v>
      </c>
    </row>
    <row r="127" spans="5:25">
      <c r="E127">
        <v>124</v>
      </c>
      <c r="F127" s="2">
        <f t="shared" si="54"/>
        <v>142612800</v>
      </c>
      <c r="G127" s="2">
        <f t="shared" si="55"/>
        <v>19600000</v>
      </c>
      <c r="H127" s="2">
        <f t="shared" si="32"/>
        <v>123012800</v>
      </c>
      <c r="I127" s="2">
        <f t="shared" si="52"/>
        <v>213651.38923560776</v>
      </c>
      <c r="J127" s="2">
        <f t="shared" si="53"/>
        <v>64095.416770682321</v>
      </c>
      <c r="K127" s="2">
        <f t="shared" si="37"/>
        <v>122948704.58322932</v>
      </c>
      <c r="L127" s="2">
        <f t="shared" si="51"/>
        <v>33196150.23747192</v>
      </c>
      <c r="M127" s="2">
        <f t="shared" si="41"/>
        <v>89816649.762528077</v>
      </c>
      <c r="N127" s="2">
        <f t="shared" si="48"/>
        <v>2087997.7507466308</v>
      </c>
      <c r="P127">
        <v>124</v>
      </c>
      <c r="Q127" s="3">
        <f t="shared" si="58"/>
        <v>335332800</v>
      </c>
      <c r="R127" s="6">
        <f>$C$13+$C$6*$A$18*$C$10+50*'Carbon Tax'!$B$6</f>
        <v>131999782.44834734</v>
      </c>
      <c r="S127" s="3">
        <f t="shared" si="34"/>
        <v>203333017.55165267</v>
      </c>
      <c r="T127" s="7">
        <f t="shared" si="57"/>
        <v>8714164.4418239594</v>
      </c>
      <c r="U127" s="7">
        <f t="shared" si="56"/>
        <v>2178541.1104559898</v>
      </c>
      <c r="V127" s="7">
        <f t="shared" si="38"/>
        <v>201154476.44119668</v>
      </c>
      <c r="W127" s="7">
        <f t="shared" si="50"/>
        <v>54311708.639123105</v>
      </c>
      <c r="X127" s="11">
        <f t="shared" si="40"/>
        <v>149021308.91252956</v>
      </c>
      <c r="Y127" s="7">
        <f t="shared" si="49"/>
        <v>3464348.2989553274</v>
      </c>
    </row>
    <row r="128" spans="5:25">
      <c r="E128">
        <v>125</v>
      </c>
      <c r="F128" s="2">
        <f t="shared" si="54"/>
        <v>142612800</v>
      </c>
      <c r="G128" s="2">
        <f t="shared" si="55"/>
        <v>19600000</v>
      </c>
      <c r="H128" s="2">
        <f t="shared" si="32"/>
        <v>123012800</v>
      </c>
      <c r="I128" s="2">
        <f t="shared" si="52"/>
        <v>149555.97246492543</v>
      </c>
      <c r="J128" s="2">
        <f t="shared" si="53"/>
        <v>44866.79173947763</v>
      </c>
      <c r="K128" s="2">
        <f t="shared" si="37"/>
        <v>122967933.20826052</v>
      </c>
      <c r="L128" s="2">
        <f t="shared" si="51"/>
        <v>33201341.966230344</v>
      </c>
      <c r="M128" s="2">
        <f t="shared" si="41"/>
        <v>89811458.033769652</v>
      </c>
      <c r="N128" s="2">
        <f t="shared" si="48"/>
        <v>2025491.9061783643</v>
      </c>
      <c r="P128">
        <v>125</v>
      </c>
      <c r="Q128" s="3">
        <f t="shared" si="58"/>
        <v>335332800</v>
      </c>
      <c r="R128" s="6">
        <f>$C$13+$C$6*$A$18*$C$10+50*'Carbon Tax'!$B$6</f>
        <v>131999782.44834734</v>
      </c>
      <c r="S128" s="3">
        <f t="shared" si="34"/>
        <v>203333017.55165267</v>
      </c>
      <c r="T128" s="7">
        <f t="shared" si="57"/>
        <v>6535623.3313679695</v>
      </c>
      <c r="U128" s="7">
        <f t="shared" si="56"/>
        <v>1633905.8328419924</v>
      </c>
      <c r="V128" s="7">
        <f t="shared" si="38"/>
        <v>201699111.71881068</v>
      </c>
      <c r="W128" s="7">
        <f t="shared" si="50"/>
        <v>54458760.164078884</v>
      </c>
      <c r="X128" s="11">
        <f t="shared" si="40"/>
        <v>148874257.38757378</v>
      </c>
      <c r="Y128" s="7">
        <f t="shared" si="49"/>
        <v>3357518.1828521593</v>
      </c>
    </row>
    <row r="129" spans="5:25">
      <c r="E129">
        <v>126</v>
      </c>
      <c r="F129" s="2">
        <f t="shared" si="54"/>
        <v>142612800</v>
      </c>
      <c r="G129" s="2">
        <f t="shared" si="55"/>
        <v>19600000</v>
      </c>
      <c r="H129" s="2">
        <f t="shared" si="32"/>
        <v>123012800</v>
      </c>
      <c r="I129" s="2">
        <f t="shared" si="52"/>
        <v>104689.1807254478</v>
      </c>
      <c r="J129" s="2">
        <f t="shared" si="53"/>
        <v>31406.754217634341</v>
      </c>
      <c r="K129" s="2">
        <f t="shared" si="37"/>
        <v>122981393.24578236</v>
      </c>
      <c r="L129" s="2">
        <f t="shared" si="51"/>
        <v>33204976.17636124</v>
      </c>
      <c r="M129" s="2">
        <f t="shared" si="41"/>
        <v>89807823.823638767</v>
      </c>
      <c r="N129" s="2">
        <f t="shared" si="48"/>
        <v>1964891.2930593716</v>
      </c>
      <c r="P129">
        <v>126</v>
      </c>
      <c r="Q129" s="3">
        <f t="shared" si="58"/>
        <v>335332800</v>
      </c>
      <c r="R129" s="6">
        <f>$C$13+$C$6*$A$18*$C$10+50*'Carbon Tax'!$B$6</f>
        <v>131999782.44834734</v>
      </c>
      <c r="S129" s="3">
        <f t="shared" si="34"/>
        <v>203333017.55165267</v>
      </c>
      <c r="T129" s="7">
        <f t="shared" si="57"/>
        <v>4901717.4985259771</v>
      </c>
      <c r="U129" s="7">
        <f t="shared" si="56"/>
        <v>1225429.3746314943</v>
      </c>
      <c r="V129" s="7">
        <f t="shared" si="38"/>
        <v>202107588.17702118</v>
      </c>
      <c r="W129" s="7">
        <f t="shared" si="50"/>
        <v>54569048.807795718</v>
      </c>
      <c r="X129" s="11">
        <f t="shared" si="40"/>
        <v>148763968.74385697</v>
      </c>
      <c r="Y129" s="7">
        <f t="shared" si="49"/>
        <v>3254783.5417967448</v>
      </c>
    </row>
    <row r="130" spans="5:25">
      <c r="E130">
        <v>127</v>
      </c>
      <c r="F130" s="2">
        <f t="shared" si="54"/>
        <v>142612800</v>
      </c>
      <c r="G130" s="2">
        <f t="shared" si="55"/>
        <v>19600000</v>
      </c>
      <c r="H130" s="2">
        <f t="shared" si="32"/>
        <v>123012800</v>
      </c>
      <c r="I130" s="2">
        <f t="shared" si="52"/>
        <v>73282.426507813463</v>
      </c>
      <c r="J130" s="2">
        <f t="shared" si="53"/>
        <v>21984.727952344037</v>
      </c>
      <c r="K130" s="2">
        <f t="shared" si="37"/>
        <v>122990815.27204765</v>
      </c>
      <c r="L130" s="2">
        <f t="shared" si="51"/>
        <v>33207520.123452868</v>
      </c>
      <c r="M130" s="2">
        <f t="shared" si="41"/>
        <v>89805279.876547128</v>
      </c>
      <c r="N130" s="2">
        <f t="shared" si="48"/>
        <v>1906126.9251454365</v>
      </c>
      <c r="P130">
        <v>127</v>
      </c>
      <c r="Q130" s="3">
        <f t="shared" si="58"/>
        <v>335332800</v>
      </c>
      <c r="R130" s="6">
        <f>$C$13+$C$6*$A$18*$C$10+50*'Carbon Tax'!$B$6</f>
        <v>131999782.44834734</v>
      </c>
      <c r="S130" s="3">
        <f t="shared" si="34"/>
        <v>203333017.55165267</v>
      </c>
      <c r="T130" s="7">
        <f t="shared" si="57"/>
        <v>3676288.1238944829</v>
      </c>
      <c r="U130" s="7">
        <f t="shared" si="56"/>
        <v>919072.03097362071</v>
      </c>
      <c r="V130" s="7">
        <f t="shared" si="38"/>
        <v>202413945.52067906</v>
      </c>
      <c r="W130" s="7">
        <f t="shared" si="50"/>
        <v>54651765.29058335</v>
      </c>
      <c r="X130" s="11">
        <f t="shared" si="40"/>
        <v>148681252.26106933</v>
      </c>
      <c r="Y130" s="7">
        <f t="shared" si="49"/>
        <v>3155775.9030288048</v>
      </c>
    </row>
    <row r="131" spans="5:25">
      <c r="E131">
        <v>128</v>
      </c>
      <c r="F131" s="2">
        <f t="shared" si="54"/>
        <v>142612800</v>
      </c>
      <c r="G131" s="2">
        <f t="shared" si="55"/>
        <v>19600000</v>
      </c>
      <c r="H131" s="2">
        <f t="shared" ref="H131:H168" si="59">$F131-$G131</f>
        <v>123012800</v>
      </c>
      <c r="I131" s="2">
        <f t="shared" si="52"/>
        <v>51297.698555469426</v>
      </c>
      <c r="J131" s="2">
        <f t="shared" si="53"/>
        <v>15389.309566640826</v>
      </c>
      <c r="K131" s="2">
        <f t="shared" si="37"/>
        <v>122997410.69043335</v>
      </c>
      <c r="L131" s="2">
        <f t="shared" si="51"/>
        <v>33209300.886417009</v>
      </c>
      <c r="M131" s="2">
        <f t="shared" si="41"/>
        <v>89803499.113582999</v>
      </c>
      <c r="N131" s="2">
        <f t="shared" ref="N131:N162" si="60">M131/((1+$B$16)^E131)</f>
        <v>1849135.747240989</v>
      </c>
      <c r="P131">
        <v>128</v>
      </c>
      <c r="Q131" s="3">
        <f t="shared" si="58"/>
        <v>335332800</v>
      </c>
      <c r="R131" s="6">
        <f>$C$13+$C$6*$A$18*$C$10+50*'Carbon Tax'!$B$6</f>
        <v>131999782.44834734</v>
      </c>
      <c r="S131" s="3">
        <f t="shared" ref="S131:S168" si="61">Q131-R131</f>
        <v>203333017.55165267</v>
      </c>
      <c r="T131" s="7">
        <f t="shared" si="57"/>
        <v>2757216.0929208621</v>
      </c>
      <c r="U131" s="7">
        <f t="shared" si="56"/>
        <v>689304.02323021553</v>
      </c>
      <c r="V131" s="7">
        <f t="shared" si="38"/>
        <v>202643713.52842245</v>
      </c>
      <c r="W131" s="7">
        <f t="shared" si="50"/>
        <v>54713802.652674064</v>
      </c>
      <c r="X131" s="11">
        <f t="shared" si="40"/>
        <v>148619214.89897859</v>
      </c>
      <c r="Y131" s="7">
        <f t="shared" ref="Y131:Y162" si="62">X131/((1+$B$16)^P131)</f>
        <v>3060204.8440117533</v>
      </c>
    </row>
    <row r="132" spans="5:25">
      <c r="E132">
        <v>129</v>
      </c>
      <c r="F132" s="2">
        <f t="shared" si="54"/>
        <v>142612800</v>
      </c>
      <c r="G132" s="2">
        <f t="shared" si="55"/>
        <v>19600000</v>
      </c>
      <c r="H132" s="2">
        <f t="shared" si="59"/>
        <v>123012800</v>
      </c>
      <c r="I132" s="2">
        <f t="shared" si="52"/>
        <v>35908.388988828599</v>
      </c>
      <c r="J132" s="2">
        <f t="shared" si="53"/>
        <v>10772.516696648579</v>
      </c>
      <c r="K132" s="2">
        <f t="shared" ref="K132:K167" si="63">H132-J132</f>
        <v>123002027.48330335</v>
      </c>
      <c r="L132" s="2">
        <f t="shared" si="51"/>
        <v>33210547.420491908</v>
      </c>
      <c r="M132" s="2">
        <f t="shared" si="41"/>
        <v>89802252.579508096</v>
      </c>
      <c r="N132" s="2">
        <f t="shared" si="60"/>
        <v>1793859.2161140162</v>
      </c>
      <c r="P132">
        <v>129</v>
      </c>
      <c r="Q132" s="3">
        <f t="shared" si="58"/>
        <v>335332800</v>
      </c>
      <c r="R132" s="6">
        <f>$C$13+$C$6*$A$18*$C$10+50*'Carbon Tax'!$B$6</f>
        <v>131999782.44834734</v>
      </c>
      <c r="S132" s="3">
        <f t="shared" si="61"/>
        <v>203333017.55165267</v>
      </c>
      <c r="T132" s="7">
        <f t="shared" si="57"/>
        <v>2067912.0696906466</v>
      </c>
      <c r="U132" s="7">
        <f t="shared" si="56"/>
        <v>516978.01742266165</v>
      </c>
      <c r="V132" s="7">
        <f t="shared" ref="V132:V167" si="64">S132-U132</f>
        <v>202816039.53422999</v>
      </c>
      <c r="W132" s="7">
        <f t="shared" si="50"/>
        <v>54760330.674242102</v>
      </c>
      <c r="X132" s="11">
        <f t="shared" si="40"/>
        <v>148572686.87741056</v>
      </c>
      <c r="Y132" s="7">
        <f t="shared" si="62"/>
        <v>2967837.3978636875</v>
      </c>
    </row>
    <row r="133" spans="5:25">
      <c r="E133">
        <v>130</v>
      </c>
      <c r="F133" s="2">
        <f t="shared" si="54"/>
        <v>142612800</v>
      </c>
      <c r="G133" s="2">
        <f t="shared" si="55"/>
        <v>19600000</v>
      </c>
      <c r="H133" s="2">
        <f t="shared" si="59"/>
        <v>123012800</v>
      </c>
      <c r="I133" s="2">
        <f t="shared" si="52"/>
        <v>25135.872292180022</v>
      </c>
      <c r="J133" s="2">
        <f t="shared" si="53"/>
        <v>7540.761687654006</v>
      </c>
      <c r="K133" s="2">
        <f t="shared" si="63"/>
        <v>123005259.23831235</v>
      </c>
      <c r="L133" s="2">
        <f t="shared" si="51"/>
        <v>33211419.994344335</v>
      </c>
      <c r="M133" s="2">
        <f t="shared" si="41"/>
        <v>89801380.005655661</v>
      </c>
      <c r="N133" s="2">
        <f t="shared" si="60"/>
        <v>1740242.3223475823</v>
      </c>
      <c r="P133">
        <v>130</v>
      </c>
      <c r="Q133" s="3">
        <f t="shared" si="58"/>
        <v>335332800</v>
      </c>
      <c r="R133" s="6">
        <f>$C$13+$C$6*$A$18*$C$10+50*'Carbon Tax'!$B$6</f>
        <v>131999782.44834734</v>
      </c>
      <c r="S133" s="3">
        <f t="shared" si="61"/>
        <v>203333017.55165267</v>
      </c>
      <c r="T133" s="7">
        <f t="shared" si="57"/>
        <v>1550934.052267985</v>
      </c>
      <c r="U133" s="7">
        <f t="shared" si="56"/>
        <v>387733.51306699624</v>
      </c>
      <c r="V133" s="7">
        <f t="shared" si="64"/>
        <v>202945284.03858566</v>
      </c>
      <c r="W133" s="7">
        <f t="shared" ref="W133:W164" si="65">IF(W132&lt;0,V133*$B$15+W132,V133*$B$15)</f>
        <v>54795226.690418132</v>
      </c>
      <c r="X133" s="11">
        <f t="shared" ref="X133:X167" si="66">IF(W133&lt;0,S133,S133-W133)</f>
        <v>148537790.86123455</v>
      </c>
      <c r="Y133" s="7">
        <f t="shared" si="62"/>
        <v>2878483.0490183397</v>
      </c>
    </row>
    <row r="134" spans="5:25">
      <c r="E134">
        <v>131</v>
      </c>
      <c r="F134" s="2">
        <f t="shared" si="54"/>
        <v>142612800</v>
      </c>
      <c r="G134" s="2">
        <f t="shared" si="55"/>
        <v>19600000</v>
      </c>
      <c r="H134" s="2">
        <f t="shared" si="59"/>
        <v>123012800</v>
      </c>
      <c r="I134" s="2">
        <f t="shared" si="52"/>
        <v>17595.110604526017</v>
      </c>
      <c r="J134" s="2">
        <f t="shared" si="53"/>
        <v>5278.533181357805</v>
      </c>
      <c r="K134" s="2">
        <f t="shared" si="63"/>
        <v>123007521.46681865</v>
      </c>
      <c r="L134" s="2">
        <f t="shared" si="51"/>
        <v>33212030.796041038</v>
      </c>
      <c r="M134" s="2">
        <f t="shared" ref="M134:M167" si="67">IF(L134&lt;0,H134,H134-L134)</f>
        <v>89800769.203958958</v>
      </c>
      <c r="N134" s="2">
        <f t="shared" si="60"/>
        <v>1688232.9120568053</v>
      </c>
      <c r="P134">
        <v>131</v>
      </c>
      <c r="Q134" s="3">
        <f t="shared" si="58"/>
        <v>335332800</v>
      </c>
      <c r="R134" s="6">
        <f>$C$13+$C$6*$A$18*$C$10+50*'Carbon Tax'!$B$6</f>
        <v>131999782.44834734</v>
      </c>
      <c r="S134" s="3">
        <f t="shared" si="61"/>
        <v>203333017.55165267</v>
      </c>
      <c r="T134" s="7">
        <f t="shared" si="57"/>
        <v>1163200.5392009886</v>
      </c>
      <c r="U134" s="7">
        <f t="shared" si="56"/>
        <v>290800.13480024715</v>
      </c>
      <c r="V134" s="7">
        <f t="shared" si="64"/>
        <v>203042217.41685241</v>
      </c>
      <c r="W134" s="7">
        <f t="shared" si="65"/>
        <v>54821398.702550158</v>
      </c>
      <c r="X134" s="11">
        <f t="shared" si="66"/>
        <v>148511618.8491025</v>
      </c>
      <c r="Y134" s="7">
        <f t="shared" si="62"/>
        <v>2791982.7968782848</v>
      </c>
    </row>
    <row r="135" spans="5:25">
      <c r="E135">
        <v>132</v>
      </c>
      <c r="F135" s="2">
        <f t="shared" si="54"/>
        <v>142612800</v>
      </c>
      <c r="G135" s="2">
        <f>$B$13+$B$12</f>
        <v>1134800000</v>
      </c>
      <c r="H135" s="2">
        <f t="shared" si="59"/>
        <v>-992187200</v>
      </c>
      <c r="I135" s="2">
        <f t="shared" si="52"/>
        <v>12316.577423168212</v>
      </c>
      <c r="J135" s="13">
        <v>0</v>
      </c>
      <c r="K135" s="13">
        <f>H135-J135+$B$12+$B$14</f>
        <v>123012800</v>
      </c>
      <c r="L135" s="2">
        <f t="shared" si="51"/>
        <v>33213456.000000004</v>
      </c>
      <c r="M135" s="13">
        <f>IF(L135&lt;0,H135,H135-L135+$B$14)</f>
        <v>-1025400656</v>
      </c>
      <c r="N135" s="2">
        <f t="shared" si="60"/>
        <v>-18701286.64460798</v>
      </c>
      <c r="P135">
        <v>132</v>
      </c>
      <c r="Q135" s="3">
        <f t="shared" si="58"/>
        <v>335332800</v>
      </c>
      <c r="R135" s="6">
        <f>$C$13+$C$6*$A$18*$C$10+50*'Carbon Tax'!$B$6</f>
        <v>131999782.44834734</v>
      </c>
      <c r="S135" s="3">
        <f t="shared" si="61"/>
        <v>203333017.55165267</v>
      </c>
      <c r="T135" s="7">
        <f t="shared" si="57"/>
        <v>872400.40440074145</v>
      </c>
      <c r="U135" s="7">
        <f t="shared" si="56"/>
        <v>218100.10110018536</v>
      </c>
      <c r="V135" s="7">
        <f t="shared" si="64"/>
        <v>203114917.45055249</v>
      </c>
      <c r="W135" s="7">
        <f t="shared" si="65"/>
        <v>54841027.711649179</v>
      </c>
      <c r="X135" s="11">
        <f t="shared" si="66"/>
        <v>148491989.84000349</v>
      </c>
      <c r="Y135" s="7">
        <f t="shared" si="62"/>
        <v>2708201.1798772644</v>
      </c>
    </row>
    <row r="136" spans="5:25">
      <c r="E136">
        <v>133</v>
      </c>
      <c r="F136" s="2">
        <v>0</v>
      </c>
      <c r="G136" s="2">
        <v>0</v>
      </c>
      <c r="H136" s="2">
        <f t="shared" si="59"/>
        <v>0</v>
      </c>
      <c r="I136" s="2">
        <v>1115200000</v>
      </c>
      <c r="J136" s="2">
        <v>0</v>
      </c>
      <c r="K136" s="2">
        <f t="shared" si="63"/>
        <v>0</v>
      </c>
      <c r="L136" s="2">
        <f>K136*$B$15</f>
        <v>0</v>
      </c>
      <c r="M136" s="2">
        <f t="shared" si="67"/>
        <v>0</v>
      </c>
      <c r="N136" s="2">
        <f t="shared" si="60"/>
        <v>0</v>
      </c>
      <c r="P136">
        <v>133</v>
      </c>
      <c r="Q136" s="3">
        <f t="shared" si="58"/>
        <v>335332800</v>
      </c>
      <c r="R136" s="6">
        <f>$C$13+$C$6*$A$18*$C$10+50*'Carbon Tax'!$B$6</f>
        <v>131999782.44834734</v>
      </c>
      <c r="S136" s="3">
        <f t="shared" si="61"/>
        <v>203333017.55165267</v>
      </c>
      <c r="T136" s="7">
        <f t="shared" si="57"/>
        <v>654300.30330055603</v>
      </c>
      <c r="U136" s="7">
        <f t="shared" si="56"/>
        <v>163575.07582513901</v>
      </c>
      <c r="V136" s="7">
        <f t="shared" si="64"/>
        <v>203169442.47582754</v>
      </c>
      <c r="W136" s="7">
        <f t="shared" si="65"/>
        <v>54855749.468473442</v>
      </c>
      <c r="X136" s="11">
        <f t="shared" si="66"/>
        <v>148477268.08317924</v>
      </c>
      <c r="Y136" s="7">
        <f t="shared" si="62"/>
        <v>2627020.4540677634</v>
      </c>
    </row>
    <row r="137" spans="5:25">
      <c r="E137">
        <v>134</v>
      </c>
      <c r="F137" s="2">
        <v>0</v>
      </c>
      <c r="G137" s="2">
        <v>0</v>
      </c>
      <c r="H137" s="2">
        <f t="shared" si="59"/>
        <v>0</v>
      </c>
      <c r="I137" s="2">
        <f>I136-J136</f>
        <v>1115200000</v>
      </c>
      <c r="J137" s="2">
        <f>I137*0.3</f>
        <v>334560000</v>
      </c>
      <c r="K137" s="2">
        <f t="shared" si="63"/>
        <v>-334560000</v>
      </c>
      <c r="L137" s="2">
        <f t="shared" ref="L137:L168" si="68">IF(L136&lt;0,K137*$B$15+L136,K137*$B$15)</f>
        <v>-90331200</v>
      </c>
      <c r="M137" s="2">
        <f t="shared" si="67"/>
        <v>0</v>
      </c>
      <c r="N137" s="2">
        <f t="shared" si="60"/>
        <v>0</v>
      </c>
      <c r="P137">
        <v>134</v>
      </c>
      <c r="Q137" s="3">
        <f t="shared" si="58"/>
        <v>335332800</v>
      </c>
      <c r="R137" s="6">
        <f>$C$13+$C$6*$A$18*$C$10+50*'Carbon Tax'!$B$6</f>
        <v>131999782.44834734</v>
      </c>
      <c r="S137" s="3">
        <f t="shared" si="61"/>
        <v>203333017.55165267</v>
      </c>
      <c r="T137" s="7">
        <f t="shared" si="57"/>
        <v>490725.22747541702</v>
      </c>
      <c r="U137" s="7">
        <f t="shared" si="56"/>
        <v>122681.30686885426</v>
      </c>
      <c r="V137" s="7">
        <f t="shared" si="64"/>
        <v>203210336.24478382</v>
      </c>
      <c r="W137" s="7">
        <f t="shared" si="65"/>
        <v>54866790.786091633</v>
      </c>
      <c r="X137" s="11">
        <f t="shared" si="66"/>
        <v>148466226.76556104</v>
      </c>
      <c r="Y137" s="7">
        <f t="shared" si="62"/>
        <v>2548336.3398638293</v>
      </c>
    </row>
    <row r="138" spans="5:25">
      <c r="E138">
        <v>135</v>
      </c>
      <c r="F138" s="2">
        <v>0</v>
      </c>
      <c r="G138" s="2">
        <v>0</v>
      </c>
      <c r="H138" s="2">
        <f t="shared" si="59"/>
        <v>0</v>
      </c>
      <c r="I138" s="2">
        <f t="shared" ref="I138:I168" si="69">I137-J137</f>
        <v>780640000</v>
      </c>
      <c r="J138" s="2">
        <f t="shared" ref="J138:J167" si="70">I138*0.3</f>
        <v>234192000</v>
      </c>
      <c r="K138" s="2">
        <f t="shared" si="63"/>
        <v>-234192000</v>
      </c>
      <c r="L138" s="2">
        <f t="shared" si="68"/>
        <v>-153563040</v>
      </c>
      <c r="M138" s="2">
        <f t="shared" si="67"/>
        <v>0</v>
      </c>
      <c r="N138" s="2">
        <f t="shared" si="60"/>
        <v>0</v>
      </c>
      <c r="P138">
        <v>135</v>
      </c>
      <c r="Q138" s="3">
        <f t="shared" si="58"/>
        <v>335332800</v>
      </c>
      <c r="R138" s="6">
        <f>$C$13+$C$6*$A$18*$C$10+50*'Carbon Tax'!$B$6</f>
        <v>131999782.44834734</v>
      </c>
      <c r="S138" s="3">
        <f t="shared" si="61"/>
        <v>203333017.55165267</v>
      </c>
      <c r="T138" s="7">
        <f t="shared" si="57"/>
        <v>368043.92060656275</v>
      </c>
      <c r="U138" s="7">
        <f t="shared" si="56"/>
        <v>92010.980151640688</v>
      </c>
      <c r="V138" s="7">
        <f t="shared" si="64"/>
        <v>203241006.57150102</v>
      </c>
      <c r="W138" s="7">
        <f t="shared" si="65"/>
        <v>54875071.774305277</v>
      </c>
      <c r="X138" s="11">
        <f t="shared" si="66"/>
        <v>148457945.77734739</v>
      </c>
      <c r="Y138" s="7">
        <f t="shared" si="62"/>
        <v>2472054.9102858379</v>
      </c>
    </row>
    <row r="139" spans="5:25">
      <c r="E139">
        <v>136</v>
      </c>
      <c r="F139" s="2">
        <f t="shared" ref="F139:F168" si="71">$B$11</f>
        <v>142612800</v>
      </c>
      <c r="G139" s="2">
        <f t="shared" ref="G139:G168" si="72">$B$13</f>
        <v>19600000</v>
      </c>
      <c r="H139" s="2">
        <f t="shared" si="59"/>
        <v>123012800</v>
      </c>
      <c r="I139" s="2">
        <f t="shared" si="69"/>
        <v>546448000</v>
      </c>
      <c r="J139" s="2">
        <f t="shared" si="70"/>
        <v>163934400</v>
      </c>
      <c r="K139" s="2">
        <f t="shared" si="63"/>
        <v>-40921600</v>
      </c>
      <c r="L139" s="2">
        <f t="shared" si="68"/>
        <v>-164611872</v>
      </c>
      <c r="M139" s="2">
        <f t="shared" si="67"/>
        <v>123012800</v>
      </c>
      <c r="N139" s="2">
        <f t="shared" si="60"/>
        <v>1987149.585327294</v>
      </c>
      <c r="P139">
        <v>136</v>
      </c>
      <c r="Q139" s="3">
        <f t="shared" si="58"/>
        <v>335332800</v>
      </c>
      <c r="R139" s="6">
        <f>$C$13+$C$6*$A$18*$C$10+50*'Carbon Tax'!$B$6</f>
        <v>131999782.44834734</v>
      </c>
      <c r="S139" s="3">
        <f t="shared" si="61"/>
        <v>203333017.55165267</v>
      </c>
      <c r="T139" s="7">
        <f t="shared" si="57"/>
        <v>276032.94045492203</v>
      </c>
      <c r="U139" s="7">
        <f t="shared" si="56"/>
        <v>69008.235113730509</v>
      </c>
      <c r="V139" s="7">
        <f t="shared" si="64"/>
        <v>203264009.31653893</v>
      </c>
      <c r="W139" s="7">
        <f t="shared" si="65"/>
        <v>54881282.515465513</v>
      </c>
      <c r="X139" s="11">
        <f t="shared" si="66"/>
        <v>148451735.03618717</v>
      </c>
      <c r="Y139" s="7">
        <f t="shared" si="62"/>
        <v>2398090.3102626447</v>
      </c>
    </row>
    <row r="140" spans="5:25">
      <c r="E140">
        <v>137</v>
      </c>
      <c r="F140" s="2">
        <f t="shared" si="71"/>
        <v>142612800</v>
      </c>
      <c r="G140" s="2">
        <f t="shared" si="72"/>
        <v>19600000</v>
      </c>
      <c r="H140" s="2">
        <f t="shared" si="59"/>
        <v>123012800</v>
      </c>
      <c r="I140" s="2">
        <f t="shared" si="69"/>
        <v>382513600</v>
      </c>
      <c r="J140" s="2">
        <f t="shared" si="70"/>
        <v>114754080</v>
      </c>
      <c r="K140" s="2">
        <f t="shared" si="63"/>
        <v>8258720</v>
      </c>
      <c r="L140" s="2">
        <f t="shared" si="68"/>
        <v>-162382017.59999999</v>
      </c>
      <c r="M140" s="2">
        <f t="shared" si="67"/>
        <v>123012800</v>
      </c>
      <c r="N140" s="2">
        <f t="shared" si="60"/>
        <v>1927774.1417610536</v>
      </c>
      <c r="P140">
        <v>137</v>
      </c>
      <c r="Q140" s="3">
        <f t="shared" si="58"/>
        <v>335332800</v>
      </c>
      <c r="R140" s="6">
        <f>$C$13+$C$6*$A$18*$C$10+50*'Carbon Tax'!$B$6</f>
        <v>131999782.44834734</v>
      </c>
      <c r="S140" s="3">
        <f t="shared" si="61"/>
        <v>203333017.55165267</v>
      </c>
      <c r="T140" s="7">
        <f t="shared" si="57"/>
        <v>207024.70534119153</v>
      </c>
      <c r="U140" s="7">
        <f t="shared" si="56"/>
        <v>51756.176335297881</v>
      </c>
      <c r="V140" s="7">
        <f t="shared" si="64"/>
        <v>203281261.37531736</v>
      </c>
      <c r="W140" s="7">
        <f t="shared" si="65"/>
        <v>54885940.571335696</v>
      </c>
      <c r="X140" s="11">
        <f t="shared" si="66"/>
        <v>148447076.98031697</v>
      </c>
      <c r="Y140" s="7">
        <f t="shared" si="62"/>
        <v>2326363.0810994273</v>
      </c>
    </row>
    <row r="141" spans="5:25">
      <c r="E141">
        <v>138</v>
      </c>
      <c r="F141" s="2">
        <f t="shared" si="71"/>
        <v>142612800</v>
      </c>
      <c r="G141" s="2">
        <f t="shared" si="72"/>
        <v>19600000</v>
      </c>
      <c r="H141" s="2">
        <f t="shared" si="59"/>
        <v>123012800</v>
      </c>
      <c r="I141" s="2">
        <f t="shared" si="69"/>
        <v>267759520</v>
      </c>
      <c r="J141" s="2">
        <f t="shared" si="70"/>
        <v>80327856</v>
      </c>
      <c r="K141" s="2">
        <f t="shared" si="63"/>
        <v>42684944</v>
      </c>
      <c r="L141" s="2">
        <f t="shared" si="68"/>
        <v>-150857082.72</v>
      </c>
      <c r="M141" s="2">
        <f t="shared" si="67"/>
        <v>123012800</v>
      </c>
      <c r="N141" s="2">
        <f t="shared" si="60"/>
        <v>1870172.8189377703</v>
      </c>
      <c r="P141">
        <v>138</v>
      </c>
      <c r="Q141" s="3">
        <f t="shared" si="58"/>
        <v>335332800</v>
      </c>
      <c r="R141" s="6">
        <f>$C$13+$C$6*$A$18*$C$10+50*'Carbon Tax'!$B$6</f>
        <v>131999782.44834734</v>
      </c>
      <c r="S141" s="3">
        <f t="shared" si="61"/>
        <v>203333017.55165267</v>
      </c>
      <c r="T141" s="7">
        <f t="shared" si="57"/>
        <v>155268.52900589365</v>
      </c>
      <c r="U141" s="7">
        <f t="shared" si="56"/>
        <v>38817.132251473413</v>
      </c>
      <c r="V141" s="7">
        <f t="shared" si="64"/>
        <v>203294200.4194012</v>
      </c>
      <c r="W141" s="7">
        <f t="shared" si="65"/>
        <v>54889434.113238327</v>
      </c>
      <c r="X141" s="11">
        <f t="shared" si="66"/>
        <v>148443583.43841434</v>
      </c>
      <c r="Y141" s="7">
        <f t="shared" si="62"/>
        <v>2256798.9257397885</v>
      </c>
    </row>
    <row r="142" spans="5:25">
      <c r="E142">
        <v>139</v>
      </c>
      <c r="F142" s="2">
        <f t="shared" si="71"/>
        <v>142612800</v>
      </c>
      <c r="G142" s="2">
        <f t="shared" si="72"/>
        <v>19600000</v>
      </c>
      <c r="H142" s="2">
        <f t="shared" si="59"/>
        <v>123012800</v>
      </c>
      <c r="I142" s="2">
        <f t="shared" si="69"/>
        <v>187431664</v>
      </c>
      <c r="J142" s="2">
        <f t="shared" si="70"/>
        <v>56229499.199999996</v>
      </c>
      <c r="K142" s="2">
        <f t="shared" si="63"/>
        <v>66783300.800000004</v>
      </c>
      <c r="L142" s="2">
        <f t="shared" si="68"/>
        <v>-132825591.50399999</v>
      </c>
      <c r="M142" s="2">
        <f t="shared" si="67"/>
        <v>123012800</v>
      </c>
      <c r="N142" s="2">
        <f t="shared" si="60"/>
        <v>1814292.6066528624</v>
      </c>
      <c r="P142">
        <v>139</v>
      </c>
      <c r="Q142" s="3">
        <f t="shared" si="58"/>
        <v>335332800</v>
      </c>
      <c r="R142" s="6">
        <f>$C$13+$C$6*$A$18*$C$10+50*'Carbon Tax'!$B$6</f>
        <v>131999782.44834734</v>
      </c>
      <c r="S142" s="3">
        <f t="shared" si="61"/>
        <v>203333017.55165267</v>
      </c>
      <c r="T142" s="7">
        <f t="shared" si="57"/>
        <v>116451.39675442025</v>
      </c>
      <c r="U142" s="7">
        <f t="shared" si="56"/>
        <v>29112.849188605061</v>
      </c>
      <c r="V142" s="7">
        <f t="shared" si="64"/>
        <v>203303904.70246407</v>
      </c>
      <c r="W142" s="7">
        <f t="shared" si="65"/>
        <v>54892054.269665301</v>
      </c>
      <c r="X142" s="11">
        <f t="shared" si="66"/>
        <v>148440963.28198737</v>
      </c>
      <c r="Y142" s="7">
        <f t="shared" si="62"/>
        <v>2189327.7952126828</v>
      </c>
    </row>
    <row r="143" spans="5:25">
      <c r="E143">
        <v>140</v>
      </c>
      <c r="F143" s="2">
        <f t="shared" si="71"/>
        <v>142612800</v>
      </c>
      <c r="G143" s="2">
        <f t="shared" si="72"/>
        <v>19600000</v>
      </c>
      <c r="H143" s="2">
        <f t="shared" si="59"/>
        <v>123012800</v>
      </c>
      <c r="I143" s="2">
        <f t="shared" si="69"/>
        <v>131202164.80000001</v>
      </c>
      <c r="J143" s="2">
        <f t="shared" si="70"/>
        <v>39360649.440000005</v>
      </c>
      <c r="K143" s="2">
        <f t="shared" si="63"/>
        <v>83652150.560000002</v>
      </c>
      <c r="L143" s="2">
        <f t="shared" si="68"/>
        <v>-110239510.85279998</v>
      </c>
      <c r="M143" s="2">
        <f t="shared" si="67"/>
        <v>123012800</v>
      </c>
      <c r="N143" s="2">
        <f t="shared" si="60"/>
        <v>1760082.0786310264</v>
      </c>
      <c r="P143">
        <v>140</v>
      </c>
      <c r="Q143" s="3">
        <f t="shared" si="58"/>
        <v>335332800</v>
      </c>
      <c r="R143" s="6">
        <f>$C$13+$C$6*$A$18*$C$10+50*'Carbon Tax'!$B$6</f>
        <v>131999782.44834734</v>
      </c>
      <c r="S143" s="3">
        <f t="shared" si="61"/>
        <v>203333017.55165267</v>
      </c>
      <c r="T143" s="7">
        <f t="shared" si="57"/>
        <v>87338.547565815184</v>
      </c>
      <c r="U143" s="7">
        <f t="shared" si="56"/>
        <v>21834.636891453796</v>
      </c>
      <c r="V143" s="7">
        <f t="shared" si="64"/>
        <v>203311182.91476122</v>
      </c>
      <c r="W143" s="7">
        <f t="shared" si="65"/>
        <v>54894019.386985533</v>
      </c>
      <c r="X143" s="11">
        <f t="shared" si="66"/>
        <v>148438998.16466713</v>
      </c>
      <c r="Y143" s="7">
        <f t="shared" si="62"/>
        <v>2123883.209223548</v>
      </c>
    </row>
    <row r="144" spans="5:25">
      <c r="E144">
        <v>141</v>
      </c>
      <c r="F144" s="2">
        <f t="shared" si="71"/>
        <v>142612800</v>
      </c>
      <c r="G144" s="2">
        <f t="shared" si="72"/>
        <v>19600000</v>
      </c>
      <c r="H144" s="2">
        <f t="shared" si="59"/>
        <v>123012800</v>
      </c>
      <c r="I144" s="2">
        <f t="shared" si="69"/>
        <v>91841515.360000014</v>
      </c>
      <c r="J144" s="2">
        <f t="shared" si="70"/>
        <v>27552454.608000003</v>
      </c>
      <c r="K144" s="2">
        <f t="shared" si="63"/>
        <v>95460345.39199999</v>
      </c>
      <c r="L144" s="2">
        <f t="shared" si="68"/>
        <v>-84465217.596959978</v>
      </c>
      <c r="M144" s="2">
        <f t="shared" si="67"/>
        <v>123012800</v>
      </c>
      <c r="N144" s="2">
        <f t="shared" si="60"/>
        <v>1707491.3451989004</v>
      </c>
      <c r="P144">
        <v>141</v>
      </c>
      <c r="Q144" s="3">
        <f t="shared" si="58"/>
        <v>335332800</v>
      </c>
      <c r="R144" s="6">
        <f>$C$13+$C$6*$A$18*$C$10+50*'Carbon Tax'!$B$6</f>
        <v>131999782.44834734</v>
      </c>
      <c r="S144" s="3">
        <f t="shared" si="61"/>
        <v>203333017.55165267</v>
      </c>
      <c r="T144" s="7">
        <f t="shared" si="57"/>
        <v>65503.910674361388</v>
      </c>
      <c r="U144" s="7">
        <f t="shared" si="56"/>
        <v>16375.977668590347</v>
      </c>
      <c r="V144" s="7">
        <f t="shared" si="64"/>
        <v>203316641.57398409</v>
      </c>
      <c r="W144" s="7">
        <f t="shared" si="65"/>
        <v>54895493.224975705</v>
      </c>
      <c r="X144" s="11">
        <f t="shared" si="66"/>
        <v>148437524.32667696</v>
      </c>
      <c r="Y144" s="7">
        <f t="shared" si="62"/>
        <v>2060401.7475462079</v>
      </c>
    </row>
    <row r="145" spans="5:25">
      <c r="E145">
        <v>142</v>
      </c>
      <c r="F145" s="2">
        <f t="shared" si="71"/>
        <v>142612800</v>
      </c>
      <c r="G145" s="2">
        <f t="shared" si="72"/>
        <v>19600000</v>
      </c>
      <c r="H145" s="2">
        <f t="shared" si="59"/>
        <v>123012800</v>
      </c>
      <c r="I145" s="2">
        <f t="shared" si="69"/>
        <v>64289060.752000012</v>
      </c>
      <c r="J145" s="2">
        <f t="shared" si="70"/>
        <v>19286718.225600004</v>
      </c>
      <c r="K145" s="2">
        <f t="shared" si="63"/>
        <v>103726081.7744</v>
      </c>
      <c r="L145" s="2">
        <f t="shared" si="68"/>
        <v>-56459175.517871976</v>
      </c>
      <c r="M145" s="2">
        <f t="shared" si="67"/>
        <v>123012800</v>
      </c>
      <c r="N145" s="2">
        <f t="shared" si="60"/>
        <v>1656472.0073718475</v>
      </c>
      <c r="P145">
        <v>142</v>
      </c>
      <c r="Q145" s="3">
        <f t="shared" si="58"/>
        <v>335332800</v>
      </c>
      <c r="R145" s="6">
        <f>$C$13+$C$6*$A$18*$C$10+50*'Carbon Tax'!$B$6</f>
        <v>131999782.44834734</v>
      </c>
      <c r="S145" s="3">
        <f t="shared" si="61"/>
        <v>203333017.55165267</v>
      </c>
      <c r="T145" s="7">
        <f t="shared" si="57"/>
        <v>49127.933005771039</v>
      </c>
      <c r="U145" s="7">
        <f t="shared" si="56"/>
        <v>12281.98325144276</v>
      </c>
      <c r="V145" s="7">
        <f t="shared" si="64"/>
        <v>203320735.56840122</v>
      </c>
      <c r="W145" s="7">
        <f t="shared" si="65"/>
        <v>54896598.603468329</v>
      </c>
      <c r="X145" s="11">
        <f t="shared" si="66"/>
        <v>148436418.94818434</v>
      </c>
      <c r="Y145" s="7">
        <f t="shared" si="62"/>
        <v>1998822.6661143189</v>
      </c>
    </row>
    <row r="146" spans="5:25">
      <c r="E146">
        <v>143</v>
      </c>
      <c r="F146" s="2">
        <f t="shared" si="71"/>
        <v>142612800</v>
      </c>
      <c r="G146" s="2">
        <f t="shared" si="72"/>
        <v>19600000</v>
      </c>
      <c r="H146" s="2">
        <f t="shared" si="59"/>
        <v>123012800</v>
      </c>
      <c r="I146" s="2">
        <f t="shared" si="69"/>
        <v>45002342.526400007</v>
      </c>
      <c r="J146" s="2">
        <f t="shared" si="70"/>
        <v>13500702.757920003</v>
      </c>
      <c r="K146" s="2">
        <f t="shared" si="63"/>
        <v>109512097.24208</v>
      </c>
      <c r="L146" s="2">
        <f t="shared" si="68"/>
        <v>-26890909.262510374</v>
      </c>
      <c r="M146" s="2">
        <f t="shared" si="67"/>
        <v>123012800</v>
      </c>
      <c r="N146" s="2">
        <f t="shared" si="60"/>
        <v>1606977.1123126193</v>
      </c>
      <c r="P146">
        <v>143</v>
      </c>
      <c r="Q146" s="3">
        <f t="shared" si="58"/>
        <v>335332800</v>
      </c>
      <c r="R146" s="6">
        <f>$C$13+$C$6*$A$18*$C$10+50*'Carbon Tax'!$B$6</f>
        <v>131999782.44834734</v>
      </c>
      <c r="S146" s="3">
        <f t="shared" si="61"/>
        <v>203333017.55165267</v>
      </c>
      <c r="T146" s="7">
        <f t="shared" si="57"/>
        <v>36845.949754328278</v>
      </c>
      <c r="U146" s="7">
        <f t="shared" ref="U146:U167" si="73">T146*$B$29</f>
        <v>9211.4874385820694</v>
      </c>
      <c r="V146" s="7">
        <f t="shared" si="64"/>
        <v>203323806.06421408</v>
      </c>
      <c r="W146" s="7">
        <f t="shared" si="65"/>
        <v>54897427.637337804</v>
      </c>
      <c r="X146" s="11">
        <f t="shared" si="66"/>
        <v>148435589.91431487</v>
      </c>
      <c r="Y146" s="7">
        <f t="shared" si="62"/>
        <v>1939087.6042568407</v>
      </c>
    </row>
    <row r="147" spans="5:25">
      <c r="E147">
        <v>144</v>
      </c>
      <c r="F147" s="2">
        <f t="shared" si="71"/>
        <v>142612800</v>
      </c>
      <c r="G147" s="2">
        <f t="shared" si="72"/>
        <v>19600000</v>
      </c>
      <c r="H147" s="2">
        <f t="shared" si="59"/>
        <v>123012800</v>
      </c>
      <c r="I147" s="2">
        <f t="shared" si="69"/>
        <v>31501639.768480003</v>
      </c>
      <c r="J147" s="2">
        <f t="shared" si="70"/>
        <v>9450491.9305440001</v>
      </c>
      <c r="K147" s="2">
        <f t="shared" si="63"/>
        <v>113562308.069456</v>
      </c>
      <c r="L147" s="2">
        <f t="shared" si="68"/>
        <v>3770913.9162427485</v>
      </c>
      <c r="M147" s="2">
        <f t="shared" si="67"/>
        <v>119241886.08375725</v>
      </c>
      <c r="N147" s="2">
        <f t="shared" si="60"/>
        <v>1511171.7081640572</v>
      </c>
      <c r="P147">
        <v>144</v>
      </c>
      <c r="Q147" s="3">
        <f t="shared" si="58"/>
        <v>335332800</v>
      </c>
      <c r="R147" s="6">
        <f>$C$13+$C$6*$A$18*$C$10+50*'Carbon Tax'!$B$6</f>
        <v>131999782.44834734</v>
      </c>
      <c r="S147" s="3">
        <f t="shared" si="61"/>
        <v>203333017.55165267</v>
      </c>
      <c r="T147" s="7">
        <f t="shared" si="57"/>
        <v>27634.462315746208</v>
      </c>
      <c r="U147" s="7">
        <f t="shared" si="73"/>
        <v>6908.6155789365521</v>
      </c>
      <c r="V147" s="7">
        <f t="shared" si="64"/>
        <v>203326108.93607372</v>
      </c>
      <c r="W147" s="7">
        <f t="shared" si="65"/>
        <v>54898049.41273991</v>
      </c>
      <c r="X147" s="11">
        <f t="shared" si="66"/>
        <v>148434968.13891277</v>
      </c>
      <c r="Y147" s="7">
        <f t="shared" si="62"/>
        <v>1881140.358650475</v>
      </c>
    </row>
    <row r="148" spans="5:25">
      <c r="E148">
        <v>145</v>
      </c>
      <c r="F148" s="2">
        <f t="shared" si="71"/>
        <v>142612800</v>
      </c>
      <c r="G148" s="2">
        <f t="shared" si="72"/>
        <v>19600000</v>
      </c>
      <c r="H148" s="2">
        <f t="shared" si="59"/>
        <v>123012800</v>
      </c>
      <c r="I148" s="2">
        <f t="shared" si="69"/>
        <v>22051147.837936003</v>
      </c>
      <c r="J148" s="2">
        <f t="shared" si="70"/>
        <v>6615344.3513808008</v>
      </c>
      <c r="K148" s="2">
        <f t="shared" si="63"/>
        <v>116397455.6486192</v>
      </c>
      <c r="L148" s="2">
        <f t="shared" si="68"/>
        <v>31427313.025127187</v>
      </c>
      <c r="M148" s="2">
        <f t="shared" si="67"/>
        <v>91585486.974872813</v>
      </c>
      <c r="N148" s="2">
        <f t="shared" si="60"/>
        <v>1125996.9821441777</v>
      </c>
      <c r="P148">
        <v>145</v>
      </c>
      <c r="Q148" s="3">
        <f t="shared" si="58"/>
        <v>335332800</v>
      </c>
      <c r="R148" s="6">
        <f>$C$13+$C$6*$A$18*$C$10+50*'Carbon Tax'!$B$6</f>
        <v>131999782.44834734</v>
      </c>
      <c r="S148" s="3">
        <f t="shared" si="61"/>
        <v>203333017.55165267</v>
      </c>
      <c r="T148" s="7">
        <f t="shared" si="57"/>
        <v>20725.846736809657</v>
      </c>
      <c r="U148" s="7">
        <f t="shared" si="73"/>
        <v>5181.4616842024143</v>
      </c>
      <c r="V148" s="7">
        <f t="shared" si="64"/>
        <v>203327836.08996847</v>
      </c>
      <c r="W148" s="7">
        <f t="shared" si="65"/>
        <v>54898515.744291492</v>
      </c>
      <c r="X148" s="11">
        <f t="shared" si="66"/>
        <v>148434501.80736119</v>
      </c>
      <c r="Y148" s="7">
        <f t="shared" si="62"/>
        <v>1824926.7062042095</v>
      </c>
    </row>
    <row r="149" spans="5:25">
      <c r="E149">
        <v>146</v>
      </c>
      <c r="F149" s="2">
        <f t="shared" si="71"/>
        <v>142612800</v>
      </c>
      <c r="G149" s="2">
        <f t="shared" si="72"/>
        <v>19600000</v>
      </c>
      <c r="H149" s="2">
        <f t="shared" si="59"/>
        <v>123012800</v>
      </c>
      <c r="I149" s="2">
        <f t="shared" si="69"/>
        <v>15435803.486555202</v>
      </c>
      <c r="J149" s="2">
        <f t="shared" si="70"/>
        <v>4630741.04596656</v>
      </c>
      <c r="K149" s="2">
        <f t="shared" si="63"/>
        <v>118382058.95403343</v>
      </c>
      <c r="L149" s="2">
        <f t="shared" si="68"/>
        <v>31963155.917589031</v>
      </c>
      <c r="M149" s="2">
        <f t="shared" si="67"/>
        <v>91049644.082410961</v>
      </c>
      <c r="N149" s="2">
        <f t="shared" si="60"/>
        <v>1085961.453541015</v>
      </c>
      <c r="P149">
        <v>146</v>
      </c>
      <c r="Q149" s="3">
        <f t="shared" si="58"/>
        <v>335332800</v>
      </c>
      <c r="R149" s="6">
        <f>$C$13+$C$6*$A$18*$C$10+50*'Carbon Tax'!$B$6</f>
        <v>131999782.44834734</v>
      </c>
      <c r="S149" s="3">
        <f t="shared" si="61"/>
        <v>203333017.55165267</v>
      </c>
      <c r="T149" s="7">
        <f t="shared" si="57"/>
        <v>15544.385052607242</v>
      </c>
      <c r="U149" s="7">
        <f t="shared" si="73"/>
        <v>3886.0962631518105</v>
      </c>
      <c r="V149" s="7">
        <f t="shared" si="64"/>
        <v>203329131.45538953</v>
      </c>
      <c r="W149" s="7">
        <f t="shared" si="65"/>
        <v>54898865.492955178</v>
      </c>
      <c r="X149" s="11">
        <f t="shared" si="66"/>
        <v>148434152.05869749</v>
      </c>
      <c r="Y149" s="7">
        <f t="shared" si="62"/>
        <v>1770394.2629242053</v>
      </c>
    </row>
    <row r="150" spans="5:25">
      <c r="E150">
        <v>147</v>
      </c>
      <c r="F150" s="2">
        <f t="shared" si="71"/>
        <v>142612800</v>
      </c>
      <c r="G150" s="2">
        <f t="shared" si="72"/>
        <v>19600000</v>
      </c>
      <c r="H150" s="2">
        <f t="shared" si="59"/>
        <v>123012800</v>
      </c>
      <c r="I150" s="2">
        <f t="shared" si="69"/>
        <v>10805062.440588642</v>
      </c>
      <c r="J150" s="2">
        <f t="shared" si="70"/>
        <v>3241518.7321765926</v>
      </c>
      <c r="K150" s="2">
        <f t="shared" si="63"/>
        <v>119771281.26782341</v>
      </c>
      <c r="L150" s="2">
        <f t="shared" si="68"/>
        <v>32338245.942312323</v>
      </c>
      <c r="M150" s="2">
        <f t="shared" si="67"/>
        <v>90674554.05768767</v>
      </c>
      <c r="N150" s="2">
        <f t="shared" si="60"/>
        <v>1049173.1702994877</v>
      </c>
      <c r="P150">
        <v>147</v>
      </c>
      <c r="Q150" s="3">
        <f t="shared" si="58"/>
        <v>335332800</v>
      </c>
      <c r="R150" s="6">
        <f>$C$13+$C$6*$A$18*$C$10+50*'Carbon Tax'!$B$6</f>
        <v>131999782.44834734</v>
      </c>
      <c r="S150" s="3">
        <f t="shared" si="61"/>
        <v>203333017.55165267</v>
      </c>
      <c r="T150" s="7">
        <f t="shared" si="57"/>
        <v>11658.288789455431</v>
      </c>
      <c r="U150" s="7">
        <f t="shared" si="73"/>
        <v>2914.5721973638579</v>
      </c>
      <c r="V150" s="7">
        <f t="shared" si="64"/>
        <v>203330102.97945529</v>
      </c>
      <c r="W150" s="7">
        <f t="shared" si="65"/>
        <v>54899127.804452933</v>
      </c>
      <c r="X150" s="11">
        <f t="shared" si="66"/>
        <v>148433889.74719974</v>
      </c>
      <c r="Y150" s="7">
        <f t="shared" si="62"/>
        <v>1717492.3693242101</v>
      </c>
    </row>
    <row r="151" spans="5:25">
      <c r="E151">
        <v>148</v>
      </c>
      <c r="F151" s="2">
        <f t="shared" si="71"/>
        <v>142612800</v>
      </c>
      <c r="G151" s="2">
        <f t="shared" si="72"/>
        <v>19600000</v>
      </c>
      <c r="H151" s="2">
        <f t="shared" si="59"/>
        <v>123012800</v>
      </c>
      <c r="I151" s="2">
        <f t="shared" si="69"/>
        <v>7563543.7084120493</v>
      </c>
      <c r="J151" s="2">
        <f t="shared" si="70"/>
        <v>2269063.1125236149</v>
      </c>
      <c r="K151" s="2">
        <f t="shared" si="63"/>
        <v>120743736.88747638</v>
      </c>
      <c r="L151" s="2">
        <f t="shared" si="68"/>
        <v>32600808.959618624</v>
      </c>
      <c r="M151" s="2">
        <f t="shared" si="67"/>
        <v>90411991.040381372</v>
      </c>
      <c r="N151" s="2">
        <f t="shared" si="60"/>
        <v>1014876.9088136047</v>
      </c>
      <c r="P151">
        <v>148</v>
      </c>
      <c r="Q151" s="3">
        <f t="shared" si="58"/>
        <v>335332800</v>
      </c>
      <c r="R151" s="6">
        <f>$C$13+$C$6*$A$18*$C$10+50*'Carbon Tax'!$B$6</f>
        <v>131999782.44834734</v>
      </c>
      <c r="S151" s="3">
        <f t="shared" si="61"/>
        <v>203333017.55165267</v>
      </c>
      <c r="T151" s="7">
        <f t="shared" si="57"/>
        <v>8743.7165920915741</v>
      </c>
      <c r="U151" s="7">
        <f t="shared" si="73"/>
        <v>2185.9291480228935</v>
      </c>
      <c r="V151" s="7">
        <f t="shared" si="64"/>
        <v>203330831.62250465</v>
      </c>
      <c r="W151" s="7">
        <f t="shared" si="65"/>
        <v>54899324.538076259</v>
      </c>
      <c r="X151" s="11">
        <f t="shared" si="66"/>
        <v>148433693.01357642</v>
      </c>
      <c r="Y151" s="7">
        <f t="shared" si="62"/>
        <v>1666171.9955058137</v>
      </c>
    </row>
    <row r="152" spans="5:25">
      <c r="E152">
        <v>149</v>
      </c>
      <c r="F152" s="2">
        <f t="shared" si="71"/>
        <v>142612800</v>
      </c>
      <c r="G152" s="2">
        <f t="shared" si="72"/>
        <v>19600000</v>
      </c>
      <c r="H152" s="2">
        <f t="shared" si="59"/>
        <v>123012800</v>
      </c>
      <c r="I152" s="2">
        <f t="shared" si="69"/>
        <v>5294480.595888434</v>
      </c>
      <c r="J152" s="2">
        <f t="shared" si="70"/>
        <v>1588344.1787665302</v>
      </c>
      <c r="K152" s="2">
        <f t="shared" si="63"/>
        <v>121424455.82123347</v>
      </c>
      <c r="L152" s="2">
        <f t="shared" si="68"/>
        <v>32784603.071733039</v>
      </c>
      <c r="M152" s="2">
        <f t="shared" si="67"/>
        <v>90228196.928266957</v>
      </c>
      <c r="N152" s="2">
        <f t="shared" si="60"/>
        <v>982551.23710757087</v>
      </c>
      <c r="P152">
        <v>149</v>
      </c>
      <c r="Q152" s="3">
        <f t="shared" si="58"/>
        <v>335332800</v>
      </c>
      <c r="R152" s="6">
        <f>$C$13+$C$6*$A$18*$C$10+50*'Carbon Tax'!$B$6</f>
        <v>131999782.44834734</v>
      </c>
      <c r="S152" s="3">
        <f t="shared" si="61"/>
        <v>203333017.55165267</v>
      </c>
      <c r="T152" s="7">
        <f t="shared" si="57"/>
        <v>6557.787444068681</v>
      </c>
      <c r="U152" s="7">
        <f t="shared" si="73"/>
        <v>1639.4468610171702</v>
      </c>
      <c r="V152" s="7">
        <f t="shared" si="64"/>
        <v>203331378.10479164</v>
      </c>
      <c r="W152" s="7">
        <f t="shared" si="65"/>
        <v>54899472.088293746</v>
      </c>
      <c r="X152" s="11">
        <f t="shared" si="66"/>
        <v>148433545.46335894</v>
      </c>
      <c r="Y152" s="7">
        <f t="shared" si="62"/>
        <v>1616385.6608952791</v>
      </c>
    </row>
    <row r="153" spans="5:25">
      <c r="E153">
        <v>150</v>
      </c>
      <c r="F153" s="2">
        <f t="shared" si="71"/>
        <v>142612800</v>
      </c>
      <c r="G153" s="2">
        <f t="shared" si="72"/>
        <v>19600000</v>
      </c>
      <c r="H153" s="2">
        <f t="shared" si="59"/>
        <v>123012800</v>
      </c>
      <c r="I153" s="2">
        <f t="shared" si="69"/>
        <v>3706136.417121904</v>
      </c>
      <c r="J153" s="2">
        <f t="shared" si="70"/>
        <v>1111840.9251365711</v>
      </c>
      <c r="K153" s="2">
        <f t="shared" si="63"/>
        <v>121900959.07486343</v>
      </c>
      <c r="L153" s="2">
        <f t="shared" si="68"/>
        <v>32913258.950213131</v>
      </c>
      <c r="M153" s="2">
        <f t="shared" si="67"/>
        <v>90099541.049786866</v>
      </c>
      <c r="N153" s="2">
        <f t="shared" si="60"/>
        <v>951833.7435247195</v>
      </c>
      <c r="P153">
        <v>150</v>
      </c>
      <c r="Q153" s="3">
        <f t="shared" si="58"/>
        <v>335332800</v>
      </c>
      <c r="R153" s="6">
        <f>$C$13+$C$6*$A$18*$C$10+50*'Carbon Tax'!$B$6</f>
        <v>131999782.44834734</v>
      </c>
      <c r="S153" s="3">
        <f t="shared" si="61"/>
        <v>203333017.55165267</v>
      </c>
      <c r="T153" s="7">
        <f t="shared" si="57"/>
        <v>4918.3405830515112</v>
      </c>
      <c r="U153" s="7">
        <f t="shared" si="73"/>
        <v>1229.5851457628778</v>
      </c>
      <c r="V153" s="7">
        <f t="shared" si="64"/>
        <v>203331787.9665069</v>
      </c>
      <c r="W153" s="7">
        <f t="shared" si="65"/>
        <v>54899582.750956863</v>
      </c>
      <c r="X153" s="11">
        <f t="shared" si="66"/>
        <v>148433434.80069581</v>
      </c>
      <c r="Y153" s="7">
        <f t="shared" si="62"/>
        <v>1568087.3649790126</v>
      </c>
    </row>
    <row r="154" spans="5:25">
      <c r="E154">
        <v>151</v>
      </c>
      <c r="F154" s="2">
        <f t="shared" si="71"/>
        <v>142612800</v>
      </c>
      <c r="G154" s="2">
        <f t="shared" si="72"/>
        <v>19600000</v>
      </c>
      <c r="H154" s="2">
        <f t="shared" si="59"/>
        <v>123012800</v>
      </c>
      <c r="I154" s="2">
        <f t="shared" si="69"/>
        <v>2594295.4919853332</v>
      </c>
      <c r="J154" s="2">
        <f t="shared" si="70"/>
        <v>778288.64759559988</v>
      </c>
      <c r="K154" s="2">
        <f t="shared" si="63"/>
        <v>122234511.3524044</v>
      </c>
      <c r="L154" s="2">
        <f t="shared" si="68"/>
        <v>33003318.065149192</v>
      </c>
      <c r="M154" s="2">
        <f t="shared" si="67"/>
        <v>90009481.934850812</v>
      </c>
      <c r="N154" s="2">
        <f t="shared" si="60"/>
        <v>922470.25305841828</v>
      </c>
      <c r="P154">
        <v>151</v>
      </c>
      <c r="Q154" s="3">
        <f t="shared" si="58"/>
        <v>335332800</v>
      </c>
      <c r="R154" s="6">
        <f>$C$13+$C$6*$A$18*$C$10+50*'Carbon Tax'!$B$6</f>
        <v>131999782.44834734</v>
      </c>
      <c r="S154" s="3">
        <f t="shared" si="61"/>
        <v>203333017.55165267</v>
      </c>
      <c r="T154" s="7">
        <f t="shared" si="57"/>
        <v>3688.7554372886334</v>
      </c>
      <c r="U154" s="7">
        <f t="shared" si="73"/>
        <v>922.18885932215835</v>
      </c>
      <c r="V154" s="7">
        <f t="shared" si="64"/>
        <v>203332095.36279336</v>
      </c>
      <c r="W154" s="7">
        <f t="shared" si="65"/>
        <v>54899665.747954212</v>
      </c>
      <c r="X154" s="11">
        <f t="shared" si="66"/>
        <v>148433351.80369845</v>
      </c>
      <c r="Y154" s="7">
        <f t="shared" si="62"/>
        <v>1521232.5263662112</v>
      </c>
    </row>
    <row r="155" spans="5:25">
      <c r="E155">
        <v>152</v>
      </c>
      <c r="F155" s="2">
        <f t="shared" si="71"/>
        <v>142612800</v>
      </c>
      <c r="G155" s="2">
        <f t="shared" si="72"/>
        <v>19600000</v>
      </c>
      <c r="H155" s="2">
        <f t="shared" si="59"/>
        <v>123012800</v>
      </c>
      <c r="I155" s="2">
        <f t="shared" si="69"/>
        <v>1816006.8443897334</v>
      </c>
      <c r="J155" s="2">
        <f t="shared" si="70"/>
        <v>544802.05331691995</v>
      </c>
      <c r="K155" s="2">
        <f t="shared" si="63"/>
        <v>122467997.94668308</v>
      </c>
      <c r="L155" s="2">
        <f t="shared" si="68"/>
        <v>33066359.445604432</v>
      </c>
      <c r="M155" s="2">
        <f t="shared" si="67"/>
        <v>89946440.554395571</v>
      </c>
      <c r="N155" s="2">
        <f t="shared" si="60"/>
        <v>894280.33354044461</v>
      </c>
      <c r="P155">
        <v>152</v>
      </c>
      <c r="Q155" s="3">
        <f t="shared" si="58"/>
        <v>335332800</v>
      </c>
      <c r="R155" s="6">
        <f>$C$13+$C$6*$A$18*$C$10+50*'Carbon Tax'!$B$6</f>
        <v>131999782.44834734</v>
      </c>
      <c r="S155" s="3">
        <f t="shared" si="61"/>
        <v>203333017.55165267</v>
      </c>
      <c r="T155" s="7">
        <f t="shared" si="57"/>
        <v>2766.5665779664751</v>
      </c>
      <c r="U155" s="7">
        <f t="shared" si="73"/>
        <v>691.64164449161876</v>
      </c>
      <c r="V155" s="7">
        <f t="shared" si="64"/>
        <v>203332325.91000819</v>
      </c>
      <c r="W155" s="7">
        <f t="shared" si="65"/>
        <v>54899727.995702215</v>
      </c>
      <c r="X155" s="11">
        <f t="shared" si="66"/>
        <v>148433289.55595046</v>
      </c>
      <c r="Y155" s="7">
        <f t="shared" si="62"/>
        <v>1475777.9282252418</v>
      </c>
    </row>
    <row r="156" spans="5:25">
      <c r="E156">
        <v>153</v>
      </c>
      <c r="F156" s="2">
        <f t="shared" si="71"/>
        <v>142612800</v>
      </c>
      <c r="G156" s="2">
        <f t="shared" si="72"/>
        <v>19600000</v>
      </c>
      <c r="H156" s="2">
        <f t="shared" si="59"/>
        <v>123012800</v>
      </c>
      <c r="I156" s="2">
        <f t="shared" si="69"/>
        <v>1271204.7910728133</v>
      </c>
      <c r="J156" s="2">
        <f t="shared" si="70"/>
        <v>381361.43732184399</v>
      </c>
      <c r="K156" s="2">
        <f t="shared" si="63"/>
        <v>122631438.56267816</v>
      </c>
      <c r="L156" s="2">
        <f t="shared" si="68"/>
        <v>33110488.411923107</v>
      </c>
      <c r="M156" s="2">
        <f t="shared" si="67"/>
        <v>89902311.58807689</v>
      </c>
      <c r="N156" s="2">
        <f t="shared" si="60"/>
        <v>867133.86423612654</v>
      </c>
      <c r="P156">
        <v>153</v>
      </c>
      <c r="Q156" s="3">
        <f t="shared" si="58"/>
        <v>335332800</v>
      </c>
      <c r="R156" s="6">
        <f>$C$13+$C$6*$A$18*$C$10+50*'Carbon Tax'!$B$6</f>
        <v>131999782.44834734</v>
      </c>
      <c r="S156" s="3">
        <f t="shared" si="61"/>
        <v>203333017.55165267</v>
      </c>
      <c r="T156" s="7">
        <f t="shared" si="57"/>
        <v>2074.9249334748565</v>
      </c>
      <c r="U156" s="7">
        <f t="shared" si="73"/>
        <v>518.73123336871413</v>
      </c>
      <c r="V156" s="7">
        <f t="shared" si="64"/>
        <v>203332498.82041931</v>
      </c>
      <c r="W156" s="7">
        <f t="shared" si="65"/>
        <v>54899774.68151322</v>
      </c>
      <c r="X156" s="11">
        <f t="shared" si="66"/>
        <v>148433242.87013945</v>
      </c>
      <c r="Y156" s="7">
        <f t="shared" si="62"/>
        <v>1431681.6686630512</v>
      </c>
    </row>
    <row r="157" spans="5:25">
      <c r="E157">
        <v>154</v>
      </c>
      <c r="F157" s="2">
        <f t="shared" si="71"/>
        <v>142612800</v>
      </c>
      <c r="G157" s="2">
        <f t="shared" si="72"/>
        <v>19600000</v>
      </c>
      <c r="H157" s="2">
        <f t="shared" si="59"/>
        <v>123012800</v>
      </c>
      <c r="I157" s="2">
        <f t="shared" si="69"/>
        <v>889843.35375096928</v>
      </c>
      <c r="J157" s="2">
        <f t="shared" si="70"/>
        <v>266953.00612529076</v>
      </c>
      <c r="K157" s="2">
        <f t="shared" si="63"/>
        <v>122745846.99387471</v>
      </c>
      <c r="L157" s="2">
        <f t="shared" si="68"/>
        <v>33141378.688346174</v>
      </c>
      <c r="M157" s="2">
        <f t="shared" si="67"/>
        <v>89871421.311653823</v>
      </c>
      <c r="N157" s="2">
        <f t="shared" si="60"/>
        <v>840935.11696039385</v>
      </c>
      <c r="P157">
        <v>154</v>
      </c>
      <c r="Q157" s="3">
        <f t="shared" si="58"/>
        <v>335332800</v>
      </c>
      <c r="R157" s="6">
        <f>$C$13+$C$6*$A$18*$C$10+50*'Carbon Tax'!$B$6</f>
        <v>131999782.44834734</v>
      </c>
      <c r="S157" s="3">
        <f t="shared" si="61"/>
        <v>203333017.55165267</v>
      </c>
      <c r="T157" s="7">
        <f t="shared" si="57"/>
        <v>1556.1937001061424</v>
      </c>
      <c r="U157" s="7">
        <f t="shared" si="73"/>
        <v>389.0484250265356</v>
      </c>
      <c r="V157" s="7">
        <f t="shared" si="64"/>
        <v>203332628.50322765</v>
      </c>
      <c r="W157" s="7">
        <f t="shared" si="65"/>
        <v>54899809.695871472</v>
      </c>
      <c r="X157" s="11">
        <f t="shared" si="66"/>
        <v>148433207.8557812</v>
      </c>
      <c r="Y157" s="7">
        <f t="shared" si="62"/>
        <v>1388903.1149974901</v>
      </c>
    </row>
    <row r="158" spans="5:25">
      <c r="E158">
        <v>155</v>
      </c>
      <c r="F158" s="2">
        <f t="shared" si="71"/>
        <v>142612800</v>
      </c>
      <c r="G158" s="2">
        <f t="shared" si="72"/>
        <v>19600000</v>
      </c>
      <c r="H158" s="2">
        <f t="shared" si="59"/>
        <v>123012800</v>
      </c>
      <c r="I158" s="2">
        <f t="shared" si="69"/>
        <v>622890.34762567852</v>
      </c>
      <c r="J158" s="2">
        <f t="shared" si="70"/>
        <v>186867.10428770355</v>
      </c>
      <c r="K158" s="2">
        <f t="shared" si="63"/>
        <v>122825932.8957123</v>
      </c>
      <c r="L158" s="2">
        <f t="shared" si="68"/>
        <v>33163001.881842323</v>
      </c>
      <c r="M158" s="2">
        <f t="shared" si="67"/>
        <v>89849798.118157685</v>
      </c>
      <c r="N158" s="2">
        <f t="shared" si="60"/>
        <v>815611.939036906</v>
      </c>
      <c r="P158">
        <v>155</v>
      </c>
      <c r="Q158" s="3">
        <f t="shared" si="58"/>
        <v>335332800</v>
      </c>
      <c r="R158" s="6">
        <f>$C$13+$C$6*$A$18*$C$10+50*'Carbon Tax'!$B$6</f>
        <v>131999782.44834734</v>
      </c>
      <c r="S158" s="3">
        <f t="shared" si="61"/>
        <v>203333017.55165267</v>
      </c>
      <c r="T158" s="7">
        <f t="shared" si="57"/>
        <v>1167.1452750796068</v>
      </c>
      <c r="U158" s="7">
        <f t="shared" si="73"/>
        <v>291.7863187699017</v>
      </c>
      <c r="V158" s="7">
        <f t="shared" si="64"/>
        <v>203332725.76533389</v>
      </c>
      <c r="W158" s="7">
        <f t="shared" si="65"/>
        <v>54899835.956640154</v>
      </c>
      <c r="X158" s="11">
        <f t="shared" si="66"/>
        <v>148433181.59501252</v>
      </c>
      <c r="Y158" s="7">
        <f t="shared" si="62"/>
        <v>1347402.8611496638</v>
      </c>
    </row>
    <row r="159" spans="5:25">
      <c r="E159">
        <v>156</v>
      </c>
      <c r="F159" s="2">
        <f t="shared" si="71"/>
        <v>142612800</v>
      </c>
      <c r="G159" s="2">
        <f t="shared" si="72"/>
        <v>19600000</v>
      </c>
      <c r="H159" s="2">
        <f t="shared" si="59"/>
        <v>123012800</v>
      </c>
      <c r="I159" s="2">
        <f t="shared" si="69"/>
        <v>436023.243337975</v>
      </c>
      <c r="J159" s="2">
        <f t="shared" si="70"/>
        <v>130806.9730013925</v>
      </c>
      <c r="K159" s="2">
        <f t="shared" si="63"/>
        <v>122881993.02699861</v>
      </c>
      <c r="L159" s="2">
        <f t="shared" si="68"/>
        <v>33178138.117289625</v>
      </c>
      <c r="M159" s="2">
        <f t="shared" si="67"/>
        <v>89834661.882710367</v>
      </c>
      <c r="N159" s="2">
        <f t="shared" si="60"/>
        <v>791108.40104076231</v>
      </c>
      <c r="P159">
        <v>156</v>
      </c>
      <c r="Q159" s="3">
        <f t="shared" si="58"/>
        <v>335332800</v>
      </c>
      <c r="R159" s="6">
        <f>$C$13+$C$6*$A$18*$C$10+50*'Carbon Tax'!$B$6</f>
        <v>131999782.44834734</v>
      </c>
      <c r="S159" s="3">
        <f t="shared" si="61"/>
        <v>203333017.55165267</v>
      </c>
      <c r="T159" s="7">
        <f t="shared" si="57"/>
        <v>875.35895630970504</v>
      </c>
      <c r="U159" s="7">
        <f t="shared" si="73"/>
        <v>218.83973907742626</v>
      </c>
      <c r="V159" s="7">
        <f t="shared" si="64"/>
        <v>203332798.71191359</v>
      </c>
      <c r="W159" s="7">
        <f t="shared" si="65"/>
        <v>54899855.652216673</v>
      </c>
      <c r="X159" s="11">
        <f t="shared" si="66"/>
        <v>148433161.899436</v>
      </c>
      <c r="Y159" s="7">
        <f t="shared" si="62"/>
        <v>1307142.687585352</v>
      </c>
    </row>
    <row r="160" spans="5:25">
      <c r="E160">
        <v>157</v>
      </c>
      <c r="F160" s="2">
        <f t="shared" si="71"/>
        <v>142612800</v>
      </c>
      <c r="G160" s="2">
        <f t="shared" si="72"/>
        <v>19600000</v>
      </c>
      <c r="H160" s="2">
        <f t="shared" si="59"/>
        <v>123012800</v>
      </c>
      <c r="I160" s="2">
        <f t="shared" si="69"/>
        <v>305216.2703365825</v>
      </c>
      <c r="J160" s="2">
        <f t="shared" si="70"/>
        <v>91564.881100974744</v>
      </c>
      <c r="K160" s="2">
        <f t="shared" si="63"/>
        <v>122921235.11889903</v>
      </c>
      <c r="L160" s="2">
        <f t="shared" si="68"/>
        <v>33188733.482102741</v>
      </c>
      <c r="M160" s="2">
        <f t="shared" si="67"/>
        <v>89824066.517897263</v>
      </c>
      <c r="N160" s="2">
        <f t="shared" si="60"/>
        <v>767379.797617506</v>
      </c>
      <c r="P160">
        <v>157</v>
      </c>
      <c r="Q160" s="3">
        <f t="shared" si="58"/>
        <v>335332800</v>
      </c>
      <c r="R160" s="6">
        <f>$C$13+$C$6*$A$18*$C$10+50*'Carbon Tax'!$B$6</f>
        <v>131999782.44834734</v>
      </c>
      <c r="S160" s="3">
        <f t="shared" si="61"/>
        <v>203333017.55165267</v>
      </c>
      <c r="T160" s="7">
        <f t="shared" si="57"/>
        <v>656.51921723227883</v>
      </c>
      <c r="U160" s="7">
        <f t="shared" si="73"/>
        <v>164.12980430806971</v>
      </c>
      <c r="V160" s="7">
        <f t="shared" si="64"/>
        <v>203332853.42184836</v>
      </c>
      <c r="W160" s="7">
        <f t="shared" si="65"/>
        <v>54899870.423899062</v>
      </c>
      <c r="X160" s="11">
        <f t="shared" si="66"/>
        <v>148433147.12775362</v>
      </c>
      <c r="Y160" s="7">
        <f t="shared" si="62"/>
        <v>1268085.5233817522</v>
      </c>
    </row>
    <row r="161" spans="5:25">
      <c r="E161">
        <v>158</v>
      </c>
      <c r="F161" s="2">
        <f t="shared" si="71"/>
        <v>142612800</v>
      </c>
      <c r="G161" s="2">
        <f t="shared" si="72"/>
        <v>19600000</v>
      </c>
      <c r="H161" s="2">
        <f t="shared" si="59"/>
        <v>123012800</v>
      </c>
      <c r="I161" s="2">
        <f t="shared" si="69"/>
        <v>213651.38923560776</v>
      </c>
      <c r="J161" s="2">
        <f t="shared" si="70"/>
        <v>64095.416770682321</v>
      </c>
      <c r="K161" s="2">
        <f t="shared" si="63"/>
        <v>122948704.58322932</v>
      </c>
      <c r="L161" s="2">
        <f t="shared" si="68"/>
        <v>33196150.23747192</v>
      </c>
      <c r="M161" s="2">
        <f t="shared" si="67"/>
        <v>89816649.762528077</v>
      </c>
      <c r="N161" s="2">
        <f t="shared" si="60"/>
        <v>744389.24642967794</v>
      </c>
      <c r="P161">
        <v>158</v>
      </c>
      <c r="Q161" s="3">
        <f t="shared" si="58"/>
        <v>335332800</v>
      </c>
      <c r="R161" s="6">
        <f>$C$13+$C$6*$A$18*$C$10+50*'Carbon Tax'!$B$6</f>
        <v>131999782.44834734</v>
      </c>
      <c r="S161" s="3">
        <f t="shared" si="61"/>
        <v>203333017.55165267</v>
      </c>
      <c r="T161" s="7">
        <f t="shared" si="57"/>
        <v>492.38941292420913</v>
      </c>
      <c r="U161" s="7">
        <f t="shared" si="73"/>
        <v>123.09735323105228</v>
      </c>
      <c r="V161" s="7">
        <f t="shared" si="64"/>
        <v>203332894.45429945</v>
      </c>
      <c r="W161" s="7">
        <f t="shared" si="65"/>
        <v>54899881.502660856</v>
      </c>
      <c r="X161" s="11">
        <f t="shared" si="66"/>
        <v>148433136.0489918</v>
      </c>
      <c r="Y161" s="7">
        <f t="shared" si="62"/>
        <v>1230195.410103135</v>
      </c>
    </row>
    <row r="162" spans="5:25">
      <c r="E162">
        <v>159</v>
      </c>
      <c r="F162" s="2">
        <f t="shared" si="71"/>
        <v>142612800</v>
      </c>
      <c r="G162" s="2">
        <f t="shared" si="72"/>
        <v>19600000</v>
      </c>
      <c r="H162" s="2">
        <f t="shared" si="59"/>
        <v>123012800</v>
      </c>
      <c r="I162" s="2">
        <f t="shared" si="69"/>
        <v>149555.97246492543</v>
      </c>
      <c r="J162" s="2">
        <f t="shared" si="70"/>
        <v>44866.79173947763</v>
      </c>
      <c r="K162" s="2">
        <f t="shared" si="63"/>
        <v>122967933.20826052</v>
      </c>
      <c r="L162" s="2">
        <f t="shared" si="68"/>
        <v>33201341.966230344</v>
      </c>
      <c r="M162" s="2">
        <f t="shared" si="67"/>
        <v>89811458.033769652</v>
      </c>
      <c r="N162" s="2">
        <f t="shared" si="60"/>
        <v>722105.37255146867</v>
      </c>
      <c r="P162">
        <v>159</v>
      </c>
      <c r="Q162" s="3">
        <f t="shared" si="58"/>
        <v>335332800</v>
      </c>
      <c r="R162" s="6">
        <f>$C$13+$C$6*$A$18*$C$10+50*'Carbon Tax'!$B$6</f>
        <v>131999782.44834734</v>
      </c>
      <c r="S162" s="3">
        <f t="shared" si="61"/>
        <v>203333017.55165267</v>
      </c>
      <c r="T162" s="7">
        <f t="shared" si="57"/>
        <v>369.29205969315683</v>
      </c>
      <c r="U162" s="7">
        <f t="shared" si="73"/>
        <v>92.323014923289207</v>
      </c>
      <c r="V162" s="7">
        <f t="shared" si="64"/>
        <v>203332925.22863775</v>
      </c>
      <c r="W162" s="7">
        <f t="shared" si="65"/>
        <v>54899889.811732195</v>
      </c>
      <c r="X162" s="11">
        <f t="shared" si="66"/>
        <v>148433127.73992047</v>
      </c>
      <c r="Y162" s="7">
        <f t="shared" si="62"/>
        <v>1193437.4672473643</v>
      </c>
    </row>
    <row r="163" spans="5:25">
      <c r="E163">
        <v>160</v>
      </c>
      <c r="F163" s="2">
        <f t="shared" si="71"/>
        <v>142612800</v>
      </c>
      <c r="G163" s="2">
        <f t="shared" si="72"/>
        <v>19600000</v>
      </c>
      <c r="H163" s="2">
        <f t="shared" si="59"/>
        <v>123012800</v>
      </c>
      <c r="I163" s="2">
        <f t="shared" si="69"/>
        <v>104689.1807254478</v>
      </c>
      <c r="J163" s="2">
        <f t="shared" si="70"/>
        <v>31406.754217634341</v>
      </c>
      <c r="K163" s="2">
        <f t="shared" si="63"/>
        <v>122981393.24578236</v>
      </c>
      <c r="L163" s="2">
        <f t="shared" si="68"/>
        <v>33204976.17636124</v>
      </c>
      <c r="M163" s="2">
        <f t="shared" si="67"/>
        <v>89807823.823638767</v>
      </c>
      <c r="N163" s="2">
        <f t="shared" ref="N163:N168" si="74">M163/((1+$B$16)^E163)</f>
        <v>700500.73015341384</v>
      </c>
      <c r="P163">
        <v>160</v>
      </c>
      <c r="Q163" s="3">
        <f t="shared" si="58"/>
        <v>335332800</v>
      </c>
      <c r="R163" s="6">
        <f>$C$13+$C$6*$A$18*$C$10+50*'Carbon Tax'!$B$6</f>
        <v>131999782.44834734</v>
      </c>
      <c r="S163" s="3">
        <f t="shared" si="61"/>
        <v>203333017.55165267</v>
      </c>
      <c r="T163" s="7">
        <f t="shared" si="57"/>
        <v>276.96904476986765</v>
      </c>
      <c r="U163" s="7">
        <f t="shared" si="73"/>
        <v>69.242261192466913</v>
      </c>
      <c r="V163" s="7">
        <f t="shared" si="64"/>
        <v>203332948.30939147</v>
      </c>
      <c r="W163" s="7">
        <f t="shared" si="65"/>
        <v>54899896.043535702</v>
      </c>
      <c r="X163" s="11">
        <f t="shared" si="66"/>
        <v>148433121.50811696</v>
      </c>
      <c r="Y163" s="7">
        <f t="shared" ref="Y163:Y168" si="75">X163/((1+$B$16)^P163)</f>
        <v>1157777.8590824497</v>
      </c>
    </row>
    <row r="164" spans="5:25">
      <c r="E164">
        <v>161</v>
      </c>
      <c r="F164" s="2">
        <f t="shared" si="71"/>
        <v>142612800</v>
      </c>
      <c r="G164" s="2">
        <f t="shared" si="72"/>
        <v>19600000</v>
      </c>
      <c r="H164" s="2">
        <f t="shared" si="59"/>
        <v>123012800</v>
      </c>
      <c r="I164" s="2">
        <f t="shared" si="69"/>
        <v>73282.426507813463</v>
      </c>
      <c r="J164" s="2">
        <f t="shared" si="70"/>
        <v>21984.727952344037</v>
      </c>
      <c r="K164" s="2">
        <f t="shared" si="63"/>
        <v>122990815.27204765</v>
      </c>
      <c r="L164" s="2">
        <f t="shared" si="68"/>
        <v>33207520.123452868</v>
      </c>
      <c r="M164" s="2">
        <f t="shared" si="67"/>
        <v>89805279.876547128</v>
      </c>
      <c r="N164" s="2">
        <f t="shared" si="74"/>
        <v>679550.72504314559</v>
      </c>
      <c r="P164">
        <v>161</v>
      </c>
      <c r="Q164" s="3">
        <f t="shared" si="58"/>
        <v>335332800</v>
      </c>
      <c r="R164" s="6">
        <f>$C$13+$C$6*$A$18*$C$10+50*'Carbon Tax'!$B$6</f>
        <v>131999782.44834734</v>
      </c>
      <c r="S164" s="3">
        <f t="shared" si="61"/>
        <v>203333017.55165267</v>
      </c>
      <c r="T164" s="7">
        <f t="shared" si="57"/>
        <v>207.72678357740074</v>
      </c>
      <c r="U164" s="7">
        <f t="shared" si="73"/>
        <v>51.931695894350185</v>
      </c>
      <c r="V164" s="7">
        <f t="shared" si="64"/>
        <v>203332965.61995676</v>
      </c>
      <c r="W164" s="7">
        <f t="shared" si="65"/>
        <v>54899900.717388332</v>
      </c>
      <c r="X164" s="11">
        <f t="shared" si="66"/>
        <v>148433116.83426434</v>
      </c>
      <c r="Y164" s="7">
        <f t="shared" si="75"/>
        <v>1123183.7627342015</v>
      </c>
    </row>
    <row r="165" spans="5:25">
      <c r="E165">
        <v>162</v>
      </c>
      <c r="F165" s="2">
        <f t="shared" si="71"/>
        <v>142612800</v>
      </c>
      <c r="G165" s="2">
        <f t="shared" si="72"/>
        <v>19600000</v>
      </c>
      <c r="H165" s="2">
        <f t="shared" si="59"/>
        <v>123012800</v>
      </c>
      <c r="I165" s="2">
        <f t="shared" si="69"/>
        <v>51297.698555469426</v>
      </c>
      <c r="J165" s="2">
        <f t="shared" si="70"/>
        <v>15389.309566640826</v>
      </c>
      <c r="K165" s="2">
        <f t="shared" si="63"/>
        <v>122997410.69043335</v>
      </c>
      <c r="L165" s="2">
        <f t="shared" si="68"/>
        <v>33209300.886417009</v>
      </c>
      <c r="M165" s="2">
        <f t="shared" si="67"/>
        <v>89803499.113582999</v>
      </c>
      <c r="N165" s="2">
        <f t="shared" si="74"/>
        <v>659232.87749840517</v>
      </c>
      <c r="P165">
        <v>162</v>
      </c>
      <c r="Q165" s="3">
        <f t="shared" si="58"/>
        <v>335332800</v>
      </c>
      <c r="R165" s="6">
        <f>$C$13+$C$6*$A$18*$C$10+50*'Carbon Tax'!$B$6</f>
        <v>131999782.44834734</v>
      </c>
      <c r="S165" s="3">
        <f t="shared" si="61"/>
        <v>203333017.55165267</v>
      </c>
      <c r="T165" s="7">
        <f t="shared" si="57"/>
        <v>155.79508768305055</v>
      </c>
      <c r="U165" s="7">
        <f t="shared" si="73"/>
        <v>38.948771920762638</v>
      </c>
      <c r="V165" s="7">
        <f t="shared" si="64"/>
        <v>203332978.60288075</v>
      </c>
      <c r="W165" s="7">
        <f t="shared" ref="W165:W168" si="76">IF(W164&lt;0,V165*$B$15+W164,V165*$B$15)</f>
        <v>54899904.222777806</v>
      </c>
      <c r="X165" s="11">
        <f t="shared" si="66"/>
        <v>148433113.32887486</v>
      </c>
      <c r="Y165" s="7">
        <f t="shared" si="75"/>
        <v>1089623.337416712</v>
      </c>
    </row>
    <row r="166" spans="5:25">
      <c r="E166">
        <v>163</v>
      </c>
      <c r="F166" s="2">
        <f t="shared" si="71"/>
        <v>142612800</v>
      </c>
      <c r="G166" s="2">
        <f t="shared" si="72"/>
        <v>19600000</v>
      </c>
      <c r="H166" s="2">
        <f t="shared" si="59"/>
        <v>123012800</v>
      </c>
      <c r="I166" s="2">
        <f t="shared" si="69"/>
        <v>35908.388988828599</v>
      </c>
      <c r="J166" s="2">
        <f t="shared" si="70"/>
        <v>10772.516696648579</v>
      </c>
      <c r="K166" s="2">
        <f t="shared" si="63"/>
        <v>123002027.48330335</v>
      </c>
      <c r="L166" s="2">
        <f t="shared" si="68"/>
        <v>33210547.420491908</v>
      </c>
      <c r="M166" s="2">
        <f t="shared" si="67"/>
        <v>89802252.579508096</v>
      </c>
      <c r="N166" s="2">
        <f t="shared" si="74"/>
        <v>639526.31635094213</v>
      </c>
      <c r="P166">
        <v>163</v>
      </c>
      <c r="Q166" s="3">
        <f t="shared" si="58"/>
        <v>335332800</v>
      </c>
      <c r="R166" s="6">
        <f>$C$13+$C$6*$A$18*$C$10+50*'Carbon Tax'!$B$6</f>
        <v>131999782.44834734</v>
      </c>
      <c r="S166" s="3">
        <f t="shared" si="61"/>
        <v>203333017.55165267</v>
      </c>
      <c r="T166" s="7">
        <f t="shared" si="57"/>
        <v>116.84631576228792</v>
      </c>
      <c r="U166" s="7">
        <f t="shared" si="73"/>
        <v>29.211578940571979</v>
      </c>
      <c r="V166" s="7">
        <f t="shared" si="64"/>
        <v>203332988.34007373</v>
      </c>
      <c r="W166" s="7">
        <f t="shared" si="76"/>
        <v>54899906.85181991</v>
      </c>
      <c r="X166" s="11">
        <f t="shared" si="66"/>
        <v>148433110.69983277</v>
      </c>
      <c r="Y166" s="7">
        <f t="shared" si="75"/>
        <v>1057065.694719967</v>
      </c>
    </row>
    <row r="167" spans="5:25">
      <c r="E167">
        <v>164</v>
      </c>
      <c r="F167" s="2">
        <f t="shared" si="71"/>
        <v>142612800</v>
      </c>
      <c r="G167" s="2">
        <f t="shared" si="72"/>
        <v>19600000</v>
      </c>
      <c r="H167" s="2">
        <f t="shared" si="59"/>
        <v>123012800</v>
      </c>
      <c r="I167" s="2">
        <f t="shared" si="69"/>
        <v>25135.872292180022</v>
      </c>
      <c r="J167" s="2">
        <f t="shared" si="70"/>
        <v>7540.761687654006</v>
      </c>
      <c r="K167" s="2">
        <f t="shared" si="63"/>
        <v>123005259.23831235</v>
      </c>
      <c r="L167" s="2">
        <f t="shared" si="68"/>
        <v>33211419.994344335</v>
      </c>
      <c r="M167" s="2">
        <f t="shared" si="67"/>
        <v>89801380.005655661</v>
      </c>
      <c r="N167" s="2">
        <f t="shared" si="74"/>
        <v>620411.43026812712</v>
      </c>
      <c r="P167">
        <v>164</v>
      </c>
      <c r="Q167" s="3">
        <f t="shared" si="58"/>
        <v>335332800</v>
      </c>
      <c r="R167" s="6">
        <f>$C$13+$C$6*$A$18*$C$10+50*'Carbon Tax'!$B$6</f>
        <v>131999782.44834734</v>
      </c>
      <c r="S167" s="3">
        <f t="shared" si="61"/>
        <v>203333017.55165267</v>
      </c>
      <c r="T167" s="7">
        <f t="shared" si="57"/>
        <v>87.634736821715933</v>
      </c>
      <c r="U167" s="7">
        <f t="shared" si="73"/>
        <v>21.908684205428983</v>
      </c>
      <c r="V167" s="7">
        <f t="shared" si="64"/>
        <v>203332995.64296848</v>
      </c>
      <c r="W167" s="7">
        <f t="shared" si="76"/>
        <v>54899908.823601492</v>
      </c>
      <c r="X167" s="11">
        <f t="shared" si="66"/>
        <v>148433108.72805119</v>
      </c>
      <c r="Y167" s="7">
        <f t="shared" si="75"/>
        <v>1025480.8698854614</v>
      </c>
    </row>
    <row r="168" spans="5:25">
      <c r="E168">
        <v>165</v>
      </c>
      <c r="F168" s="2">
        <f t="shared" si="71"/>
        <v>142612800</v>
      </c>
      <c r="G168" s="2">
        <f t="shared" si="72"/>
        <v>19600000</v>
      </c>
      <c r="H168" s="2">
        <f t="shared" si="59"/>
        <v>123012800</v>
      </c>
      <c r="I168" s="2">
        <f t="shared" si="69"/>
        <v>17595.110604526017</v>
      </c>
      <c r="J168" s="13">
        <v>0</v>
      </c>
      <c r="K168" s="13">
        <f>H168-J168+$B$14</f>
        <v>123012800</v>
      </c>
      <c r="L168" s="2">
        <f t="shared" si="68"/>
        <v>33213456.000000004</v>
      </c>
      <c r="M168" s="13">
        <f>IF(L168&lt;0,H168,H168-L168+$B$14)</f>
        <v>89799344</v>
      </c>
      <c r="N168" s="2">
        <f t="shared" si="74"/>
        <v>601860.07382754085</v>
      </c>
      <c r="P168">
        <v>165</v>
      </c>
      <c r="Q168" s="3">
        <f t="shared" si="58"/>
        <v>335332800</v>
      </c>
      <c r="R168" s="6">
        <f>$C$13+$C$6*$A$18*$C$10+50*'Carbon Tax'!$B$6</f>
        <v>131999782.44834734</v>
      </c>
      <c r="S168" s="3">
        <f t="shared" si="61"/>
        <v>203333017.55165267</v>
      </c>
      <c r="T168" s="7">
        <f t="shared" si="57"/>
        <v>65.72605261628695</v>
      </c>
      <c r="U168" s="15">
        <v>0</v>
      </c>
      <c r="V168" s="15">
        <f>S168-U168+$C$14</f>
        <v>203333017.55165267</v>
      </c>
      <c r="W168" s="7">
        <f t="shared" si="76"/>
        <v>54899914.738946222</v>
      </c>
      <c r="X168" s="16">
        <f>IF(W168&lt;0,S168,S168-W168+$C$14)</f>
        <v>148433102.81270644</v>
      </c>
      <c r="Y168" s="7">
        <f t="shared" si="75"/>
        <v>994839.76427830546</v>
      </c>
    </row>
    <row r="169" spans="5:25">
      <c r="M169"/>
      <c r="N169" s="2">
        <f>SUM(N3:N168)</f>
        <v>1117786700.9384301</v>
      </c>
      <c r="X169" s="2"/>
      <c r="Y169" s="12">
        <f>SUM(Y3:Y168)</f>
        <v>3606020350.3754544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9A85-9711-416D-8BF4-92F2F86372AB}">
  <dimension ref="A1:Y169"/>
  <sheetViews>
    <sheetView topLeftCell="A10" workbookViewId="0" xr3:uid="{6133FF39-F101-55F0-9EDA-C6E1D5BB5054}">
      <selection activeCell="B39" sqref="B39:C39"/>
    </sheetView>
  </sheetViews>
  <sheetFormatPr defaultRowHeight="15"/>
  <cols>
    <col min="1" max="1" width="19.140625" customWidth="1"/>
    <col min="2" max="2" width="22.5703125" customWidth="1"/>
    <col min="3" max="3" width="21" customWidth="1"/>
    <col min="6" max="6" width="15.85546875" style="2" bestFit="1" customWidth="1"/>
    <col min="7" max="7" width="17.5703125" bestFit="1" customWidth="1"/>
    <col min="8" max="8" width="18.5703125" bestFit="1" customWidth="1"/>
    <col min="9" max="12" width="18.5703125" customWidth="1"/>
    <col min="13" max="13" width="18.5703125" style="2" customWidth="1"/>
    <col min="14" max="14" width="18.5703125" bestFit="1" customWidth="1"/>
    <col min="17" max="17" width="15.140625" bestFit="1" customWidth="1"/>
    <col min="18" max="18" width="16.28515625" bestFit="1" customWidth="1"/>
    <col min="19" max="23" width="20.85546875" customWidth="1"/>
    <col min="24" max="24" width="20.85546875" style="11" customWidth="1"/>
    <col min="25" max="25" width="17.5703125" customWidth="1"/>
  </cols>
  <sheetData>
    <row r="1" spans="1:25">
      <c r="A1" t="s">
        <v>0</v>
      </c>
      <c r="B1" t="s">
        <v>1</v>
      </c>
      <c r="C1" t="s">
        <v>2</v>
      </c>
      <c r="E1" t="s">
        <v>3</v>
      </c>
      <c r="N1" s="2"/>
    </row>
    <row r="2" spans="1:25">
      <c r="A2" t="s">
        <v>4</v>
      </c>
      <c r="B2">
        <v>3</v>
      </c>
      <c r="C2">
        <v>5</v>
      </c>
      <c r="E2" t="s">
        <v>5</v>
      </c>
      <c r="F2" s="2" t="s">
        <v>34</v>
      </c>
      <c r="G2" t="s">
        <v>7</v>
      </c>
      <c r="H2" t="s">
        <v>48</v>
      </c>
      <c r="I2" t="s">
        <v>49</v>
      </c>
      <c r="J2" t="s">
        <v>50</v>
      </c>
      <c r="K2" t="s">
        <v>51</v>
      </c>
      <c r="L2" t="s">
        <v>35</v>
      </c>
      <c r="M2" s="2" t="s">
        <v>36</v>
      </c>
      <c r="N2" t="s">
        <v>9</v>
      </c>
      <c r="P2" t="s">
        <v>5</v>
      </c>
      <c r="Q2" t="s">
        <v>6</v>
      </c>
      <c r="R2" t="s">
        <v>7</v>
      </c>
      <c r="S2" t="s">
        <v>48</v>
      </c>
      <c r="T2" t="s">
        <v>49</v>
      </c>
      <c r="U2" t="s">
        <v>50</v>
      </c>
      <c r="V2" t="s">
        <v>51</v>
      </c>
      <c r="W2" t="s">
        <v>35</v>
      </c>
      <c r="X2" s="11" t="s">
        <v>36</v>
      </c>
      <c r="Y2" t="s">
        <v>9</v>
      </c>
    </row>
    <row r="3" spans="1:25">
      <c r="A3" t="s">
        <v>10</v>
      </c>
      <c r="B3">
        <v>30</v>
      </c>
      <c r="C3">
        <v>50</v>
      </c>
      <c r="E3">
        <v>0</v>
      </c>
      <c r="F3" s="2">
        <v>0</v>
      </c>
      <c r="G3" s="2">
        <f>B12</f>
        <v>1115200000</v>
      </c>
      <c r="H3" s="2">
        <f t="shared" ref="H3:H66" si="0">$F3-$G3</f>
        <v>-1115200000</v>
      </c>
      <c r="I3" s="2"/>
      <c r="J3" s="2"/>
      <c r="K3" s="2"/>
      <c r="L3" s="2">
        <v>0</v>
      </c>
      <c r="M3" s="2">
        <f t="shared" ref="M3" si="1">H3</f>
        <v>-1115200000</v>
      </c>
      <c r="N3" s="2">
        <f t="shared" ref="N3:N34" si="2">M3/((1+$B$16)^E3)</f>
        <v>-1115200000</v>
      </c>
      <c r="O3" s="2"/>
      <c r="P3">
        <v>0</v>
      </c>
      <c r="Q3" s="7">
        <v>0</v>
      </c>
      <c r="R3" s="7">
        <f>C12</f>
        <v>366800000</v>
      </c>
      <c r="S3" s="7">
        <f t="shared" ref="S3:S66" si="3">Q3-R3</f>
        <v>-366800000</v>
      </c>
      <c r="T3" s="7"/>
      <c r="U3" s="7"/>
      <c r="V3" s="7"/>
      <c r="W3" s="7">
        <f>V3*$B$15</f>
        <v>0</v>
      </c>
      <c r="X3" s="11">
        <f t="shared" ref="X3" si="4">S3</f>
        <v>-366800000</v>
      </c>
      <c r="Y3" s="7">
        <f t="shared" ref="Y3:Y34" si="5">X3/((1+$B$16)^P3)</f>
        <v>-366800000</v>
      </c>
    </row>
    <row r="4" spans="1:25">
      <c r="A4" t="s">
        <v>11</v>
      </c>
      <c r="B4" s="1">
        <v>2788000</v>
      </c>
      <c r="C4" s="1">
        <v>917000</v>
      </c>
      <c r="E4">
        <v>1</v>
      </c>
      <c r="F4" s="2">
        <v>0</v>
      </c>
      <c r="G4" s="2">
        <v>0</v>
      </c>
      <c r="H4" s="2">
        <f t="shared" si="0"/>
        <v>0</v>
      </c>
      <c r="I4" s="2">
        <v>1115200000</v>
      </c>
      <c r="J4" s="2">
        <f t="shared" ref="J4:J67" si="6">I4*0.3</f>
        <v>334560000</v>
      </c>
      <c r="K4" s="2">
        <f t="shared" ref="K4:K67" si="7">H4-J4</f>
        <v>-334560000</v>
      </c>
      <c r="L4" s="2">
        <f>K4*$B$15</f>
        <v>-90331200</v>
      </c>
      <c r="M4" s="2">
        <f>IF(L4&lt;0,H4,H4-L4)</f>
        <v>0</v>
      </c>
      <c r="N4" s="2">
        <f t="shared" si="2"/>
        <v>0</v>
      </c>
      <c r="O4" s="2"/>
      <c r="P4">
        <v>1</v>
      </c>
      <c r="Q4" s="7">
        <v>0</v>
      </c>
      <c r="R4" s="7">
        <v>0</v>
      </c>
      <c r="S4" s="7">
        <f t="shared" si="3"/>
        <v>0</v>
      </c>
      <c r="T4" s="7">
        <f>-S3</f>
        <v>366800000</v>
      </c>
      <c r="U4" s="7">
        <f t="shared" ref="U4:U35" si="8">T4*$B$29</f>
        <v>91700000</v>
      </c>
      <c r="V4" s="7">
        <f t="shared" ref="V4:V67" si="9">S4-U4</f>
        <v>-91700000</v>
      </c>
      <c r="W4" s="7">
        <f>V4*$B$15+W3</f>
        <v>-24759000</v>
      </c>
      <c r="X4" s="11">
        <f>IF(W4&lt;0,S4,S4-W4)</f>
        <v>0</v>
      </c>
      <c r="Y4" s="7">
        <f t="shared" si="5"/>
        <v>0</v>
      </c>
    </row>
    <row r="5" spans="1:25">
      <c r="A5" t="s">
        <v>12</v>
      </c>
      <c r="B5" s="1">
        <v>49000</v>
      </c>
      <c r="C5" s="1">
        <v>13170</v>
      </c>
      <c r="E5">
        <v>2</v>
      </c>
      <c r="F5" s="2">
        <v>0</v>
      </c>
      <c r="G5" s="2">
        <v>0</v>
      </c>
      <c r="H5" s="2">
        <f t="shared" si="0"/>
        <v>0</v>
      </c>
      <c r="I5" s="2">
        <f t="shared" ref="I5:I36" si="10">I4-J4</f>
        <v>780640000</v>
      </c>
      <c r="J5" s="2">
        <f t="shared" si="6"/>
        <v>234192000</v>
      </c>
      <c r="K5" s="2">
        <f t="shared" si="7"/>
        <v>-234192000</v>
      </c>
      <c r="L5" s="2">
        <f t="shared" ref="L5:L36" si="11">IF(L4&lt;0,K5*$B$15+L4,K5*$B$15)</f>
        <v>-153563040</v>
      </c>
      <c r="M5" s="2">
        <f t="shared" ref="M5:M68" si="12">IF(L5&lt;0,H5,H5-L5)</f>
        <v>0</v>
      </c>
      <c r="N5" s="2">
        <f t="shared" si="2"/>
        <v>0</v>
      </c>
      <c r="O5" s="2"/>
      <c r="P5">
        <v>2</v>
      </c>
      <c r="Q5" s="7">
        <v>0</v>
      </c>
      <c r="R5" s="7">
        <v>0</v>
      </c>
      <c r="S5" s="7">
        <f t="shared" si="3"/>
        <v>0</v>
      </c>
      <c r="T5" s="7">
        <f>T4-U4</f>
        <v>275100000</v>
      </c>
      <c r="U5" s="7">
        <f t="shared" si="8"/>
        <v>68775000</v>
      </c>
      <c r="V5" s="7">
        <f t="shared" si="9"/>
        <v>-68775000</v>
      </c>
      <c r="W5" s="7">
        <f t="shared" ref="W5:W36" si="13">IF(W4&lt;0,V5*$B$15+W4,V5*$B$15)</f>
        <v>-43328250</v>
      </c>
      <c r="X5" s="11">
        <f t="shared" ref="X5:X68" si="14">IF(W5&lt;0,S5,S5-W5)</f>
        <v>0</v>
      </c>
      <c r="Y5" s="7">
        <f t="shared" si="5"/>
        <v>0</v>
      </c>
    </row>
    <row r="6" spans="1:25">
      <c r="A6" t="s">
        <v>13</v>
      </c>
      <c r="B6">
        <v>0</v>
      </c>
      <c r="C6">
        <v>183</v>
      </c>
      <c r="E6">
        <v>3</v>
      </c>
      <c r="F6" s="2">
        <v>0</v>
      </c>
      <c r="G6" s="2">
        <v>0</v>
      </c>
      <c r="H6" s="2">
        <f t="shared" si="0"/>
        <v>0</v>
      </c>
      <c r="I6" s="2">
        <f t="shared" si="10"/>
        <v>546448000</v>
      </c>
      <c r="J6" s="2">
        <f t="shared" si="6"/>
        <v>163934400</v>
      </c>
      <c r="K6" s="2">
        <f t="shared" si="7"/>
        <v>-163934400</v>
      </c>
      <c r="L6" s="2">
        <f t="shared" si="11"/>
        <v>-197825328</v>
      </c>
      <c r="M6" s="2">
        <f t="shared" si="12"/>
        <v>0</v>
      </c>
      <c r="N6" s="2">
        <f t="shared" si="2"/>
        <v>0</v>
      </c>
      <c r="O6" s="2"/>
      <c r="P6">
        <v>3</v>
      </c>
      <c r="Q6" s="7">
        <v>0</v>
      </c>
      <c r="R6" s="7">
        <v>0</v>
      </c>
      <c r="S6" s="7">
        <f t="shared" si="3"/>
        <v>0</v>
      </c>
      <c r="T6" s="7">
        <f t="shared" ref="T6:T58" si="15">T5-U5</f>
        <v>206325000</v>
      </c>
      <c r="U6" s="7">
        <f t="shared" si="8"/>
        <v>51581250</v>
      </c>
      <c r="V6" s="7">
        <f t="shared" si="9"/>
        <v>-51581250</v>
      </c>
      <c r="W6" s="7">
        <f t="shared" si="13"/>
        <v>-57255187.5</v>
      </c>
      <c r="X6" s="11">
        <f t="shared" si="14"/>
        <v>0</v>
      </c>
      <c r="Y6" s="7">
        <f t="shared" si="5"/>
        <v>0</v>
      </c>
    </row>
    <row r="7" spans="1:25">
      <c r="A7" t="s">
        <v>14</v>
      </c>
      <c r="B7">
        <v>0.37</v>
      </c>
      <c r="C7">
        <v>0.87</v>
      </c>
      <c r="E7">
        <v>4</v>
      </c>
      <c r="F7" s="2">
        <f t="shared" ref="F7:F36" si="16">$B$11</f>
        <v>142612800</v>
      </c>
      <c r="G7" s="2">
        <f t="shared" ref="G7:G35" si="17">$B$13</f>
        <v>19600000</v>
      </c>
      <c r="H7" s="2">
        <f t="shared" si="0"/>
        <v>123012800</v>
      </c>
      <c r="I7" s="2">
        <f t="shared" si="10"/>
        <v>382513600</v>
      </c>
      <c r="J7" s="2">
        <f t="shared" si="6"/>
        <v>114754080</v>
      </c>
      <c r="K7" s="2">
        <f t="shared" si="7"/>
        <v>8258720</v>
      </c>
      <c r="L7" s="2">
        <f t="shared" si="11"/>
        <v>-195595473.59999999</v>
      </c>
      <c r="M7" s="2">
        <f t="shared" si="12"/>
        <v>123012800</v>
      </c>
      <c r="N7" s="2">
        <f t="shared" si="2"/>
        <v>108956379.69124603</v>
      </c>
      <c r="O7" s="2"/>
      <c r="P7">
        <v>4</v>
      </c>
      <c r="Q7" s="7">
        <v>0</v>
      </c>
      <c r="R7" s="7">
        <v>0</v>
      </c>
      <c r="S7" s="7">
        <f t="shared" si="3"/>
        <v>0</v>
      </c>
      <c r="T7" s="7">
        <f t="shared" si="15"/>
        <v>154743750</v>
      </c>
      <c r="U7" s="7">
        <f t="shared" si="8"/>
        <v>38685937.5</v>
      </c>
      <c r="V7" s="7">
        <f t="shared" si="9"/>
        <v>-38685937.5</v>
      </c>
      <c r="W7" s="7">
        <f t="shared" si="13"/>
        <v>-67700390.625</v>
      </c>
      <c r="X7" s="11">
        <f t="shared" si="14"/>
        <v>0</v>
      </c>
      <c r="Y7" s="7">
        <f t="shared" si="5"/>
        <v>0</v>
      </c>
    </row>
    <row r="8" spans="1:25">
      <c r="A8" t="s">
        <v>15</v>
      </c>
      <c r="B8">
        <v>400</v>
      </c>
      <c r="C8">
        <v>400</v>
      </c>
      <c r="E8">
        <v>5</v>
      </c>
      <c r="F8" s="2">
        <f t="shared" si="16"/>
        <v>142612800</v>
      </c>
      <c r="G8" s="2">
        <f t="shared" si="17"/>
        <v>19600000</v>
      </c>
      <c r="H8" s="2">
        <f t="shared" si="0"/>
        <v>123012800</v>
      </c>
      <c r="I8" s="2">
        <f t="shared" si="10"/>
        <v>267759520</v>
      </c>
      <c r="J8" s="2">
        <f t="shared" si="6"/>
        <v>80327856</v>
      </c>
      <c r="K8" s="2">
        <f t="shared" si="7"/>
        <v>42684944</v>
      </c>
      <c r="L8" s="2">
        <f t="shared" si="11"/>
        <v>-184070538.72</v>
      </c>
      <c r="M8" s="2">
        <f t="shared" si="12"/>
        <v>123012800</v>
      </c>
      <c r="N8" s="2">
        <f t="shared" si="2"/>
        <v>105700795.19911334</v>
      </c>
      <c r="O8" s="2"/>
      <c r="P8">
        <v>5</v>
      </c>
      <c r="Q8" s="7">
        <v>0</v>
      </c>
      <c r="R8" s="7">
        <v>0</v>
      </c>
      <c r="S8" s="7">
        <f t="shared" si="3"/>
        <v>0</v>
      </c>
      <c r="T8" s="7">
        <f t="shared" si="15"/>
        <v>116057812.5</v>
      </c>
      <c r="U8" s="7">
        <f t="shared" si="8"/>
        <v>29014453.125</v>
      </c>
      <c r="V8" s="7">
        <f t="shared" si="9"/>
        <v>-29014453.125</v>
      </c>
      <c r="W8" s="7">
        <f t="shared" si="13"/>
        <v>-75534292.96875</v>
      </c>
      <c r="X8" s="11">
        <f t="shared" si="14"/>
        <v>0</v>
      </c>
      <c r="Y8" s="7">
        <f t="shared" si="5"/>
        <v>0</v>
      </c>
    </row>
    <row r="9" spans="1:25">
      <c r="A9" t="s">
        <v>16</v>
      </c>
      <c r="B9" s="1">
        <v>110</v>
      </c>
      <c r="C9" s="1">
        <f>B9</f>
        <v>110</v>
      </c>
      <c r="E9">
        <v>6</v>
      </c>
      <c r="F9" s="2">
        <f t="shared" si="16"/>
        <v>142612800</v>
      </c>
      <c r="G9" s="2">
        <f t="shared" si="17"/>
        <v>19600000</v>
      </c>
      <c r="H9" s="2">
        <f t="shared" si="0"/>
        <v>123012800</v>
      </c>
      <c r="I9" s="2">
        <f t="shared" si="10"/>
        <v>187431664</v>
      </c>
      <c r="J9" s="2">
        <f t="shared" si="6"/>
        <v>56229499.199999996</v>
      </c>
      <c r="K9" s="2">
        <f t="shared" si="7"/>
        <v>66783300.800000004</v>
      </c>
      <c r="L9" s="2">
        <f t="shared" si="11"/>
        <v>-166039047.50400001</v>
      </c>
      <c r="M9" s="2">
        <f t="shared" si="12"/>
        <v>123012800</v>
      </c>
      <c r="N9" s="2">
        <f t="shared" si="2"/>
        <v>102542486.61147976</v>
      </c>
      <c r="O9" s="2"/>
      <c r="P9">
        <v>6</v>
      </c>
      <c r="Q9" s="3">
        <f t="shared" ref="Q9:Q58" si="18">$C$11</f>
        <v>335332800</v>
      </c>
      <c r="R9" s="6">
        <f>$C$13+$C$6*$A$18*$C$10+50*'Carbon Tax'!$B$6</f>
        <v>228124447.71138734</v>
      </c>
      <c r="S9" s="3">
        <f t="shared" si="3"/>
        <v>107208352.28861266</v>
      </c>
      <c r="T9" s="7">
        <f t="shared" si="15"/>
        <v>87043359.375</v>
      </c>
      <c r="U9" s="7">
        <f t="shared" si="8"/>
        <v>21760839.84375</v>
      </c>
      <c r="V9" s="7">
        <f t="shared" si="9"/>
        <v>85447512.444862664</v>
      </c>
      <c r="W9" s="7">
        <f t="shared" si="13"/>
        <v>-52463464.60863708</v>
      </c>
      <c r="X9" s="11">
        <f t="shared" si="14"/>
        <v>107208352.28861266</v>
      </c>
      <c r="Y9" s="7">
        <f t="shared" si="5"/>
        <v>89368025.35340932</v>
      </c>
    </row>
    <row r="10" spans="1:25">
      <c r="A10" t="s">
        <v>17</v>
      </c>
      <c r="B10">
        <f>365*24*B8*B7</f>
        <v>1296480</v>
      </c>
      <c r="C10">
        <f>365*24*C8*C7</f>
        <v>3048480</v>
      </c>
      <c r="E10">
        <v>7</v>
      </c>
      <c r="F10" s="2">
        <f t="shared" si="16"/>
        <v>142612800</v>
      </c>
      <c r="G10" s="2">
        <f t="shared" si="17"/>
        <v>19600000</v>
      </c>
      <c r="H10" s="2">
        <f t="shared" si="0"/>
        <v>123012800</v>
      </c>
      <c r="I10" s="2">
        <f t="shared" si="10"/>
        <v>131202164.80000001</v>
      </c>
      <c r="J10" s="2">
        <f t="shared" si="6"/>
        <v>39360649.440000005</v>
      </c>
      <c r="K10" s="2">
        <f t="shared" si="7"/>
        <v>83652150.560000002</v>
      </c>
      <c r="L10" s="2">
        <f t="shared" si="11"/>
        <v>-143452966.85280001</v>
      </c>
      <c r="M10" s="2">
        <f t="shared" si="12"/>
        <v>123012800</v>
      </c>
      <c r="N10" s="2">
        <f t="shared" si="2"/>
        <v>99478547.353007168</v>
      </c>
      <c r="O10" s="2"/>
      <c r="P10">
        <v>7</v>
      </c>
      <c r="Q10" s="3">
        <f t="shared" si="18"/>
        <v>335332800</v>
      </c>
      <c r="R10" s="6">
        <f>$C$13+$C$6*$A$18*$C$10+50*'Carbon Tax'!$B$6</f>
        <v>228124447.71138734</v>
      </c>
      <c r="S10" s="3">
        <f t="shared" si="3"/>
        <v>107208352.28861266</v>
      </c>
      <c r="T10" s="7">
        <f t="shared" si="15"/>
        <v>65282519.53125</v>
      </c>
      <c r="U10" s="7">
        <f t="shared" si="8"/>
        <v>16320629.8828125</v>
      </c>
      <c r="V10" s="7">
        <f t="shared" si="9"/>
        <v>90887722.405800164</v>
      </c>
      <c r="W10" s="7">
        <f t="shared" si="13"/>
        <v>-27923779.559071034</v>
      </c>
      <c r="X10" s="11">
        <f t="shared" si="14"/>
        <v>107208352.28861266</v>
      </c>
      <c r="Y10" s="7">
        <f t="shared" si="5"/>
        <v>86697735.111960948</v>
      </c>
    </row>
    <row r="11" spans="1:25">
      <c r="A11" t="s">
        <v>18</v>
      </c>
      <c r="B11" s="1">
        <f>B10*B9</f>
        <v>142612800</v>
      </c>
      <c r="C11" s="3">
        <f>C10*C9</f>
        <v>335332800</v>
      </c>
      <c r="E11">
        <v>8</v>
      </c>
      <c r="F11" s="2">
        <f t="shared" si="16"/>
        <v>142612800</v>
      </c>
      <c r="G11" s="2">
        <f t="shared" si="17"/>
        <v>19600000</v>
      </c>
      <c r="H11" s="2">
        <f t="shared" si="0"/>
        <v>123012800</v>
      </c>
      <c r="I11" s="2">
        <f t="shared" si="10"/>
        <v>91841515.360000014</v>
      </c>
      <c r="J11" s="2">
        <f t="shared" si="6"/>
        <v>27552454.608000003</v>
      </c>
      <c r="K11" s="2">
        <f t="shared" si="7"/>
        <v>95460345.39199999</v>
      </c>
      <c r="L11" s="2">
        <f t="shared" si="11"/>
        <v>-117678673.59696001</v>
      </c>
      <c r="M11" s="2">
        <f t="shared" si="12"/>
        <v>123012800</v>
      </c>
      <c r="N11" s="2">
        <f t="shared" si="2"/>
        <v>96506157.695971236</v>
      </c>
      <c r="O11" s="2"/>
      <c r="P11">
        <v>8</v>
      </c>
      <c r="Q11" s="3">
        <f t="shared" si="18"/>
        <v>335332800</v>
      </c>
      <c r="R11" s="6">
        <f>$C$13+$C$6*$A$18*$C$10+50*'Carbon Tax'!$B$6</f>
        <v>228124447.71138734</v>
      </c>
      <c r="S11" s="3">
        <f t="shared" si="3"/>
        <v>107208352.28861266</v>
      </c>
      <c r="T11" s="7">
        <f t="shared" si="15"/>
        <v>48961889.6484375</v>
      </c>
      <c r="U11" s="7">
        <f t="shared" si="8"/>
        <v>12240472.412109375</v>
      </c>
      <c r="V11" s="7">
        <f t="shared" si="9"/>
        <v>94967879.876503289</v>
      </c>
      <c r="W11" s="7">
        <f t="shared" si="13"/>
        <v>-2282451.992415145</v>
      </c>
      <c r="X11" s="11">
        <f t="shared" si="14"/>
        <v>107208352.28861266</v>
      </c>
      <c r="Y11" s="7">
        <f t="shared" si="5"/>
        <v>84107232.355414167</v>
      </c>
    </row>
    <row r="12" spans="1:25">
      <c r="A12" t="s">
        <v>19</v>
      </c>
      <c r="B12" s="2">
        <f>B4*B8</f>
        <v>1115200000</v>
      </c>
      <c r="C12" s="3">
        <f>C4*C8</f>
        <v>366800000</v>
      </c>
      <c r="E12">
        <v>9</v>
      </c>
      <c r="F12" s="2">
        <f t="shared" si="16"/>
        <v>142612800</v>
      </c>
      <c r="G12" s="2">
        <f t="shared" si="17"/>
        <v>19600000</v>
      </c>
      <c r="H12" s="2">
        <f t="shared" si="0"/>
        <v>123012800</v>
      </c>
      <c r="I12" s="2">
        <f t="shared" si="10"/>
        <v>64289060.752000012</v>
      </c>
      <c r="J12" s="2">
        <f t="shared" si="6"/>
        <v>19286718.225600004</v>
      </c>
      <c r="K12" s="2">
        <f t="shared" si="7"/>
        <v>103726081.7744</v>
      </c>
      <c r="L12" s="2">
        <f t="shared" si="11"/>
        <v>-89672631.517872006</v>
      </c>
      <c r="M12" s="2">
        <f t="shared" si="12"/>
        <v>123012800</v>
      </c>
      <c r="N12" s="2">
        <f t="shared" si="2"/>
        <v>93622582.165280595</v>
      </c>
      <c r="O12" s="2"/>
      <c r="P12">
        <v>9</v>
      </c>
      <c r="Q12" s="3">
        <f t="shared" si="18"/>
        <v>335332800</v>
      </c>
      <c r="R12" s="6">
        <f>$C$13+$C$6*$A$18*$C$10+50*'Carbon Tax'!$B$6</f>
        <v>228124447.71138734</v>
      </c>
      <c r="S12" s="3">
        <f t="shared" si="3"/>
        <v>107208352.28861266</v>
      </c>
      <c r="T12" s="7">
        <f t="shared" si="15"/>
        <v>36721417.236328125</v>
      </c>
      <c r="U12" s="7">
        <f t="shared" si="8"/>
        <v>9180354.3090820313</v>
      </c>
      <c r="V12" s="7">
        <f t="shared" si="9"/>
        <v>98027997.979530632</v>
      </c>
      <c r="W12" s="7">
        <f t="shared" si="13"/>
        <v>24185107.462058127</v>
      </c>
      <c r="X12" s="11">
        <f t="shared" si="14"/>
        <v>83023244.826554537</v>
      </c>
      <c r="Y12" s="7">
        <f t="shared" si="5"/>
        <v>63187331.402929686</v>
      </c>
    </row>
    <row r="13" spans="1:25">
      <c r="A13" t="s">
        <v>20</v>
      </c>
      <c r="B13" s="1">
        <f>B5*B8</f>
        <v>19600000</v>
      </c>
      <c r="C13" s="1">
        <f>C5*C8</f>
        <v>5268000</v>
      </c>
      <c r="E13">
        <v>10</v>
      </c>
      <c r="F13" s="2">
        <f t="shared" si="16"/>
        <v>142612800</v>
      </c>
      <c r="G13" s="2">
        <f t="shared" si="17"/>
        <v>19600000</v>
      </c>
      <c r="H13" s="2">
        <f t="shared" si="0"/>
        <v>123012800</v>
      </c>
      <c r="I13" s="2">
        <f t="shared" si="10"/>
        <v>45002342.526400007</v>
      </c>
      <c r="J13" s="2">
        <f t="shared" si="6"/>
        <v>13500702.757920003</v>
      </c>
      <c r="K13" s="2">
        <f t="shared" si="7"/>
        <v>109512097.24208</v>
      </c>
      <c r="L13" s="2">
        <f t="shared" si="11"/>
        <v>-60104365.262510404</v>
      </c>
      <c r="M13" s="2">
        <f t="shared" si="12"/>
        <v>123012800</v>
      </c>
      <c r="N13" s="2">
        <f t="shared" si="2"/>
        <v>90825167.02103278</v>
      </c>
      <c r="O13" s="2"/>
      <c r="P13">
        <v>10</v>
      </c>
      <c r="Q13" s="3">
        <f t="shared" si="18"/>
        <v>335332800</v>
      </c>
      <c r="R13" s="6">
        <f>$C$13+$C$6*$A$18*$C$10+50*'Carbon Tax'!$B$6</f>
        <v>228124447.71138734</v>
      </c>
      <c r="S13" s="3">
        <f t="shared" si="3"/>
        <v>107208352.28861266</v>
      </c>
      <c r="T13" s="7">
        <f t="shared" si="15"/>
        <v>27541062.927246094</v>
      </c>
      <c r="U13" s="7">
        <f t="shared" si="8"/>
        <v>6885265.7318115234</v>
      </c>
      <c r="V13" s="7">
        <f t="shared" si="9"/>
        <v>100323086.55680114</v>
      </c>
      <c r="W13" s="7">
        <f t="shared" si="13"/>
        <v>27087233.370336309</v>
      </c>
      <c r="X13" s="11">
        <f t="shared" si="14"/>
        <v>80121118.918276355</v>
      </c>
      <c r="Y13" s="7">
        <f t="shared" si="5"/>
        <v>59156559.379710726</v>
      </c>
    </row>
    <row r="14" spans="1:25">
      <c r="E14">
        <v>11</v>
      </c>
      <c r="F14" s="2">
        <f t="shared" si="16"/>
        <v>142612800</v>
      </c>
      <c r="G14" s="2">
        <f t="shared" si="17"/>
        <v>19600000</v>
      </c>
      <c r="H14" s="2">
        <f t="shared" si="0"/>
        <v>123012800</v>
      </c>
      <c r="I14" s="2">
        <f t="shared" si="10"/>
        <v>31501639.768480003</v>
      </c>
      <c r="J14" s="2">
        <f t="shared" si="6"/>
        <v>9450491.9305440001</v>
      </c>
      <c r="K14" s="2">
        <f t="shared" si="7"/>
        <v>113562308.069456</v>
      </c>
      <c r="L14" s="2">
        <f t="shared" si="11"/>
        <v>-29442542.083757281</v>
      </c>
      <c r="M14" s="2">
        <f t="shared" si="12"/>
        <v>123012800</v>
      </c>
      <c r="N14" s="2">
        <f t="shared" si="2"/>
        <v>88111337.816291034</v>
      </c>
      <c r="O14" s="2"/>
      <c r="P14">
        <v>11</v>
      </c>
      <c r="Q14" s="3">
        <f t="shared" si="18"/>
        <v>335332800</v>
      </c>
      <c r="R14" s="6">
        <f>$C$13+$C$6*$A$18*$C$10+50*'Carbon Tax'!$B$6</f>
        <v>228124447.71138734</v>
      </c>
      <c r="S14" s="3">
        <f t="shared" si="3"/>
        <v>107208352.28861266</v>
      </c>
      <c r="T14" s="7">
        <f t="shared" si="15"/>
        <v>20655797.19543457</v>
      </c>
      <c r="U14" s="7">
        <f t="shared" si="8"/>
        <v>5163949.2988586426</v>
      </c>
      <c r="V14" s="7">
        <f t="shared" si="9"/>
        <v>102044402.98975402</v>
      </c>
      <c r="W14" s="7">
        <f t="shared" si="13"/>
        <v>27551988.807233587</v>
      </c>
      <c r="X14" s="11">
        <f t="shared" si="14"/>
        <v>79656363.481379077</v>
      </c>
      <c r="Y14" s="7">
        <f t="shared" si="5"/>
        <v>57056084.829587333</v>
      </c>
    </row>
    <row r="15" spans="1:25">
      <c r="A15" t="s">
        <v>21</v>
      </c>
      <c r="B15">
        <v>0.27</v>
      </c>
      <c r="C15">
        <v>0.27</v>
      </c>
      <c r="E15">
        <v>12</v>
      </c>
      <c r="F15" s="2">
        <f t="shared" si="16"/>
        <v>142612800</v>
      </c>
      <c r="G15" s="2">
        <f t="shared" si="17"/>
        <v>19600000</v>
      </c>
      <c r="H15" s="2">
        <f t="shared" si="0"/>
        <v>123012800</v>
      </c>
      <c r="I15" s="2">
        <f t="shared" si="10"/>
        <v>22051147.837936003</v>
      </c>
      <c r="J15" s="2">
        <f t="shared" si="6"/>
        <v>6615344.3513808008</v>
      </c>
      <c r="K15" s="2">
        <f t="shared" si="7"/>
        <v>116397455.6486192</v>
      </c>
      <c r="L15" s="2">
        <f t="shared" si="11"/>
        <v>1984770.9413699061</v>
      </c>
      <c r="M15" s="2">
        <f t="shared" si="12"/>
        <v>121028029.05863009</v>
      </c>
      <c r="N15" s="2">
        <f t="shared" si="2"/>
        <v>84099428.067449838</v>
      </c>
      <c r="O15" s="2"/>
      <c r="P15">
        <v>12</v>
      </c>
      <c r="Q15" s="3">
        <f t="shared" si="18"/>
        <v>335332800</v>
      </c>
      <c r="R15" s="6">
        <f>$C$13+$C$6*$A$18*$C$10+50*'Carbon Tax'!$B$6</f>
        <v>228124447.71138734</v>
      </c>
      <c r="S15" s="3">
        <f t="shared" si="3"/>
        <v>107208352.28861266</v>
      </c>
      <c r="T15" s="7">
        <f t="shared" si="15"/>
        <v>15491847.896575928</v>
      </c>
      <c r="U15" s="7">
        <f t="shared" si="8"/>
        <v>3872961.9741439819</v>
      </c>
      <c r="V15" s="7">
        <f t="shared" si="9"/>
        <v>103335390.31446868</v>
      </c>
      <c r="W15" s="7">
        <f t="shared" si="13"/>
        <v>27900555.384906545</v>
      </c>
      <c r="X15" s="11">
        <f t="shared" si="14"/>
        <v>79307796.903706118</v>
      </c>
      <c r="Y15" s="7">
        <f t="shared" si="5"/>
        <v>55109055.421038911</v>
      </c>
    </row>
    <row r="16" spans="1:25">
      <c r="A16" t="s">
        <v>22</v>
      </c>
      <c r="B16">
        <v>3.0800000000000001E-2</v>
      </c>
      <c r="E16">
        <v>13</v>
      </c>
      <c r="F16" s="2">
        <f t="shared" si="16"/>
        <v>142612800</v>
      </c>
      <c r="G16" s="2">
        <f t="shared" si="17"/>
        <v>19600000</v>
      </c>
      <c r="H16" s="2">
        <f t="shared" si="0"/>
        <v>123012800</v>
      </c>
      <c r="I16" s="2">
        <f t="shared" si="10"/>
        <v>15435803.486555202</v>
      </c>
      <c r="J16" s="2">
        <f t="shared" si="6"/>
        <v>4630741.04596656</v>
      </c>
      <c r="K16" s="2">
        <f t="shared" si="7"/>
        <v>118382058.95403343</v>
      </c>
      <c r="L16" s="2">
        <f t="shared" si="11"/>
        <v>31963155.917589031</v>
      </c>
      <c r="M16" s="2">
        <f t="shared" si="12"/>
        <v>91049644.082410961</v>
      </c>
      <c r="N16" s="2">
        <f t="shared" si="2"/>
        <v>61377744.362720199</v>
      </c>
      <c r="O16" s="2"/>
      <c r="P16">
        <v>13</v>
      </c>
      <c r="Q16" s="3">
        <f t="shared" si="18"/>
        <v>335332800</v>
      </c>
      <c r="R16" s="6">
        <f>$C$13+$C$6*$A$18*$C$10+50*'Carbon Tax'!$B$6</f>
        <v>228124447.71138734</v>
      </c>
      <c r="S16" s="3">
        <f t="shared" si="3"/>
        <v>107208352.28861266</v>
      </c>
      <c r="T16" s="7">
        <f t="shared" si="15"/>
        <v>11618885.922431946</v>
      </c>
      <c r="U16" s="7">
        <f t="shared" si="8"/>
        <v>2904721.4806079865</v>
      </c>
      <c r="V16" s="7">
        <f t="shared" si="9"/>
        <v>104303630.80800468</v>
      </c>
      <c r="W16" s="7">
        <f t="shared" si="13"/>
        <v>28161980.318161264</v>
      </c>
      <c r="X16" s="11">
        <f t="shared" si="14"/>
        <v>79046371.9704514</v>
      </c>
      <c r="Y16" s="7">
        <f t="shared" si="5"/>
        <v>53286183.164115302</v>
      </c>
    </row>
    <row r="17" spans="1:25">
      <c r="A17" t="s">
        <v>24</v>
      </c>
      <c r="B17" t="s">
        <v>25</v>
      </c>
      <c r="E17">
        <v>14</v>
      </c>
      <c r="F17" s="2">
        <f t="shared" si="16"/>
        <v>142612800</v>
      </c>
      <c r="G17" s="2">
        <f t="shared" si="17"/>
        <v>19600000</v>
      </c>
      <c r="H17" s="2">
        <f t="shared" si="0"/>
        <v>123012800</v>
      </c>
      <c r="I17" s="2">
        <f t="shared" si="10"/>
        <v>10805062.440588642</v>
      </c>
      <c r="J17" s="2">
        <f t="shared" si="6"/>
        <v>3241518.7321765926</v>
      </c>
      <c r="K17" s="2">
        <f t="shared" si="7"/>
        <v>119771281.26782341</v>
      </c>
      <c r="L17" s="2">
        <f t="shared" si="11"/>
        <v>32338245.942312323</v>
      </c>
      <c r="M17" s="2">
        <f t="shared" si="12"/>
        <v>90674554.05768767</v>
      </c>
      <c r="N17" s="2">
        <f t="shared" si="2"/>
        <v>59298497.592976049</v>
      </c>
      <c r="O17" s="2"/>
      <c r="P17">
        <v>14</v>
      </c>
      <c r="Q17" s="3">
        <f t="shared" si="18"/>
        <v>335332800</v>
      </c>
      <c r="R17" s="6">
        <f>$C$13+$C$6*$A$18*$C$10+50*'Carbon Tax'!$B$6</f>
        <v>228124447.71138734</v>
      </c>
      <c r="S17" s="3">
        <f t="shared" si="3"/>
        <v>107208352.28861266</v>
      </c>
      <c r="T17" s="7">
        <f t="shared" si="15"/>
        <v>8714164.4418239594</v>
      </c>
      <c r="U17" s="7">
        <f t="shared" si="8"/>
        <v>2178541.1104559898</v>
      </c>
      <c r="V17" s="7">
        <f t="shared" si="9"/>
        <v>105029811.17815667</v>
      </c>
      <c r="W17" s="7">
        <f t="shared" si="13"/>
        <v>28358049.018102303</v>
      </c>
      <c r="X17" s="11">
        <f t="shared" si="14"/>
        <v>78850303.270510361</v>
      </c>
      <c r="Y17" s="7">
        <f t="shared" si="5"/>
        <v>51565784.54984273</v>
      </c>
    </row>
    <row r="18" spans="1:25">
      <c r="A18">
        <v>0.35</v>
      </c>
      <c r="B18" t="s">
        <v>54</v>
      </c>
      <c r="E18">
        <v>15</v>
      </c>
      <c r="F18" s="2">
        <f t="shared" si="16"/>
        <v>142612800</v>
      </c>
      <c r="G18" s="2">
        <f t="shared" si="17"/>
        <v>19600000</v>
      </c>
      <c r="H18" s="2">
        <f t="shared" si="0"/>
        <v>123012800</v>
      </c>
      <c r="I18" s="2">
        <f t="shared" si="10"/>
        <v>7563543.7084120493</v>
      </c>
      <c r="J18" s="2">
        <f t="shared" si="6"/>
        <v>2269063.1125236149</v>
      </c>
      <c r="K18" s="2">
        <f t="shared" si="7"/>
        <v>120743736.88747638</v>
      </c>
      <c r="L18" s="2">
        <f t="shared" si="11"/>
        <v>32600808.959618624</v>
      </c>
      <c r="M18" s="2">
        <f t="shared" si="12"/>
        <v>90411991.040381372</v>
      </c>
      <c r="N18" s="2">
        <f t="shared" si="2"/>
        <v>57360098.06395629</v>
      </c>
      <c r="O18" s="2"/>
      <c r="P18">
        <v>15</v>
      </c>
      <c r="Q18" s="3">
        <f t="shared" si="18"/>
        <v>335332800</v>
      </c>
      <c r="R18" s="6">
        <f>$C$13+$C$6*$A$18*$C$10+50*'Carbon Tax'!$B$6</f>
        <v>228124447.71138734</v>
      </c>
      <c r="S18" s="3">
        <f t="shared" si="3"/>
        <v>107208352.28861266</v>
      </c>
      <c r="T18" s="7">
        <f t="shared" si="15"/>
        <v>6535623.3313679695</v>
      </c>
      <c r="U18" s="7">
        <f t="shared" si="8"/>
        <v>1633905.8328419924</v>
      </c>
      <c r="V18" s="7">
        <f t="shared" si="9"/>
        <v>105574446.45577067</v>
      </c>
      <c r="W18" s="7">
        <f t="shared" si="13"/>
        <v>28505100.543058082</v>
      </c>
      <c r="X18" s="11">
        <f t="shared" si="14"/>
        <v>78703251.745554581</v>
      </c>
      <c r="Y18" s="7">
        <f t="shared" si="5"/>
        <v>49931720.185887054</v>
      </c>
    </row>
    <row r="19" spans="1:25">
      <c r="A19">
        <f>17.7694/100</f>
        <v>0.17769400000000002</v>
      </c>
      <c r="B19" t="s">
        <v>26</v>
      </c>
      <c r="C19" t="s">
        <v>28</v>
      </c>
      <c r="E19">
        <v>16</v>
      </c>
      <c r="F19" s="2">
        <f t="shared" si="16"/>
        <v>142612800</v>
      </c>
      <c r="G19" s="2">
        <f t="shared" si="17"/>
        <v>19600000</v>
      </c>
      <c r="H19" s="2">
        <f t="shared" si="0"/>
        <v>123012800</v>
      </c>
      <c r="I19" s="2">
        <f t="shared" si="10"/>
        <v>5294480.595888434</v>
      </c>
      <c r="J19" s="2">
        <f t="shared" si="6"/>
        <v>1588344.1787665302</v>
      </c>
      <c r="K19" s="2">
        <f t="shared" si="7"/>
        <v>121424455.82123347</v>
      </c>
      <c r="L19" s="2">
        <f t="shared" si="11"/>
        <v>32784603.071733039</v>
      </c>
      <c r="M19" s="2">
        <f t="shared" si="12"/>
        <v>90228196.928266957</v>
      </c>
      <c r="N19" s="2">
        <f t="shared" si="2"/>
        <v>55533074.823069915</v>
      </c>
      <c r="O19" s="2"/>
      <c r="P19">
        <v>16</v>
      </c>
      <c r="Q19" s="3">
        <f t="shared" si="18"/>
        <v>335332800</v>
      </c>
      <c r="R19" s="6">
        <f>$C$13+$C$6*$A$18*$C$10+50*'Carbon Tax'!$B$6</f>
        <v>228124447.71138734</v>
      </c>
      <c r="S19" s="3">
        <f t="shared" si="3"/>
        <v>107208352.28861266</v>
      </c>
      <c r="T19" s="7">
        <f t="shared" si="15"/>
        <v>4901717.4985259771</v>
      </c>
      <c r="U19" s="7">
        <f t="shared" si="8"/>
        <v>1225429.3746314943</v>
      </c>
      <c r="V19" s="7">
        <f t="shared" si="9"/>
        <v>105982922.91398117</v>
      </c>
      <c r="W19" s="7">
        <f t="shared" si="13"/>
        <v>28615389.186774917</v>
      </c>
      <c r="X19" s="11">
        <f t="shared" si="14"/>
        <v>78592963.101837754</v>
      </c>
      <c r="Y19" s="7">
        <f t="shared" si="5"/>
        <v>48371895.361834534</v>
      </c>
    </row>
    <row r="20" spans="1:25">
      <c r="A20">
        <f>10.558/100</f>
        <v>0.10557999999999999</v>
      </c>
      <c r="B20" t="s">
        <v>26</v>
      </c>
      <c r="C20" t="s">
        <v>27</v>
      </c>
      <c r="E20">
        <v>17</v>
      </c>
      <c r="F20" s="2">
        <f t="shared" si="16"/>
        <v>142612800</v>
      </c>
      <c r="G20" s="2">
        <f t="shared" si="17"/>
        <v>19600000</v>
      </c>
      <c r="H20" s="2">
        <f t="shared" si="0"/>
        <v>123012800</v>
      </c>
      <c r="I20" s="2">
        <f t="shared" si="10"/>
        <v>3706136.417121904</v>
      </c>
      <c r="J20" s="2">
        <f t="shared" si="6"/>
        <v>1111840.9251365711</v>
      </c>
      <c r="K20" s="2">
        <f t="shared" si="7"/>
        <v>121900959.07486343</v>
      </c>
      <c r="L20" s="2">
        <f t="shared" si="11"/>
        <v>32913258.950213131</v>
      </c>
      <c r="M20" s="2">
        <f t="shared" si="12"/>
        <v>90099541.049786866</v>
      </c>
      <c r="N20" s="2">
        <f t="shared" si="2"/>
        <v>53796944.629457533</v>
      </c>
      <c r="O20" s="2"/>
      <c r="P20">
        <v>17</v>
      </c>
      <c r="Q20" s="3">
        <f t="shared" si="18"/>
        <v>335332800</v>
      </c>
      <c r="R20" s="6">
        <f>$C$13+$C$6*$A$18*$C$10+50*'Carbon Tax'!$B$6</f>
        <v>228124447.71138734</v>
      </c>
      <c r="S20" s="3">
        <f t="shared" si="3"/>
        <v>107208352.28861266</v>
      </c>
      <c r="T20" s="7">
        <f t="shared" si="15"/>
        <v>3676288.1238944829</v>
      </c>
      <c r="U20" s="7">
        <f t="shared" si="8"/>
        <v>919072.03097362071</v>
      </c>
      <c r="V20" s="7">
        <f t="shared" si="9"/>
        <v>106289280.25763905</v>
      </c>
      <c r="W20" s="7">
        <f t="shared" si="13"/>
        <v>28698105.669562545</v>
      </c>
      <c r="X20" s="11">
        <f t="shared" si="14"/>
        <v>78510246.619050115</v>
      </c>
      <c r="Y20" s="7">
        <f t="shared" si="5"/>
        <v>46877168.751350544</v>
      </c>
    </row>
    <row r="21" spans="1:25">
      <c r="A21" t="s">
        <v>29</v>
      </c>
      <c r="B21">
        <v>33</v>
      </c>
      <c r="C21">
        <v>55</v>
      </c>
      <c r="E21">
        <v>18</v>
      </c>
      <c r="F21" s="2">
        <f t="shared" si="16"/>
        <v>142612800</v>
      </c>
      <c r="G21" s="2">
        <f t="shared" si="17"/>
        <v>19600000</v>
      </c>
      <c r="H21" s="2">
        <f t="shared" si="0"/>
        <v>123012800</v>
      </c>
      <c r="I21" s="2">
        <f t="shared" si="10"/>
        <v>2594295.4919853332</v>
      </c>
      <c r="J21" s="2">
        <f t="shared" si="6"/>
        <v>778288.64759559988</v>
      </c>
      <c r="K21" s="2">
        <f t="shared" si="7"/>
        <v>122234511.3524044</v>
      </c>
      <c r="L21" s="2">
        <f t="shared" si="11"/>
        <v>33003318.065149192</v>
      </c>
      <c r="M21" s="2">
        <f t="shared" si="12"/>
        <v>90009481.934850812</v>
      </c>
      <c r="N21" s="2">
        <f t="shared" si="2"/>
        <v>52137341.698284298</v>
      </c>
      <c r="O21" s="2"/>
      <c r="P21">
        <v>18</v>
      </c>
      <c r="Q21" s="3">
        <f t="shared" si="18"/>
        <v>335332800</v>
      </c>
      <c r="R21" s="6">
        <f>$C$13+$C$6*$A$18*$C$10+50*'Carbon Tax'!$B$6</f>
        <v>228124447.71138734</v>
      </c>
      <c r="S21" s="3">
        <f t="shared" si="3"/>
        <v>107208352.28861266</v>
      </c>
      <c r="T21" s="7">
        <f t="shared" si="15"/>
        <v>2757216.0929208621</v>
      </c>
      <c r="U21" s="7">
        <f t="shared" si="8"/>
        <v>689304.02323021553</v>
      </c>
      <c r="V21" s="7">
        <f t="shared" si="9"/>
        <v>106519048.26538245</v>
      </c>
      <c r="W21" s="7">
        <f t="shared" si="13"/>
        <v>28760143.031653263</v>
      </c>
      <c r="X21" s="11">
        <f t="shared" si="14"/>
        <v>78448209.256959409</v>
      </c>
      <c r="Y21" s="7">
        <f t="shared" si="5"/>
        <v>45440558.080414429</v>
      </c>
    </row>
    <row r="22" spans="1:25">
      <c r="A22" t="s">
        <v>30</v>
      </c>
      <c r="B22">
        <v>165</v>
      </c>
      <c r="E22">
        <v>19</v>
      </c>
      <c r="F22" s="2">
        <f t="shared" si="16"/>
        <v>142612800</v>
      </c>
      <c r="G22" s="2">
        <f t="shared" si="17"/>
        <v>19600000</v>
      </c>
      <c r="H22" s="2">
        <f t="shared" si="0"/>
        <v>123012800</v>
      </c>
      <c r="I22" s="2">
        <f t="shared" si="10"/>
        <v>1816006.8443897334</v>
      </c>
      <c r="J22" s="2">
        <f t="shared" si="6"/>
        <v>544802.05331691995</v>
      </c>
      <c r="K22" s="2">
        <f t="shared" si="7"/>
        <v>122467997.94668308</v>
      </c>
      <c r="L22" s="2">
        <f t="shared" si="11"/>
        <v>33066359.445604432</v>
      </c>
      <c r="M22" s="2">
        <f t="shared" si="12"/>
        <v>89946440.554395571</v>
      </c>
      <c r="N22" s="2">
        <f t="shared" si="2"/>
        <v>50544068.135822184</v>
      </c>
      <c r="O22" s="2"/>
      <c r="P22">
        <v>19</v>
      </c>
      <c r="Q22" s="3">
        <f t="shared" si="18"/>
        <v>335332800</v>
      </c>
      <c r="R22" s="6">
        <f>$C$13+$C$6*$A$18*$C$10+50*'Carbon Tax'!$B$6</f>
        <v>228124447.71138734</v>
      </c>
      <c r="S22" s="3">
        <f t="shared" si="3"/>
        <v>107208352.28861266</v>
      </c>
      <c r="T22" s="7">
        <f t="shared" si="15"/>
        <v>2067912.0696906466</v>
      </c>
      <c r="U22" s="7">
        <f t="shared" si="8"/>
        <v>516978.01742266165</v>
      </c>
      <c r="V22" s="7">
        <f t="shared" si="9"/>
        <v>106691374.27119</v>
      </c>
      <c r="W22" s="7">
        <f t="shared" si="13"/>
        <v>28806671.053221304</v>
      </c>
      <c r="X22" s="11">
        <f t="shared" si="14"/>
        <v>78401681.235391364</v>
      </c>
      <c r="Y22" s="7">
        <f t="shared" si="5"/>
        <v>44056661.874553509</v>
      </c>
    </row>
    <row r="23" spans="1:25">
      <c r="A23" t="s">
        <v>31</v>
      </c>
      <c r="B23">
        <v>5</v>
      </c>
      <c r="C23">
        <v>3</v>
      </c>
      <c r="E23">
        <v>20</v>
      </c>
      <c r="F23" s="2">
        <f t="shared" si="16"/>
        <v>142612800</v>
      </c>
      <c r="G23" s="2">
        <f t="shared" si="17"/>
        <v>19600000</v>
      </c>
      <c r="H23" s="2">
        <f t="shared" si="0"/>
        <v>123012800</v>
      </c>
      <c r="I23" s="2">
        <f t="shared" si="10"/>
        <v>1271204.7910728133</v>
      </c>
      <c r="J23" s="2">
        <f t="shared" si="6"/>
        <v>381361.43732184399</v>
      </c>
      <c r="K23" s="2">
        <f t="shared" si="7"/>
        <v>122631438.56267816</v>
      </c>
      <c r="L23" s="2">
        <f t="shared" si="11"/>
        <v>33110488.411923107</v>
      </c>
      <c r="M23" s="2">
        <f t="shared" si="12"/>
        <v>89902311.58807689</v>
      </c>
      <c r="N23" s="2">
        <f t="shared" si="2"/>
        <v>49009769.613643609</v>
      </c>
      <c r="O23" s="2"/>
      <c r="P23">
        <v>20</v>
      </c>
      <c r="Q23" s="3">
        <f t="shared" si="18"/>
        <v>335332800</v>
      </c>
      <c r="R23" s="6">
        <f>$C$13+$C$6*$A$18*$C$10+50*'Carbon Tax'!$B$6</f>
        <v>228124447.71138734</v>
      </c>
      <c r="S23" s="3">
        <f t="shared" si="3"/>
        <v>107208352.28861266</v>
      </c>
      <c r="T23" s="7">
        <f t="shared" si="15"/>
        <v>1550934.052267985</v>
      </c>
      <c r="U23" s="7">
        <f t="shared" si="8"/>
        <v>387733.51306699624</v>
      </c>
      <c r="V23" s="7">
        <f t="shared" si="9"/>
        <v>106820618.77554567</v>
      </c>
      <c r="W23" s="7">
        <f t="shared" si="13"/>
        <v>28841567.069397334</v>
      </c>
      <c r="X23" s="11">
        <f t="shared" si="14"/>
        <v>78366785.219215333</v>
      </c>
      <c r="Y23" s="7">
        <f t="shared" si="5"/>
        <v>42721238.432149559</v>
      </c>
    </row>
    <row r="24" spans="1:25">
      <c r="A24" t="s">
        <v>9</v>
      </c>
      <c r="B24" s="2">
        <f>N1</f>
        <v>0</v>
      </c>
      <c r="C24" s="2">
        <f>Y59</f>
        <v>0</v>
      </c>
      <c r="E24">
        <v>21</v>
      </c>
      <c r="F24" s="2">
        <f t="shared" si="16"/>
        <v>142612800</v>
      </c>
      <c r="G24" s="2">
        <f t="shared" si="17"/>
        <v>19600000</v>
      </c>
      <c r="H24" s="2">
        <f t="shared" si="0"/>
        <v>123012800</v>
      </c>
      <c r="I24" s="2">
        <f t="shared" si="10"/>
        <v>889843.35375096928</v>
      </c>
      <c r="J24" s="2">
        <f t="shared" si="6"/>
        <v>266953.00612529076</v>
      </c>
      <c r="K24" s="2">
        <f t="shared" si="7"/>
        <v>122745846.99387471</v>
      </c>
      <c r="L24" s="2">
        <f t="shared" si="11"/>
        <v>33141378.688346174</v>
      </c>
      <c r="M24" s="2">
        <f t="shared" si="12"/>
        <v>89871421.311653823</v>
      </c>
      <c r="N24" s="2">
        <f t="shared" si="2"/>
        <v>47529035.644983739</v>
      </c>
      <c r="O24" s="2"/>
      <c r="P24">
        <v>21</v>
      </c>
      <c r="Q24" s="3">
        <f t="shared" si="18"/>
        <v>335332800</v>
      </c>
      <c r="R24" s="6">
        <f>$C$13+$C$6*$A$18*$C$10+50*'Carbon Tax'!$B$6</f>
        <v>228124447.71138734</v>
      </c>
      <c r="S24" s="3">
        <f t="shared" si="3"/>
        <v>107208352.28861266</v>
      </c>
      <c r="T24" s="7">
        <f t="shared" si="15"/>
        <v>1163200.5392009886</v>
      </c>
      <c r="U24" s="7">
        <f t="shared" si="8"/>
        <v>290800.13480024715</v>
      </c>
      <c r="V24" s="7">
        <f t="shared" si="9"/>
        <v>106917552.15381242</v>
      </c>
      <c r="W24" s="7">
        <f t="shared" si="13"/>
        <v>28867739.081529357</v>
      </c>
      <c r="X24" s="11">
        <f t="shared" si="14"/>
        <v>78340613.207083315</v>
      </c>
      <c r="Y24" s="7">
        <f t="shared" si="5"/>
        <v>41430899.20273152</v>
      </c>
    </row>
    <row r="25" spans="1:25">
      <c r="A25" t="s">
        <v>32</v>
      </c>
      <c r="B25" s="14">
        <f>N169</f>
        <v>1117786700.9384301</v>
      </c>
      <c r="C25" s="14">
        <f>Y169</f>
        <v>1733807661.2050409</v>
      </c>
      <c r="E25">
        <v>22</v>
      </c>
      <c r="F25" s="2">
        <f t="shared" si="16"/>
        <v>142612800</v>
      </c>
      <c r="G25" s="2">
        <f t="shared" si="17"/>
        <v>19600000</v>
      </c>
      <c r="H25" s="2">
        <f t="shared" si="0"/>
        <v>123012800</v>
      </c>
      <c r="I25" s="2">
        <f t="shared" si="10"/>
        <v>622890.34762567852</v>
      </c>
      <c r="J25" s="2">
        <f t="shared" si="6"/>
        <v>186867.10428770355</v>
      </c>
      <c r="K25" s="2">
        <f t="shared" si="7"/>
        <v>122825932.8957123</v>
      </c>
      <c r="L25" s="2">
        <f t="shared" si="11"/>
        <v>33163001.881842323</v>
      </c>
      <c r="M25" s="2">
        <f t="shared" si="12"/>
        <v>89849798.118157685</v>
      </c>
      <c r="N25" s="2">
        <f t="shared" si="2"/>
        <v>46097788.213528916</v>
      </c>
      <c r="O25" s="2"/>
      <c r="P25">
        <v>22</v>
      </c>
      <c r="Q25" s="3">
        <f t="shared" si="18"/>
        <v>335332800</v>
      </c>
      <c r="R25" s="6">
        <f>$C$13+$C$6*$A$18*$C$10+50*'Carbon Tax'!$B$6</f>
        <v>228124447.71138734</v>
      </c>
      <c r="S25" s="3">
        <f t="shared" si="3"/>
        <v>107208352.28861266</v>
      </c>
      <c r="T25" s="7">
        <f t="shared" si="15"/>
        <v>872400.40440074145</v>
      </c>
      <c r="U25" s="7">
        <f t="shared" si="8"/>
        <v>218100.10110018536</v>
      </c>
      <c r="V25" s="7">
        <f t="shared" si="9"/>
        <v>106990252.18751247</v>
      </c>
      <c r="W25" s="7">
        <f t="shared" si="13"/>
        <v>28887368.090628371</v>
      </c>
      <c r="X25" s="11">
        <f t="shared" si="14"/>
        <v>78320984.197984293</v>
      </c>
      <c r="Y25" s="7">
        <f t="shared" si="5"/>
        <v>40182885.413787</v>
      </c>
    </row>
    <row r="26" spans="1:25">
      <c r="A26" t="s">
        <v>33</v>
      </c>
      <c r="B26" s="9">
        <f>MIRR(M3:M168,B16,B16)</f>
        <v>3.3961596888573364E-2</v>
      </c>
      <c r="C26" s="9">
        <f>MIRR(X3:X168,B16,B16)</f>
        <v>4.0927070461393766E-2</v>
      </c>
      <c r="E26">
        <v>23</v>
      </c>
      <c r="F26" s="2">
        <f t="shared" si="16"/>
        <v>142612800</v>
      </c>
      <c r="G26" s="2">
        <f t="shared" si="17"/>
        <v>19600000</v>
      </c>
      <c r="H26" s="2">
        <f t="shared" si="0"/>
        <v>123012800</v>
      </c>
      <c r="I26" s="2">
        <f t="shared" si="10"/>
        <v>436023.243337975</v>
      </c>
      <c r="J26" s="2">
        <f t="shared" si="6"/>
        <v>130806.9730013925</v>
      </c>
      <c r="K26" s="2">
        <f t="shared" si="7"/>
        <v>122881993.02699861</v>
      </c>
      <c r="L26" s="2">
        <f t="shared" si="11"/>
        <v>33178138.117289625</v>
      </c>
      <c r="M26" s="2">
        <f t="shared" si="12"/>
        <v>89834661.882710367</v>
      </c>
      <c r="N26" s="2">
        <f t="shared" si="2"/>
        <v>44712866.229230613</v>
      </c>
      <c r="O26" s="2"/>
      <c r="P26">
        <v>23</v>
      </c>
      <c r="Q26" s="3">
        <f t="shared" si="18"/>
        <v>335332800</v>
      </c>
      <c r="R26" s="6">
        <f>$C$13+$C$6*$A$18*$C$10+50*'Carbon Tax'!$B$6</f>
        <v>228124447.71138734</v>
      </c>
      <c r="S26" s="3">
        <f t="shared" si="3"/>
        <v>107208352.28861266</v>
      </c>
      <c r="T26" s="7">
        <f t="shared" si="15"/>
        <v>654300.30330055603</v>
      </c>
      <c r="U26" s="7">
        <f t="shared" si="8"/>
        <v>163575.07582513901</v>
      </c>
      <c r="V26" s="7">
        <f t="shared" si="9"/>
        <v>107044777.21278752</v>
      </c>
      <c r="W26" s="7">
        <f t="shared" si="13"/>
        <v>28902089.847452633</v>
      </c>
      <c r="X26" s="11">
        <f t="shared" si="14"/>
        <v>78306262.441160023</v>
      </c>
      <c r="Y26" s="7">
        <f t="shared" si="5"/>
        <v>38974905.276695602</v>
      </c>
    </row>
    <row r="27" spans="1:25">
      <c r="A27" t="s">
        <v>55</v>
      </c>
      <c r="B27" s="4">
        <f>IRR(M3:M168,0)</f>
        <v>6.785244375348376E-2</v>
      </c>
      <c r="C27" s="4">
        <f>IRR(X3:X168,0)</f>
        <v>0.12988861701751064</v>
      </c>
      <c r="E27">
        <v>24</v>
      </c>
      <c r="F27" s="2">
        <f t="shared" si="16"/>
        <v>142612800</v>
      </c>
      <c r="G27" s="2">
        <f t="shared" si="17"/>
        <v>19600000</v>
      </c>
      <c r="H27" s="2">
        <f t="shared" si="0"/>
        <v>123012800</v>
      </c>
      <c r="I27" s="2">
        <f t="shared" si="10"/>
        <v>305216.2703365825</v>
      </c>
      <c r="J27" s="2">
        <f t="shared" si="6"/>
        <v>91564.881100974744</v>
      </c>
      <c r="K27" s="2">
        <f t="shared" si="7"/>
        <v>122921235.11889903</v>
      </c>
      <c r="L27" s="2">
        <f t="shared" si="11"/>
        <v>33188733.482102741</v>
      </c>
      <c r="M27" s="2">
        <f t="shared" si="12"/>
        <v>89824066.517897263</v>
      </c>
      <c r="N27" s="2">
        <f t="shared" si="2"/>
        <v>43371742.978264324</v>
      </c>
      <c r="O27" s="2"/>
      <c r="P27">
        <v>24</v>
      </c>
      <c r="Q27" s="3">
        <f t="shared" si="18"/>
        <v>335332800</v>
      </c>
      <c r="R27" s="6">
        <f>$C$13+$C$6*$A$18*$C$10+50*'Carbon Tax'!$B$6</f>
        <v>228124447.71138734</v>
      </c>
      <c r="S27" s="3">
        <f t="shared" si="3"/>
        <v>107208352.28861266</v>
      </c>
      <c r="T27" s="7">
        <f t="shared" si="15"/>
        <v>490725.22747541702</v>
      </c>
      <c r="U27" s="7">
        <f t="shared" si="8"/>
        <v>122681.30686885426</v>
      </c>
      <c r="V27" s="7">
        <f t="shared" si="9"/>
        <v>107085670.98174381</v>
      </c>
      <c r="W27" s="7">
        <f t="shared" si="13"/>
        <v>28913131.165070832</v>
      </c>
      <c r="X27" s="11">
        <f t="shared" si="14"/>
        <v>78295221.123541832</v>
      </c>
      <c r="Y27" s="7">
        <f t="shared" si="5"/>
        <v>37805015.277503848</v>
      </c>
    </row>
    <row r="28" spans="1:25">
      <c r="A28" t="s">
        <v>56</v>
      </c>
      <c r="B28">
        <v>0.3</v>
      </c>
      <c r="C28" t="s">
        <v>57</v>
      </c>
      <c r="E28">
        <v>25</v>
      </c>
      <c r="F28" s="2">
        <f t="shared" si="16"/>
        <v>142612800</v>
      </c>
      <c r="G28" s="2">
        <f t="shared" si="17"/>
        <v>19600000</v>
      </c>
      <c r="H28" s="2">
        <f t="shared" si="0"/>
        <v>123012800</v>
      </c>
      <c r="I28" s="2">
        <f t="shared" si="10"/>
        <v>213651.38923560776</v>
      </c>
      <c r="J28" s="2">
        <f t="shared" si="6"/>
        <v>64095.416770682321</v>
      </c>
      <c r="K28" s="2">
        <f t="shared" si="7"/>
        <v>122948704.58322932</v>
      </c>
      <c r="L28" s="2">
        <f t="shared" si="11"/>
        <v>33196150.23747192</v>
      </c>
      <c r="M28" s="2">
        <f t="shared" si="12"/>
        <v>89816649.762528077</v>
      </c>
      <c r="N28" s="2">
        <f t="shared" si="2"/>
        <v>42072333.897984989</v>
      </c>
      <c r="O28" s="2"/>
      <c r="P28">
        <v>25</v>
      </c>
      <c r="Q28" s="3">
        <f t="shared" si="18"/>
        <v>335332800</v>
      </c>
      <c r="R28" s="6">
        <f>$C$13+$C$6*$A$18*$C$10+50*'Carbon Tax'!$B$6</f>
        <v>228124447.71138734</v>
      </c>
      <c r="S28" s="3">
        <f t="shared" si="3"/>
        <v>107208352.28861266</v>
      </c>
      <c r="T28" s="7">
        <f t="shared" si="15"/>
        <v>368043.92060656275</v>
      </c>
      <c r="U28" s="7">
        <f t="shared" si="8"/>
        <v>92010.980151640688</v>
      </c>
      <c r="V28" s="7">
        <f t="shared" si="9"/>
        <v>107116341.30846103</v>
      </c>
      <c r="W28" s="7">
        <f t="shared" si="13"/>
        <v>28921412.153284479</v>
      </c>
      <c r="X28" s="11">
        <f t="shared" si="14"/>
        <v>78286940.135328189</v>
      </c>
      <c r="Y28" s="7">
        <f t="shared" si="5"/>
        <v>36671533.551224068</v>
      </c>
    </row>
    <row r="29" spans="1:25">
      <c r="A29" t="s">
        <v>58</v>
      </c>
      <c r="B29">
        <v>0.25</v>
      </c>
      <c r="C29" t="s">
        <v>59</v>
      </c>
      <c r="E29">
        <v>26</v>
      </c>
      <c r="F29" s="2">
        <f t="shared" si="16"/>
        <v>142612800</v>
      </c>
      <c r="G29" s="2">
        <f t="shared" si="17"/>
        <v>19600000</v>
      </c>
      <c r="H29" s="2">
        <f t="shared" si="0"/>
        <v>123012800</v>
      </c>
      <c r="I29" s="2">
        <f t="shared" si="10"/>
        <v>149555.97246492543</v>
      </c>
      <c r="J29" s="2">
        <f t="shared" si="6"/>
        <v>44866.79173947763</v>
      </c>
      <c r="K29" s="2">
        <f t="shared" si="7"/>
        <v>122967933.20826052</v>
      </c>
      <c r="L29" s="2">
        <f t="shared" si="11"/>
        <v>33201341.966230344</v>
      </c>
      <c r="M29" s="2">
        <f t="shared" si="12"/>
        <v>89811458.033769652</v>
      </c>
      <c r="N29" s="2">
        <f t="shared" si="2"/>
        <v>40812865.700612016</v>
      </c>
      <c r="O29" s="2"/>
      <c r="P29">
        <v>26</v>
      </c>
      <c r="Q29" s="3">
        <f t="shared" si="18"/>
        <v>335332800</v>
      </c>
      <c r="R29" s="6">
        <f>$C$13+$C$6*$A$18*$C$10+50*'Carbon Tax'!$B$6</f>
        <v>228124447.71138734</v>
      </c>
      <c r="S29" s="3">
        <f t="shared" si="3"/>
        <v>107208352.28861266</v>
      </c>
      <c r="T29" s="7">
        <f t="shared" si="15"/>
        <v>276032.94045492203</v>
      </c>
      <c r="U29" s="7">
        <f t="shared" si="8"/>
        <v>69008.235113730509</v>
      </c>
      <c r="V29" s="7">
        <f t="shared" si="9"/>
        <v>107139344.05349894</v>
      </c>
      <c r="W29" s="7">
        <f t="shared" si="13"/>
        <v>28927622.894444715</v>
      </c>
      <c r="X29" s="11">
        <f t="shared" si="14"/>
        <v>78280729.394167945</v>
      </c>
      <c r="Y29" s="7">
        <f t="shared" si="5"/>
        <v>35572976.607381664</v>
      </c>
    </row>
    <row r="30" spans="1:25">
      <c r="E30">
        <v>27</v>
      </c>
      <c r="F30" s="2">
        <f t="shared" si="16"/>
        <v>142612800</v>
      </c>
      <c r="G30" s="2">
        <f t="shared" si="17"/>
        <v>19600000</v>
      </c>
      <c r="H30" s="2">
        <f t="shared" si="0"/>
        <v>123012800</v>
      </c>
      <c r="I30" s="2">
        <f t="shared" si="10"/>
        <v>104689.1807254478</v>
      </c>
      <c r="J30" s="2">
        <f t="shared" si="6"/>
        <v>31406.754217634341</v>
      </c>
      <c r="K30" s="2">
        <f t="shared" si="7"/>
        <v>122981393.24578236</v>
      </c>
      <c r="L30" s="2">
        <f t="shared" si="11"/>
        <v>33204976.17636124</v>
      </c>
      <c r="M30" s="2">
        <f t="shared" si="12"/>
        <v>89807823.823638767</v>
      </c>
      <c r="N30" s="2">
        <f t="shared" si="2"/>
        <v>39591787.168006726</v>
      </c>
      <c r="O30" s="2"/>
      <c r="P30">
        <v>27</v>
      </c>
      <c r="Q30" s="3">
        <f t="shared" si="18"/>
        <v>335332800</v>
      </c>
      <c r="R30" s="6">
        <f>$C$13+$C$6*$A$18*$C$10+50*'Carbon Tax'!$B$6</f>
        <v>228124447.71138734</v>
      </c>
      <c r="S30" s="3">
        <f t="shared" si="3"/>
        <v>107208352.28861266</v>
      </c>
      <c r="T30" s="7">
        <f t="shared" si="15"/>
        <v>207024.70534119153</v>
      </c>
      <c r="U30" s="7">
        <f t="shared" si="8"/>
        <v>51756.176335297881</v>
      </c>
      <c r="V30" s="7">
        <f t="shared" si="9"/>
        <v>107156596.11227736</v>
      </c>
      <c r="W30" s="7">
        <f t="shared" si="13"/>
        <v>28932280.950314891</v>
      </c>
      <c r="X30" s="11">
        <f t="shared" si="14"/>
        <v>78276071.338297769</v>
      </c>
      <c r="Y30" s="7">
        <f t="shared" si="5"/>
        <v>34508013.053066202</v>
      </c>
    </row>
    <row r="31" spans="1:25">
      <c r="E31">
        <v>28</v>
      </c>
      <c r="F31" s="2">
        <f t="shared" si="16"/>
        <v>142612800</v>
      </c>
      <c r="G31" s="2">
        <f t="shared" si="17"/>
        <v>19600000</v>
      </c>
      <c r="H31" s="2">
        <f t="shared" si="0"/>
        <v>123012800</v>
      </c>
      <c r="I31" s="2">
        <f t="shared" si="10"/>
        <v>73282.426507813463</v>
      </c>
      <c r="J31" s="2">
        <f t="shared" si="6"/>
        <v>21984.727952344037</v>
      </c>
      <c r="K31" s="2">
        <f t="shared" si="7"/>
        <v>122990815.27204765</v>
      </c>
      <c r="L31" s="2">
        <f t="shared" si="11"/>
        <v>33207520.123452868</v>
      </c>
      <c r="M31" s="2">
        <f t="shared" si="12"/>
        <v>89805279.876547128</v>
      </c>
      <c r="N31" s="2">
        <f t="shared" si="2"/>
        <v>38407708.254466191</v>
      </c>
      <c r="O31" s="2"/>
      <c r="P31">
        <v>28</v>
      </c>
      <c r="Q31" s="3">
        <f t="shared" si="18"/>
        <v>335332800</v>
      </c>
      <c r="R31" s="6">
        <f>$C$13+$C$6*$A$18*$C$10+50*'Carbon Tax'!$B$6</f>
        <v>228124447.71138734</v>
      </c>
      <c r="S31" s="3">
        <f t="shared" si="3"/>
        <v>107208352.28861266</v>
      </c>
      <c r="T31" s="7">
        <f t="shared" si="15"/>
        <v>155268.52900589365</v>
      </c>
      <c r="U31" s="7">
        <f t="shared" si="8"/>
        <v>38817.132251473413</v>
      </c>
      <c r="V31" s="7">
        <f t="shared" si="9"/>
        <v>107169535.15636119</v>
      </c>
      <c r="W31" s="7">
        <f t="shared" si="13"/>
        <v>28935774.492217522</v>
      </c>
      <c r="X31" s="11">
        <f t="shared" si="14"/>
        <v>78272577.796395138</v>
      </c>
      <c r="Y31" s="7">
        <f t="shared" si="5"/>
        <v>33475429.690343272</v>
      </c>
    </row>
    <row r="32" spans="1:25">
      <c r="A32" t="s">
        <v>68</v>
      </c>
      <c r="B32" t="s">
        <v>66</v>
      </c>
      <c r="C32" t="s">
        <v>67</v>
      </c>
      <c r="E32">
        <v>29</v>
      </c>
      <c r="F32" s="2">
        <f t="shared" si="16"/>
        <v>142612800</v>
      </c>
      <c r="G32" s="2">
        <f t="shared" si="17"/>
        <v>19600000</v>
      </c>
      <c r="H32" s="2">
        <f t="shared" si="0"/>
        <v>123012800</v>
      </c>
      <c r="I32" s="2">
        <f t="shared" si="10"/>
        <v>51297.698555469426</v>
      </c>
      <c r="J32" s="2">
        <f t="shared" si="6"/>
        <v>15389.309566640826</v>
      </c>
      <c r="K32" s="2">
        <f t="shared" si="7"/>
        <v>122997410.69043335</v>
      </c>
      <c r="L32" s="2">
        <f t="shared" si="11"/>
        <v>33209300.886417009</v>
      </c>
      <c r="M32" s="2">
        <f t="shared" si="12"/>
        <v>89803499.113582999</v>
      </c>
      <c r="N32" s="2">
        <f t="shared" si="2"/>
        <v>37259358.422586367</v>
      </c>
      <c r="O32" s="2"/>
      <c r="P32">
        <v>29</v>
      </c>
      <c r="Q32" s="3">
        <f t="shared" si="18"/>
        <v>335332800</v>
      </c>
      <c r="R32" s="6">
        <f>$C$13+$C$6*$A$18*$C$10+50*'Carbon Tax'!$B$6</f>
        <v>228124447.71138734</v>
      </c>
      <c r="S32" s="3">
        <f t="shared" si="3"/>
        <v>107208352.28861266</v>
      </c>
      <c r="T32" s="7">
        <f t="shared" si="15"/>
        <v>116451.39675442025</v>
      </c>
      <c r="U32" s="7">
        <f t="shared" si="8"/>
        <v>29112.849188605061</v>
      </c>
      <c r="V32" s="7">
        <f t="shared" si="9"/>
        <v>107179239.43942405</v>
      </c>
      <c r="W32" s="7">
        <f t="shared" si="13"/>
        <v>28938394.648644496</v>
      </c>
      <c r="X32" s="11">
        <f t="shared" si="14"/>
        <v>78269957.639968172</v>
      </c>
      <c r="Y32" s="7">
        <f t="shared" si="5"/>
        <v>32474106.624060605</v>
      </c>
    </row>
    <row r="33" spans="1:25">
      <c r="A33">
        <v>0</v>
      </c>
      <c r="B33" s="14">
        <v>1117786700.9384301</v>
      </c>
      <c r="C33" s="2">
        <v>5535849951.8393555</v>
      </c>
      <c r="E33">
        <v>30</v>
      </c>
      <c r="F33" s="2">
        <f t="shared" si="16"/>
        <v>142612800</v>
      </c>
      <c r="G33" s="2">
        <f t="shared" si="17"/>
        <v>19600000</v>
      </c>
      <c r="H33" s="2">
        <f t="shared" si="0"/>
        <v>123012800</v>
      </c>
      <c r="I33" s="2">
        <f t="shared" si="10"/>
        <v>35908.388988828599</v>
      </c>
      <c r="J33" s="2">
        <f t="shared" si="6"/>
        <v>10772.516696648579</v>
      </c>
      <c r="K33" s="2">
        <f t="shared" si="7"/>
        <v>123002027.48330335</v>
      </c>
      <c r="L33" s="2">
        <f t="shared" si="11"/>
        <v>33210547.420491908</v>
      </c>
      <c r="M33" s="2">
        <f t="shared" si="12"/>
        <v>89802252.579508096</v>
      </c>
      <c r="N33" s="2">
        <f t="shared" si="2"/>
        <v>36145558.04925514</v>
      </c>
      <c r="O33" s="2"/>
      <c r="P33">
        <v>30</v>
      </c>
      <c r="Q33" s="3">
        <f t="shared" si="18"/>
        <v>335332800</v>
      </c>
      <c r="R33" s="6">
        <f>$C$13+$C$6*$A$18*$C$10+50*'Carbon Tax'!$B$6</f>
        <v>228124447.71138734</v>
      </c>
      <c r="S33" s="3">
        <f t="shared" si="3"/>
        <v>107208352.28861266</v>
      </c>
      <c r="T33" s="7">
        <f t="shared" si="15"/>
        <v>87338.547565815184</v>
      </c>
      <c r="U33" s="7">
        <f t="shared" si="8"/>
        <v>21834.636891453796</v>
      </c>
      <c r="V33" s="7">
        <f t="shared" si="9"/>
        <v>107186517.65172121</v>
      </c>
      <c r="W33" s="7">
        <f t="shared" si="13"/>
        <v>28940359.765964728</v>
      </c>
      <c r="X33" s="11">
        <f t="shared" si="14"/>
        <v>78267992.522647932</v>
      </c>
      <c r="Y33" s="7">
        <f t="shared" si="5"/>
        <v>31502998.932251669</v>
      </c>
    </row>
    <row r="34" spans="1:25">
      <c r="A34">
        <v>0.1</v>
      </c>
      <c r="B34" s="14">
        <v>1117786700.9384301</v>
      </c>
      <c r="C34" s="2">
        <v>4449812409.2417183</v>
      </c>
      <c r="E34">
        <v>31</v>
      </c>
      <c r="F34" s="2">
        <f t="shared" si="16"/>
        <v>142612800</v>
      </c>
      <c r="G34" s="2">
        <f t="shared" si="17"/>
        <v>19600000</v>
      </c>
      <c r="H34" s="2">
        <f t="shared" si="0"/>
        <v>123012800</v>
      </c>
      <c r="I34" s="2">
        <f t="shared" si="10"/>
        <v>25135.872292180022</v>
      </c>
      <c r="J34" s="2">
        <f t="shared" si="6"/>
        <v>7540.761687654006</v>
      </c>
      <c r="K34" s="2">
        <f t="shared" si="7"/>
        <v>123005259.23831235</v>
      </c>
      <c r="L34" s="2">
        <f t="shared" si="11"/>
        <v>33211419.994344335</v>
      </c>
      <c r="M34" s="2">
        <f t="shared" si="12"/>
        <v>89801380.005655661</v>
      </c>
      <c r="N34" s="2">
        <f t="shared" si="2"/>
        <v>35065198.716345154</v>
      </c>
      <c r="O34" s="2"/>
      <c r="P34">
        <v>31</v>
      </c>
      <c r="Q34" s="3">
        <f t="shared" si="18"/>
        <v>335332800</v>
      </c>
      <c r="R34" s="6">
        <f>$C$13+$C$6*$A$18*$C$10+50*'Carbon Tax'!$B$6</f>
        <v>228124447.71138734</v>
      </c>
      <c r="S34" s="3">
        <f t="shared" si="3"/>
        <v>107208352.28861266</v>
      </c>
      <c r="T34" s="7">
        <f t="shared" si="15"/>
        <v>65503.910674361388</v>
      </c>
      <c r="U34" s="7">
        <f t="shared" si="8"/>
        <v>16375.977668590347</v>
      </c>
      <c r="V34" s="7">
        <f t="shared" si="9"/>
        <v>107191976.31094408</v>
      </c>
      <c r="W34" s="7">
        <f t="shared" si="13"/>
        <v>28941833.603954904</v>
      </c>
      <c r="X34" s="11">
        <f t="shared" si="14"/>
        <v>78266518.684657753</v>
      </c>
      <c r="Y34" s="7">
        <f t="shared" si="5"/>
        <v>30561123.117943417</v>
      </c>
    </row>
    <row r="35" spans="1:25">
      <c r="A35">
        <v>0.15</v>
      </c>
      <c r="B35" s="14">
        <v>1117786700.9384301</v>
      </c>
      <c r="C35" s="2">
        <v>3906789744.1284156</v>
      </c>
      <c r="E35">
        <v>32</v>
      </c>
      <c r="F35" s="2">
        <f t="shared" si="16"/>
        <v>142612800</v>
      </c>
      <c r="G35" s="2">
        <f t="shared" si="17"/>
        <v>19600000</v>
      </c>
      <c r="H35" s="2">
        <f t="shared" si="0"/>
        <v>123012800</v>
      </c>
      <c r="I35" s="2">
        <f t="shared" si="10"/>
        <v>17595.110604526017</v>
      </c>
      <c r="J35" s="2">
        <f t="shared" si="6"/>
        <v>5278.533181357805</v>
      </c>
      <c r="K35" s="2">
        <f t="shared" si="7"/>
        <v>123007521.46681865</v>
      </c>
      <c r="L35" s="2">
        <f t="shared" si="11"/>
        <v>33212030.796041038</v>
      </c>
      <c r="M35" s="2">
        <f t="shared" si="12"/>
        <v>89800769.203958958</v>
      </c>
      <c r="N35" s="2">
        <f t="shared" ref="N35:N66" si="19">M35/((1+$B$16)^E35)</f>
        <v>34017229.543577388</v>
      </c>
      <c r="O35" s="2"/>
      <c r="P35">
        <v>32</v>
      </c>
      <c r="Q35" s="3">
        <f t="shared" si="18"/>
        <v>335332800</v>
      </c>
      <c r="R35" s="6">
        <f>$C$13+$C$6*$A$18*$C$10+50*'Carbon Tax'!$B$6</f>
        <v>228124447.71138734</v>
      </c>
      <c r="S35" s="3">
        <f t="shared" si="3"/>
        <v>107208352.28861266</v>
      </c>
      <c r="T35" s="7">
        <f t="shared" si="15"/>
        <v>49127.933005771039</v>
      </c>
      <c r="U35" s="7">
        <f t="shared" si="8"/>
        <v>12281.98325144276</v>
      </c>
      <c r="V35" s="7">
        <f t="shared" si="9"/>
        <v>107196070.30536123</v>
      </c>
      <c r="W35" s="7">
        <f t="shared" si="13"/>
        <v>28942938.982447535</v>
      </c>
      <c r="X35" s="11">
        <f t="shared" si="14"/>
        <v>78265413.306165129</v>
      </c>
      <c r="Y35" s="7">
        <f t="shared" ref="Y35:Y66" si="20">X35/((1+$B$16)^P35)</f>
        <v>29647547.04619392</v>
      </c>
    </row>
    <row r="36" spans="1:25">
      <c r="A36">
        <v>0.2</v>
      </c>
      <c r="B36" s="14">
        <v>1117786700.9384301</v>
      </c>
      <c r="C36" s="14">
        <v>3363767079.0151043</v>
      </c>
      <c r="E36">
        <v>33</v>
      </c>
      <c r="F36" s="2">
        <f t="shared" si="16"/>
        <v>142612800</v>
      </c>
      <c r="G36" s="2">
        <f>$B$13+$B$12</f>
        <v>1134800000</v>
      </c>
      <c r="H36" s="2">
        <f t="shared" si="0"/>
        <v>-992187200</v>
      </c>
      <c r="I36" s="2">
        <f t="shared" si="10"/>
        <v>12316.577423168212</v>
      </c>
      <c r="J36" s="13">
        <v>0</v>
      </c>
      <c r="K36" s="13">
        <f>H36-J36+$B$12+$B$14</f>
        <v>123012800</v>
      </c>
      <c r="L36" s="2">
        <f t="shared" si="11"/>
        <v>33213456.000000004</v>
      </c>
      <c r="M36" s="13">
        <f>IF(L36&lt;0,H36,H36-L36+$B$14)</f>
        <v>-1025400656</v>
      </c>
      <c r="N36" s="2">
        <f t="shared" si="19"/>
        <v>-376823574.52373987</v>
      </c>
      <c r="O36" s="2"/>
      <c r="P36">
        <v>33</v>
      </c>
      <c r="Q36" s="3">
        <f t="shared" si="18"/>
        <v>335332800</v>
      </c>
      <c r="R36" s="6">
        <f>$C$13+$C$6*$A$18*$C$10+50*'Carbon Tax'!$B$6</f>
        <v>228124447.71138734</v>
      </c>
      <c r="S36" s="3">
        <f t="shared" si="3"/>
        <v>107208352.28861266</v>
      </c>
      <c r="T36" s="7">
        <f t="shared" si="15"/>
        <v>36845.949754328278</v>
      </c>
      <c r="U36" s="7">
        <f t="shared" ref="U36:U57" si="21">T36*$B$29</f>
        <v>9211.4874385820694</v>
      </c>
      <c r="V36" s="7">
        <f t="shared" si="9"/>
        <v>107199140.80117407</v>
      </c>
      <c r="W36" s="7">
        <f t="shared" si="13"/>
        <v>28943768.016317002</v>
      </c>
      <c r="X36" s="11">
        <f t="shared" si="14"/>
        <v>78264584.272295654</v>
      </c>
      <c r="Y36" s="7">
        <f t="shared" si="20"/>
        <v>28761382.423087627</v>
      </c>
    </row>
    <row r="37" spans="1:25">
      <c r="A37">
        <v>0.25</v>
      </c>
      <c r="B37" s="14">
        <v>1117786700.9384301</v>
      </c>
      <c r="C37" s="2">
        <v>2820744413.9017973</v>
      </c>
      <c r="E37">
        <v>34</v>
      </c>
      <c r="F37" s="2">
        <v>0</v>
      </c>
      <c r="G37" s="2">
        <v>0</v>
      </c>
      <c r="H37" s="2">
        <f t="shared" si="0"/>
        <v>0</v>
      </c>
      <c r="I37" s="2">
        <v>1115200000</v>
      </c>
      <c r="J37" s="2">
        <f t="shared" si="6"/>
        <v>334560000</v>
      </c>
      <c r="K37" s="2">
        <f t="shared" si="7"/>
        <v>-334560000</v>
      </c>
      <c r="L37" s="2">
        <f>K37*$B$15</f>
        <v>-90331200</v>
      </c>
      <c r="M37" s="2">
        <f t="shared" si="12"/>
        <v>0</v>
      </c>
      <c r="N37" s="2">
        <f t="shared" si="19"/>
        <v>0</v>
      </c>
      <c r="P37">
        <v>34</v>
      </c>
      <c r="Q37" s="3">
        <f t="shared" si="18"/>
        <v>335332800</v>
      </c>
      <c r="R37" s="6">
        <f>$C$13+$C$6*$A$18*$C$10+50*'Carbon Tax'!$B$6</f>
        <v>228124447.71138734</v>
      </c>
      <c r="S37" s="3">
        <f t="shared" si="3"/>
        <v>107208352.28861266</v>
      </c>
      <c r="T37" s="7">
        <f t="shared" si="15"/>
        <v>27634.462315746208</v>
      </c>
      <c r="U37" s="7">
        <f t="shared" si="21"/>
        <v>6908.6155789365521</v>
      </c>
      <c r="V37" s="7">
        <f t="shared" si="9"/>
        <v>107201443.67303373</v>
      </c>
      <c r="W37" s="7">
        <f t="shared" ref="W37:W68" si="22">IF(W36&lt;0,V37*$B$15+W36,V37*$B$15)</f>
        <v>28944389.791719109</v>
      </c>
      <c r="X37" s="11">
        <f t="shared" si="14"/>
        <v>78263962.496893555</v>
      </c>
      <c r="Y37" s="7">
        <f t="shared" si="20"/>
        <v>27901779.130188644</v>
      </c>
    </row>
    <row r="38" spans="1:25">
      <c r="A38">
        <v>0.3</v>
      </c>
      <c r="B38" s="14">
        <v>1117786700.9384301</v>
      </c>
      <c r="C38" s="2">
        <v>2277341339.1449728</v>
      </c>
      <c r="E38">
        <v>35</v>
      </c>
      <c r="F38" s="2">
        <v>0</v>
      </c>
      <c r="G38" s="2">
        <v>0</v>
      </c>
      <c r="H38" s="2">
        <f t="shared" si="0"/>
        <v>0</v>
      </c>
      <c r="I38" s="2">
        <f>I37-J37</f>
        <v>780640000</v>
      </c>
      <c r="J38" s="2">
        <f t="shared" si="6"/>
        <v>234192000</v>
      </c>
      <c r="K38" s="2">
        <f t="shared" si="7"/>
        <v>-234192000</v>
      </c>
      <c r="L38" s="2">
        <f t="shared" ref="L38:L69" si="23">IF(L37&lt;0,K38*$B$15+L37,K38*$B$15)</f>
        <v>-153563040</v>
      </c>
      <c r="M38" s="2">
        <f t="shared" si="12"/>
        <v>0</v>
      </c>
      <c r="N38" s="2">
        <f t="shared" si="19"/>
        <v>0</v>
      </c>
      <c r="P38">
        <v>35</v>
      </c>
      <c r="Q38" s="3">
        <f t="shared" si="18"/>
        <v>335332800</v>
      </c>
      <c r="R38" s="6">
        <f>$C$13+$C$6*$A$18*$C$10+50*'Carbon Tax'!$B$6</f>
        <v>228124447.71138734</v>
      </c>
      <c r="S38" s="3">
        <f t="shared" si="3"/>
        <v>107208352.28861266</v>
      </c>
      <c r="T38" s="7">
        <f t="shared" si="15"/>
        <v>20725.846736809657</v>
      </c>
      <c r="U38" s="7">
        <f t="shared" si="21"/>
        <v>5181.4616842024143</v>
      </c>
      <c r="V38" s="7">
        <f t="shared" si="9"/>
        <v>107203170.82692847</v>
      </c>
      <c r="W38" s="7">
        <f t="shared" si="22"/>
        <v>28944856.123270687</v>
      </c>
      <c r="X38" s="11">
        <f t="shared" si="14"/>
        <v>78263496.165341973</v>
      </c>
      <c r="Y38" s="7">
        <f t="shared" si="20"/>
        <v>27067920.91478426</v>
      </c>
    </row>
    <row r="39" spans="1:25">
      <c r="A39">
        <v>0.35</v>
      </c>
      <c r="B39" s="14">
        <v>1117786700.9384301</v>
      </c>
      <c r="C39" s="2">
        <v>1733807661.2050409</v>
      </c>
      <c r="E39">
        <v>36</v>
      </c>
      <c r="F39" s="2">
        <v>0</v>
      </c>
      <c r="G39" s="2">
        <v>0</v>
      </c>
      <c r="H39" s="2">
        <f t="shared" si="0"/>
        <v>0</v>
      </c>
      <c r="I39" s="2">
        <f t="shared" ref="I39:I69" si="24">I38-J38</f>
        <v>546448000</v>
      </c>
      <c r="J39" s="2">
        <f t="shared" si="6"/>
        <v>163934400</v>
      </c>
      <c r="K39" s="2">
        <f t="shared" si="7"/>
        <v>-163934400</v>
      </c>
      <c r="L39" s="2">
        <f t="shared" si="23"/>
        <v>-197825328</v>
      </c>
      <c r="M39" s="2">
        <f t="shared" si="12"/>
        <v>0</v>
      </c>
      <c r="N39" s="2">
        <f t="shared" si="19"/>
        <v>0</v>
      </c>
      <c r="P39">
        <v>36</v>
      </c>
      <c r="Q39" s="3">
        <f t="shared" si="18"/>
        <v>335332800</v>
      </c>
      <c r="R39" s="6">
        <f>$C$13+$C$6*$A$18*$C$10+50*'Carbon Tax'!$B$6</f>
        <v>228124447.71138734</v>
      </c>
      <c r="S39" s="3">
        <f t="shared" si="3"/>
        <v>107208352.28861266</v>
      </c>
      <c r="T39" s="7">
        <f t="shared" si="15"/>
        <v>15544.385052607242</v>
      </c>
      <c r="U39" s="7">
        <f t="shared" si="21"/>
        <v>3886.0962631518105</v>
      </c>
      <c r="V39" s="7">
        <f t="shared" si="9"/>
        <v>107204466.19234951</v>
      </c>
      <c r="W39" s="7">
        <f t="shared" si="22"/>
        <v>28945205.871934369</v>
      </c>
      <c r="X39" s="11">
        <f t="shared" si="14"/>
        <v>78263146.416678295</v>
      </c>
      <c r="Y39" s="7">
        <f t="shared" si="20"/>
        <v>26259022.072192241</v>
      </c>
    </row>
    <row r="40" spans="1:25">
      <c r="A40">
        <v>0.4</v>
      </c>
      <c r="B40" s="14">
        <v>1117786700.9384301</v>
      </c>
      <c r="C40" s="2">
        <v>1189525814.8912752</v>
      </c>
      <c r="E40">
        <v>37</v>
      </c>
      <c r="F40" s="2">
        <f t="shared" ref="F40:F69" si="25">$B$11</f>
        <v>142612800</v>
      </c>
      <c r="G40" s="2">
        <f t="shared" ref="G40:G68" si="26">$B$13</f>
        <v>19600000</v>
      </c>
      <c r="H40" s="2">
        <f t="shared" si="0"/>
        <v>123012800</v>
      </c>
      <c r="I40" s="2">
        <f t="shared" si="24"/>
        <v>382513600</v>
      </c>
      <c r="J40" s="2">
        <f t="shared" si="6"/>
        <v>114754080</v>
      </c>
      <c r="K40" s="2">
        <f t="shared" si="7"/>
        <v>8258720</v>
      </c>
      <c r="L40" s="2">
        <f t="shared" si="23"/>
        <v>-195595473.59999999</v>
      </c>
      <c r="M40" s="2">
        <f t="shared" si="12"/>
        <v>123012800</v>
      </c>
      <c r="N40" s="2">
        <f t="shared" si="19"/>
        <v>40040283.007602386</v>
      </c>
      <c r="P40">
        <v>37</v>
      </c>
      <c r="Q40" s="3">
        <f t="shared" si="18"/>
        <v>335332800</v>
      </c>
      <c r="R40" s="6">
        <f>$C$13+$C$6*$A$18*$C$10+50*'Carbon Tax'!$B$6</f>
        <v>228124447.71138734</v>
      </c>
      <c r="S40" s="3">
        <f t="shared" si="3"/>
        <v>107208352.28861266</v>
      </c>
      <c r="T40" s="7">
        <f t="shared" si="15"/>
        <v>11658.288789455431</v>
      </c>
      <c r="U40" s="7">
        <f t="shared" si="21"/>
        <v>2914.5721973638579</v>
      </c>
      <c r="V40" s="7">
        <f t="shared" si="9"/>
        <v>107205437.7164153</v>
      </c>
      <c r="W40" s="7">
        <f t="shared" si="22"/>
        <v>28945468.183432132</v>
      </c>
      <c r="X40" s="11">
        <f t="shared" si="14"/>
        <v>78262884.105180532</v>
      </c>
      <c r="Y40" s="7">
        <f t="shared" si="20"/>
        <v>25474324.855320871</v>
      </c>
    </row>
    <row r="41" spans="1:25">
      <c r="A41">
        <v>0.45</v>
      </c>
      <c r="B41" s="14">
        <v>1117786700.9384301</v>
      </c>
      <c r="C41" s="2">
        <v>643618907.25130296</v>
      </c>
      <c r="E41">
        <v>38</v>
      </c>
      <c r="F41" s="2">
        <f t="shared" si="25"/>
        <v>142612800</v>
      </c>
      <c r="G41" s="2">
        <f t="shared" si="26"/>
        <v>19600000</v>
      </c>
      <c r="H41" s="2">
        <f t="shared" si="0"/>
        <v>123012800</v>
      </c>
      <c r="I41" s="2">
        <f t="shared" si="24"/>
        <v>267759520</v>
      </c>
      <c r="J41" s="2">
        <f t="shared" si="6"/>
        <v>80327856</v>
      </c>
      <c r="K41" s="2">
        <f t="shared" si="7"/>
        <v>42684944</v>
      </c>
      <c r="L41" s="2">
        <f t="shared" si="23"/>
        <v>-184070538.72</v>
      </c>
      <c r="M41" s="2">
        <f t="shared" si="12"/>
        <v>123012800</v>
      </c>
      <c r="N41" s="2">
        <f t="shared" si="19"/>
        <v>38843891.159878142</v>
      </c>
      <c r="P41">
        <v>38</v>
      </c>
      <c r="Q41" s="3">
        <f t="shared" si="18"/>
        <v>335332800</v>
      </c>
      <c r="R41" s="6">
        <f>$C$13+$C$6*$A$18*$C$10+50*'Carbon Tax'!$B$6</f>
        <v>228124447.71138734</v>
      </c>
      <c r="S41" s="3">
        <f t="shared" si="3"/>
        <v>107208352.28861266</v>
      </c>
      <c r="T41" s="7">
        <f t="shared" si="15"/>
        <v>8743.7165920915741</v>
      </c>
      <c r="U41" s="7">
        <f t="shared" si="21"/>
        <v>2185.9291480228935</v>
      </c>
      <c r="V41" s="7">
        <f t="shared" si="9"/>
        <v>107206166.35946465</v>
      </c>
      <c r="W41" s="7">
        <f t="shared" si="22"/>
        <v>28945664.917055458</v>
      </c>
      <c r="X41" s="11">
        <f t="shared" si="14"/>
        <v>78262687.371557206</v>
      </c>
      <c r="Y41" s="7">
        <f t="shared" si="20"/>
        <v>24713097.418645356</v>
      </c>
    </row>
    <row r="42" spans="1:25">
      <c r="A42">
        <v>0.5</v>
      </c>
      <c r="B42" s="14">
        <v>1117786700.9384301</v>
      </c>
      <c r="C42" s="2">
        <v>90552490.028837562</v>
      </c>
      <c r="E42">
        <v>39</v>
      </c>
      <c r="F42" s="2">
        <f t="shared" si="25"/>
        <v>142612800</v>
      </c>
      <c r="G42" s="2">
        <f t="shared" si="26"/>
        <v>19600000</v>
      </c>
      <c r="H42" s="2">
        <f t="shared" si="0"/>
        <v>123012800</v>
      </c>
      <c r="I42" s="2">
        <f t="shared" si="24"/>
        <v>187431664</v>
      </c>
      <c r="J42" s="2">
        <f t="shared" si="6"/>
        <v>56229499.199999996</v>
      </c>
      <c r="K42" s="2">
        <f t="shared" si="7"/>
        <v>66783300.800000004</v>
      </c>
      <c r="L42" s="2">
        <f t="shared" si="23"/>
        <v>-166039047.50400001</v>
      </c>
      <c r="M42" s="2">
        <f t="shared" si="12"/>
        <v>123012800</v>
      </c>
      <c r="N42" s="2">
        <f t="shared" si="19"/>
        <v>37683247.147728123</v>
      </c>
      <c r="P42">
        <v>39</v>
      </c>
      <c r="Q42" s="3">
        <f t="shared" si="18"/>
        <v>335332800</v>
      </c>
      <c r="R42" s="6">
        <f>$C$13+$C$6*$A$18*$C$10+50*'Carbon Tax'!$B$6</f>
        <v>228124447.71138734</v>
      </c>
      <c r="S42" s="3">
        <f t="shared" si="3"/>
        <v>107208352.28861266</v>
      </c>
      <c r="T42" s="7">
        <f t="shared" si="15"/>
        <v>6557.787444068681</v>
      </c>
      <c r="U42" s="7">
        <f t="shared" si="21"/>
        <v>1639.4468610171702</v>
      </c>
      <c r="V42" s="7">
        <f t="shared" si="9"/>
        <v>107206712.84175165</v>
      </c>
      <c r="W42" s="7">
        <f t="shared" si="22"/>
        <v>28945812.467272948</v>
      </c>
      <c r="X42" s="11">
        <f t="shared" si="14"/>
        <v>78262539.821339712</v>
      </c>
      <c r="Y42" s="7">
        <f t="shared" si="20"/>
        <v>23974632.156137072</v>
      </c>
    </row>
    <row r="43" spans="1:25">
      <c r="A43">
        <v>0.55000000000000004</v>
      </c>
      <c r="B43" s="14">
        <v>1117786700.9384301</v>
      </c>
      <c r="C43" s="14">
        <v>-565379828.05299103</v>
      </c>
      <c r="E43">
        <v>40</v>
      </c>
      <c r="F43" s="2">
        <f t="shared" si="25"/>
        <v>142612800</v>
      </c>
      <c r="G43" s="2">
        <f t="shared" si="26"/>
        <v>19600000</v>
      </c>
      <c r="H43" s="2">
        <f t="shared" si="0"/>
        <v>123012800</v>
      </c>
      <c r="I43" s="2">
        <f t="shared" si="24"/>
        <v>131202164.80000001</v>
      </c>
      <c r="J43" s="2">
        <f t="shared" si="6"/>
        <v>39360649.440000005</v>
      </c>
      <c r="K43" s="2">
        <f t="shared" si="7"/>
        <v>83652150.560000002</v>
      </c>
      <c r="L43" s="2">
        <f t="shared" si="23"/>
        <v>-143452966.85280001</v>
      </c>
      <c r="M43" s="2">
        <f t="shared" si="12"/>
        <v>123012800</v>
      </c>
      <c r="N43" s="2">
        <f t="shared" si="19"/>
        <v>36557282.83636798</v>
      </c>
      <c r="P43">
        <v>40</v>
      </c>
      <c r="Q43" s="3">
        <f t="shared" si="18"/>
        <v>335332800</v>
      </c>
      <c r="R43" s="6">
        <f>$C$13+$C$6*$A$18*$C$10+50*'Carbon Tax'!$B$6</f>
        <v>228124447.71138734</v>
      </c>
      <c r="S43" s="3">
        <f t="shared" si="3"/>
        <v>107208352.28861266</v>
      </c>
      <c r="T43" s="7">
        <f t="shared" si="15"/>
        <v>4918.3405830515112</v>
      </c>
      <c r="U43" s="7">
        <f t="shared" si="21"/>
        <v>1229.5851457628778</v>
      </c>
      <c r="V43" s="7">
        <f t="shared" si="9"/>
        <v>107207122.70346691</v>
      </c>
      <c r="W43" s="7">
        <f t="shared" si="22"/>
        <v>28945923.129936066</v>
      </c>
      <c r="X43" s="11">
        <f t="shared" si="14"/>
        <v>78262429.158676594</v>
      </c>
      <c r="Y43" s="7">
        <f t="shared" si="20"/>
        <v>23258244.330792833</v>
      </c>
    </row>
    <row r="44" spans="1:25">
      <c r="A44">
        <v>0.6</v>
      </c>
      <c r="B44" s="14">
        <v>1117786700.9384301</v>
      </c>
      <c r="C44" s="2">
        <v>-1308931943.4985464</v>
      </c>
      <c r="E44">
        <v>41</v>
      </c>
      <c r="F44" s="2">
        <f t="shared" si="25"/>
        <v>142612800</v>
      </c>
      <c r="G44" s="2">
        <f t="shared" si="26"/>
        <v>19600000</v>
      </c>
      <c r="H44" s="2">
        <f t="shared" si="0"/>
        <v>123012800</v>
      </c>
      <c r="I44" s="2">
        <f t="shared" si="24"/>
        <v>91841515.360000014</v>
      </c>
      <c r="J44" s="2">
        <f t="shared" si="6"/>
        <v>27552454.608000003</v>
      </c>
      <c r="K44" s="2">
        <f t="shared" si="7"/>
        <v>95460345.39199999</v>
      </c>
      <c r="L44" s="2">
        <f t="shared" si="23"/>
        <v>-117678673.59696001</v>
      </c>
      <c r="M44" s="2">
        <f t="shared" si="12"/>
        <v>123012800</v>
      </c>
      <c r="N44" s="2">
        <f t="shared" si="19"/>
        <v>35464962.006565757</v>
      </c>
      <c r="P44">
        <v>41</v>
      </c>
      <c r="Q44" s="3">
        <f t="shared" si="18"/>
        <v>335332800</v>
      </c>
      <c r="R44" s="6">
        <f>$C$13+$C$6*$A$18*$C$10+50*'Carbon Tax'!$B$6</f>
        <v>228124447.71138734</v>
      </c>
      <c r="S44" s="3">
        <f t="shared" si="3"/>
        <v>107208352.28861266</v>
      </c>
      <c r="T44" s="7">
        <f t="shared" si="15"/>
        <v>3688.7554372886334</v>
      </c>
      <c r="U44" s="7">
        <f t="shared" si="21"/>
        <v>922.18885932215835</v>
      </c>
      <c r="V44" s="7">
        <f t="shared" si="9"/>
        <v>107207430.09975334</v>
      </c>
      <c r="W44" s="7">
        <f t="shared" si="22"/>
        <v>28946006.126933403</v>
      </c>
      <c r="X44" s="11">
        <f t="shared" si="14"/>
        <v>78262346.161679268</v>
      </c>
      <c r="Y44" s="7">
        <f t="shared" si="20"/>
        <v>22563270.921145219</v>
      </c>
    </row>
    <row r="45" spans="1:25">
      <c r="E45">
        <v>42</v>
      </c>
      <c r="F45" s="2">
        <f t="shared" si="25"/>
        <v>142612800</v>
      </c>
      <c r="G45" s="2">
        <f t="shared" si="26"/>
        <v>19600000</v>
      </c>
      <c r="H45" s="2">
        <f t="shared" si="0"/>
        <v>123012800</v>
      </c>
      <c r="I45" s="2">
        <f t="shared" si="24"/>
        <v>64289060.752000012</v>
      </c>
      <c r="J45" s="2">
        <f t="shared" si="6"/>
        <v>19286718.225600004</v>
      </c>
      <c r="K45" s="2">
        <f t="shared" si="7"/>
        <v>103726081.7744</v>
      </c>
      <c r="L45" s="2">
        <f t="shared" si="23"/>
        <v>-89672631.517872006</v>
      </c>
      <c r="M45" s="2">
        <f t="shared" si="12"/>
        <v>123012800</v>
      </c>
      <c r="N45" s="2">
        <f t="shared" si="19"/>
        <v>34405279.401014514</v>
      </c>
      <c r="P45">
        <v>42</v>
      </c>
      <c r="Q45" s="3">
        <f t="shared" si="18"/>
        <v>335332800</v>
      </c>
      <c r="R45" s="6">
        <f>$C$13+$C$6*$A$18*$C$10+50*'Carbon Tax'!$B$6</f>
        <v>228124447.71138734</v>
      </c>
      <c r="S45" s="3">
        <f t="shared" si="3"/>
        <v>107208352.28861266</v>
      </c>
      <c r="T45" s="7">
        <f t="shared" si="15"/>
        <v>2766.5665779664751</v>
      </c>
      <c r="U45" s="7">
        <f t="shared" si="21"/>
        <v>691.64164449161876</v>
      </c>
      <c r="V45" s="7">
        <f t="shared" si="9"/>
        <v>107207660.64696817</v>
      </c>
      <c r="W45" s="7">
        <f t="shared" si="22"/>
        <v>28946068.374681409</v>
      </c>
      <c r="X45" s="11">
        <f t="shared" si="14"/>
        <v>78262283.913931251</v>
      </c>
      <c r="Y45" s="7">
        <f t="shared" si="20"/>
        <v>21889069.630317561</v>
      </c>
    </row>
    <row r="46" spans="1:25">
      <c r="C46" s="14"/>
      <c r="E46">
        <v>43</v>
      </c>
      <c r="F46" s="2">
        <f t="shared" si="25"/>
        <v>142612800</v>
      </c>
      <c r="G46" s="2">
        <f t="shared" si="26"/>
        <v>19600000</v>
      </c>
      <c r="H46" s="2">
        <f t="shared" si="0"/>
        <v>123012800</v>
      </c>
      <c r="I46" s="2">
        <f t="shared" si="24"/>
        <v>45002342.526400007</v>
      </c>
      <c r="J46" s="2">
        <f t="shared" si="6"/>
        <v>13500702.757920003</v>
      </c>
      <c r="K46" s="2">
        <f t="shared" si="7"/>
        <v>109512097.24208</v>
      </c>
      <c r="L46" s="2">
        <f t="shared" si="23"/>
        <v>-60104365.262510404</v>
      </c>
      <c r="M46" s="2">
        <f t="shared" si="12"/>
        <v>123012800</v>
      </c>
      <c r="N46" s="2">
        <f t="shared" si="19"/>
        <v>33377259.799199183</v>
      </c>
      <c r="P46">
        <v>43</v>
      </c>
      <c r="Q46" s="3">
        <f t="shared" si="18"/>
        <v>335332800</v>
      </c>
      <c r="R46" s="6">
        <f>$C$13+$C$6*$A$18*$C$10+50*'Carbon Tax'!$B$6</f>
        <v>228124447.71138734</v>
      </c>
      <c r="S46" s="3">
        <f t="shared" si="3"/>
        <v>107208352.28861266</v>
      </c>
      <c r="T46" s="7">
        <f t="shared" si="15"/>
        <v>2074.9249334748565</v>
      </c>
      <c r="U46" s="7">
        <f t="shared" si="21"/>
        <v>518.73123336871413</v>
      </c>
      <c r="V46" s="7">
        <f t="shared" si="9"/>
        <v>107207833.55737929</v>
      </c>
      <c r="W46" s="7">
        <f t="shared" si="22"/>
        <v>28946115.060492411</v>
      </c>
      <c r="X46" s="11">
        <f t="shared" si="14"/>
        <v>78262237.228120252</v>
      </c>
      <c r="Y46" s="7">
        <f t="shared" si="20"/>
        <v>21235018.017877229</v>
      </c>
    </row>
    <row r="47" spans="1:25">
      <c r="E47">
        <v>44</v>
      </c>
      <c r="F47" s="2">
        <f t="shared" si="25"/>
        <v>142612800</v>
      </c>
      <c r="G47" s="2">
        <f t="shared" si="26"/>
        <v>19600000</v>
      </c>
      <c r="H47" s="2">
        <f t="shared" si="0"/>
        <v>123012800</v>
      </c>
      <c r="I47" s="2">
        <f t="shared" si="24"/>
        <v>31501639.768480003</v>
      </c>
      <c r="J47" s="2">
        <f t="shared" si="6"/>
        <v>9450491.9305440001</v>
      </c>
      <c r="K47" s="2">
        <f t="shared" si="7"/>
        <v>113562308.069456</v>
      </c>
      <c r="L47" s="2">
        <f t="shared" si="23"/>
        <v>-29442542.083757281</v>
      </c>
      <c r="M47" s="2">
        <f t="shared" si="12"/>
        <v>123012800</v>
      </c>
      <c r="N47" s="2">
        <f t="shared" si="19"/>
        <v>32379957.119906072</v>
      </c>
      <c r="P47">
        <v>44</v>
      </c>
      <c r="Q47" s="3">
        <f t="shared" si="18"/>
        <v>335332800</v>
      </c>
      <c r="R47" s="6">
        <f>$C$13+$C$6*$A$18*$C$10+50*'Carbon Tax'!$B$6</f>
        <v>228124447.71138734</v>
      </c>
      <c r="S47" s="3">
        <f t="shared" si="3"/>
        <v>107208352.28861266</v>
      </c>
      <c r="T47" s="7">
        <f t="shared" si="15"/>
        <v>1556.1937001061424</v>
      </c>
      <c r="U47" s="7">
        <f t="shared" si="21"/>
        <v>389.0484250265356</v>
      </c>
      <c r="V47" s="7">
        <f t="shared" si="9"/>
        <v>107207963.24018763</v>
      </c>
      <c r="W47" s="7">
        <f t="shared" si="22"/>
        <v>28946150.074850664</v>
      </c>
      <c r="X47" s="11">
        <f t="shared" si="14"/>
        <v>78262202.213762</v>
      </c>
      <c r="Y47" s="7">
        <f t="shared" si="20"/>
        <v>20600512.725432083</v>
      </c>
    </row>
    <row r="48" spans="1:25">
      <c r="E48">
        <v>45</v>
      </c>
      <c r="F48" s="2">
        <f t="shared" si="25"/>
        <v>142612800</v>
      </c>
      <c r="G48" s="2">
        <f t="shared" si="26"/>
        <v>19600000</v>
      </c>
      <c r="H48" s="2">
        <f t="shared" si="0"/>
        <v>123012800</v>
      </c>
      <c r="I48" s="2">
        <f t="shared" si="24"/>
        <v>22051147.837936003</v>
      </c>
      <c r="J48" s="2">
        <f t="shared" si="6"/>
        <v>6615344.3513808008</v>
      </c>
      <c r="K48" s="2">
        <f t="shared" si="7"/>
        <v>116397455.6486192</v>
      </c>
      <c r="L48" s="2">
        <f t="shared" si="23"/>
        <v>1984770.9413699061</v>
      </c>
      <c r="M48" s="2">
        <f t="shared" si="12"/>
        <v>121028029.05863009</v>
      </c>
      <c r="N48" s="2">
        <f t="shared" si="19"/>
        <v>30905623.976681545</v>
      </c>
      <c r="P48">
        <v>45</v>
      </c>
      <c r="Q48" s="3">
        <f t="shared" si="18"/>
        <v>335332800</v>
      </c>
      <c r="R48" s="6">
        <f>$C$13+$C$6*$A$18*$C$10+50*'Carbon Tax'!$B$6</f>
        <v>228124447.71138734</v>
      </c>
      <c r="S48" s="3">
        <f t="shared" si="3"/>
        <v>107208352.28861266</v>
      </c>
      <c r="T48" s="7">
        <f t="shared" si="15"/>
        <v>1167.1452750796068</v>
      </c>
      <c r="U48" s="7">
        <f t="shared" si="21"/>
        <v>291.7863187699017</v>
      </c>
      <c r="V48" s="7">
        <f t="shared" si="9"/>
        <v>107208060.5022939</v>
      </c>
      <c r="W48" s="7">
        <f t="shared" si="22"/>
        <v>28946176.335619356</v>
      </c>
      <c r="X48" s="11">
        <f t="shared" si="14"/>
        <v>78262175.952993304</v>
      </c>
      <c r="Y48" s="7">
        <f t="shared" si="20"/>
        <v>19984968.774699114</v>
      </c>
    </row>
    <row r="49" spans="2:25">
      <c r="E49">
        <v>46</v>
      </c>
      <c r="F49" s="2">
        <f t="shared" si="25"/>
        <v>142612800</v>
      </c>
      <c r="G49" s="2">
        <f t="shared" si="26"/>
        <v>19600000</v>
      </c>
      <c r="H49" s="2">
        <f t="shared" si="0"/>
        <v>123012800</v>
      </c>
      <c r="I49" s="2">
        <f t="shared" si="24"/>
        <v>15435803.486555202</v>
      </c>
      <c r="J49" s="2">
        <f t="shared" si="6"/>
        <v>4630741.04596656</v>
      </c>
      <c r="K49" s="2">
        <f t="shared" si="7"/>
        <v>118382058.95403343</v>
      </c>
      <c r="L49" s="2">
        <f t="shared" si="23"/>
        <v>31963155.917589031</v>
      </c>
      <c r="M49" s="2">
        <f t="shared" si="12"/>
        <v>91049644.082410961</v>
      </c>
      <c r="N49" s="2">
        <f t="shared" si="19"/>
        <v>22555652.653068464</v>
      </c>
      <c r="P49">
        <v>46</v>
      </c>
      <c r="Q49" s="3">
        <f t="shared" si="18"/>
        <v>335332800</v>
      </c>
      <c r="R49" s="6">
        <f>$C$13+$C$6*$A$18*$C$10+50*'Carbon Tax'!$B$6</f>
        <v>228124447.71138734</v>
      </c>
      <c r="S49" s="3">
        <f t="shared" si="3"/>
        <v>107208352.28861266</v>
      </c>
      <c r="T49" s="7">
        <f t="shared" si="15"/>
        <v>875.35895630970504</v>
      </c>
      <c r="U49" s="7">
        <f t="shared" si="21"/>
        <v>218.83973907742626</v>
      </c>
      <c r="V49" s="7">
        <f t="shared" si="9"/>
        <v>107208133.44887358</v>
      </c>
      <c r="W49" s="7">
        <f t="shared" si="22"/>
        <v>28946196.031195868</v>
      </c>
      <c r="X49" s="11">
        <f t="shared" si="14"/>
        <v>78262156.2574168</v>
      </c>
      <c r="Y49" s="7">
        <f t="shared" si="20"/>
        <v>19387818.922440741</v>
      </c>
    </row>
    <row r="50" spans="2:25">
      <c r="E50">
        <v>47</v>
      </c>
      <c r="F50" s="2">
        <f t="shared" si="25"/>
        <v>142612800</v>
      </c>
      <c r="G50" s="2">
        <f t="shared" si="26"/>
        <v>19600000</v>
      </c>
      <c r="H50" s="2">
        <f t="shared" si="0"/>
        <v>123012800</v>
      </c>
      <c r="I50" s="2">
        <f t="shared" si="24"/>
        <v>10805062.440588642</v>
      </c>
      <c r="J50" s="2">
        <f t="shared" si="6"/>
        <v>3241518.7321765926</v>
      </c>
      <c r="K50" s="2">
        <f t="shared" si="7"/>
        <v>119771281.26782341</v>
      </c>
      <c r="L50" s="2">
        <f t="shared" si="23"/>
        <v>32338245.942312323</v>
      </c>
      <c r="M50" s="2">
        <f t="shared" si="12"/>
        <v>90674554.05768767</v>
      </c>
      <c r="N50" s="2">
        <f t="shared" si="19"/>
        <v>21791552.108069476</v>
      </c>
      <c r="P50">
        <v>47</v>
      </c>
      <c r="Q50" s="3">
        <f t="shared" si="18"/>
        <v>335332800</v>
      </c>
      <c r="R50" s="6">
        <f>$C$13+$C$6*$A$18*$C$10+50*'Carbon Tax'!$B$6</f>
        <v>228124447.71138734</v>
      </c>
      <c r="S50" s="3">
        <f t="shared" si="3"/>
        <v>107208352.28861266</v>
      </c>
      <c r="T50" s="7">
        <f t="shared" si="15"/>
        <v>656.51921723227883</v>
      </c>
      <c r="U50" s="7">
        <f t="shared" si="21"/>
        <v>164.12980430806971</v>
      </c>
      <c r="V50" s="7">
        <f t="shared" si="9"/>
        <v>107208188.15880835</v>
      </c>
      <c r="W50" s="7">
        <f t="shared" si="22"/>
        <v>28946210.802878257</v>
      </c>
      <c r="X50" s="11">
        <f t="shared" si="14"/>
        <v>78262141.485734403</v>
      </c>
      <c r="Y50" s="7">
        <f t="shared" si="20"/>
        <v>18808513.060791761</v>
      </c>
    </row>
    <row r="51" spans="2:25">
      <c r="E51">
        <v>48</v>
      </c>
      <c r="F51" s="2">
        <f t="shared" si="25"/>
        <v>142612800</v>
      </c>
      <c r="G51" s="2">
        <f t="shared" si="26"/>
        <v>19600000</v>
      </c>
      <c r="H51" s="2">
        <f t="shared" si="0"/>
        <v>123012800</v>
      </c>
      <c r="I51" s="2">
        <f t="shared" si="24"/>
        <v>7563543.7084120493</v>
      </c>
      <c r="J51" s="2">
        <f t="shared" si="6"/>
        <v>2269063.1125236149</v>
      </c>
      <c r="K51" s="2">
        <f t="shared" si="7"/>
        <v>120743736.88747638</v>
      </c>
      <c r="L51" s="2">
        <f t="shared" si="23"/>
        <v>32600808.959618624</v>
      </c>
      <c r="M51" s="2">
        <f t="shared" si="12"/>
        <v>90411991.040381372</v>
      </c>
      <c r="N51" s="2">
        <f t="shared" si="19"/>
        <v>21079211.390218038</v>
      </c>
      <c r="P51">
        <v>48</v>
      </c>
      <c r="Q51" s="3">
        <f t="shared" si="18"/>
        <v>335332800</v>
      </c>
      <c r="R51" s="6">
        <f>$C$13+$C$6*$A$18*$C$10+50*'Carbon Tax'!$B$6</f>
        <v>228124447.71138734</v>
      </c>
      <c r="S51" s="3">
        <f t="shared" si="3"/>
        <v>107208352.28861266</v>
      </c>
      <c r="T51" s="7">
        <f t="shared" si="15"/>
        <v>492.38941292420913</v>
      </c>
      <c r="U51" s="7">
        <f t="shared" si="21"/>
        <v>123.09735323105228</v>
      </c>
      <c r="V51" s="7">
        <f t="shared" si="9"/>
        <v>107208229.19125943</v>
      </c>
      <c r="W51" s="7">
        <f t="shared" si="22"/>
        <v>28946221.881640047</v>
      </c>
      <c r="X51" s="11">
        <f t="shared" si="14"/>
        <v>78262130.406972617</v>
      </c>
      <c r="Y51" s="7">
        <f t="shared" si="20"/>
        <v>18246517.654506329</v>
      </c>
    </row>
    <row r="52" spans="2:25">
      <c r="E52">
        <v>49</v>
      </c>
      <c r="F52" s="2">
        <f t="shared" si="25"/>
        <v>142612800</v>
      </c>
      <c r="G52" s="2">
        <f t="shared" si="26"/>
        <v>19600000</v>
      </c>
      <c r="H52" s="2">
        <f t="shared" si="0"/>
        <v>123012800</v>
      </c>
      <c r="I52" s="2">
        <f t="shared" si="24"/>
        <v>5294480.595888434</v>
      </c>
      <c r="J52" s="2">
        <f t="shared" si="6"/>
        <v>1588344.1787665302</v>
      </c>
      <c r="K52" s="2">
        <f t="shared" si="7"/>
        <v>121424455.82123347</v>
      </c>
      <c r="L52" s="2">
        <f t="shared" si="23"/>
        <v>32784603.071733039</v>
      </c>
      <c r="M52" s="2">
        <f t="shared" si="12"/>
        <v>90228196.928266957</v>
      </c>
      <c r="N52" s="2">
        <f t="shared" si="19"/>
        <v>20407800.245374046</v>
      </c>
      <c r="P52">
        <v>49</v>
      </c>
      <c r="Q52" s="3">
        <f t="shared" si="18"/>
        <v>335332800</v>
      </c>
      <c r="R52" s="6">
        <f>$C$13+$C$6*$A$18*$C$10+50*'Carbon Tax'!$B$6</f>
        <v>228124447.71138734</v>
      </c>
      <c r="S52" s="3">
        <f t="shared" si="3"/>
        <v>107208352.28861266</v>
      </c>
      <c r="T52" s="7">
        <f t="shared" si="15"/>
        <v>369.29205969315683</v>
      </c>
      <c r="U52" s="7">
        <f t="shared" si="21"/>
        <v>92.323014923289207</v>
      </c>
      <c r="V52" s="7">
        <f t="shared" si="9"/>
        <v>107208259.96559773</v>
      </c>
      <c r="W52" s="7">
        <f t="shared" si="22"/>
        <v>28946230.19071139</v>
      </c>
      <c r="X52" s="11">
        <f t="shared" si="14"/>
        <v>78262122.09790127</v>
      </c>
      <c r="Y52" s="7">
        <f t="shared" si="20"/>
        <v>17701315.208845548</v>
      </c>
    </row>
    <row r="53" spans="2:25">
      <c r="E53">
        <v>50</v>
      </c>
      <c r="F53" s="2">
        <f t="shared" si="25"/>
        <v>142612800</v>
      </c>
      <c r="G53" s="2">
        <f t="shared" si="26"/>
        <v>19600000</v>
      </c>
      <c r="H53" s="2">
        <f t="shared" si="0"/>
        <v>123012800</v>
      </c>
      <c r="I53" s="2">
        <f t="shared" si="24"/>
        <v>3706136.417121904</v>
      </c>
      <c r="J53" s="2">
        <f t="shared" si="6"/>
        <v>1111840.9251365711</v>
      </c>
      <c r="K53" s="2">
        <f t="shared" si="7"/>
        <v>121900959.07486343</v>
      </c>
      <c r="L53" s="2">
        <f t="shared" si="23"/>
        <v>32913258.950213131</v>
      </c>
      <c r="M53" s="2">
        <f t="shared" si="12"/>
        <v>90099541.049786866</v>
      </c>
      <c r="N53" s="2">
        <f t="shared" si="19"/>
        <v>19769791.305582989</v>
      </c>
      <c r="P53">
        <v>50</v>
      </c>
      <c r="Q53" s="3">
        <f t="shared" si="18"/>
        <v>335332800</v>
      </c>
      <c r="R53" s="6">
        <f>$C$13+$C$6*$A$18*$C$10+50*'Carbon Tax'!$B$6</f>
        <v>228124447.71138734</v>
      </c>
      <c r="S53" s="3">
        <f t="shared" si="3"/>
        <v>107208352.28861266</v>
      </c>
      <c r="T53" s="7">
        <f t="shared" si="15"/>
        <v>276.96904476986765</v>
      </c>
      <c r="U53" s="7">
        <f t="shared" si="21"/>
        <v>69.242261192466913</v>
      </c>
      <c r="V53" s="7">
        <f t="shared" si="9"/>
        <v>107208283.04635148</v>
      </c>
      <c r="W53" s="7">
        <f t="shared" si="22"/>
        <v>28946236.422514901</v>
      </c>
      <c r="X53" s="11">
        <f t="shared" si="14"/>
        <v>78262115.866097763</v>
      </c>
      <c r="Y53" s="7">
        <f t="shared" si="20"/>
        <v>17172403.7634237</v>
      </c>
    </row>
    <row r="54" spans="2:25">
      <c r="E54">
        <v>51</v>
      </c>
      <c r="F54" s="2">
        <f t="shared" si="25"/>
        <v>142612800</v>
      </c>
      <c r="G54" s="2">
        <f t="shared" si="26"/>
        <v>19600000</v>
      </c>
      <c r="H54" s="2">
        <f t="shared" si="0"/>
        <v>123012800</v>
      </c>
      <c r="I54" s="2">
        <f t="shared" si="24"/>
        <v>2594295.4919853332</v>
      </c>
      <c r="J54" s="2">
        <f t="shared" si="6"/>
        <v>778288.64759559988</v>
      </c>
      <c r="K54" s="2">
        <f t="shared" si="7"/>
        <v>122234511.3524044</v>
      </c>
      <c r="L54" s="2">
        <f t="shared" si="23"/>
        <v>33003318.065149192</v>
      </c>
      <c r="M54" s="2">
        <f t="shared" si="12"/>
        <v>90009481.934850812</v>
      </c>
      <c r="N54" s="2">
        <f t="shared" si="19"/>
        <v>19159905.301360685</v>
      </c>
      <c r="P54">
        <v>51</v>
      </c>
      <c r="Q54" s="3">
        <f t="shared" si="18"/>
        <v>335332800</v>
      </c>
      <c r="R54" s="6">
        <f>$C$13+$C$6*$A$18*$C$10+50*'Carbon Tax'!$B$6</f>
        <v>228124447.71138734</v>
      </c>
      <c r="S54" s="3">
        <f t="shared" si="3"/>
        <v>107208352.28861266</v>
      </c>
      <c r="T54" s="7">
        <f t="shared" si="15"/>
        <v>207.72678357740074</v>
      </c>
      <c r="U54" s="7">
        <f t="shared" si="21"/>
        <v>51.931695894350185</v>
      </c>
      <c r="V54" s="7">
        <f t="shared" si="9"/>
        <v>107208300.35691677</v>
      </c>
      <c r="W54" s="7">
        <f t="shared" si="22"/>
        <v>28946241.096367531</v>
      </c>
      <c r="X54" s="11">
        <f t="shared" si="14"/>
        <v>78262111.192245126</v>
      </c>
      <c r="Y54" s="7">
        <f t="shared" si="20"/>
        <v>16659296.408497456</v>
      </c>
    </row>
    <row r="55" spans="2:25">
      <c r="E55">
        <v>52</v>
      </c>
      <c r="F55" s="2">
        <f t="shared" si="25"/>
        <v>142612800</v>
      </c>
      <c r="G55" s="2">
        <f t="shared" si="26"/>
        <v>19600000</v>
      </c>
      <c r="H55" s="2">
        <f t="shared" si="0"/>
        <v>123012800</v>
      </c>
      <c r="I55" s="2">
        <f t="shared" si="24"/>
        <v>1816006.8443897334</v>
      </c>
      <c r="J55" s="2">
        <f t="shared" si="6"/>
        <v>544802.05331691995</v>
      </c>
      <c r="K55" s="2">
        <f t="shared" si="7"/>
        <v>122467997.94668308</v>
      </c>
      <c r="L55" s="2">
        <f t="shared" si="23"/>
        <v>33066359.445604432</v>
      </c>
      <c r="M55" s="2">
        <f t="shared" si="12"/>
        <v>89946440.554395571</v>
      </c>
      <c r="N55" s="2">
        <f t="shared" si="19"/>
        <v>18574394.617816564</v>
      </c>
      <c r="P55">
        <v>52</v>
      </c>
      <c r="Q55" s="3">
        <f t="shared" si="18"/>
        <v>335332800</v>
      </c>
      <c r="R55" s="6">
        <f>$C$13+$C$6*$A$18*$C$10+50*'Carbon Tax'!$B$6</f>
        <v>228124447.71138734</v>
      </c>
      <c r="S55" s="3">
        <f t="shared" si="3"/>
        <v>107208352.28861266</v>
      </c>
      <c r="T55" s="7">
        <f t="shared" si="15"/>
        <v>155.79508768305055</v>
      </c>
      <c r="U55" s="7">
        <f t="shared" si="21"/>
        <v>38.948771920762638</v>
      </c>
      <c r="V55" s="7">
        <f t="shared" si="9"/>
        <v>107208313.33984074</v>
      </c>
      <c r="W55" s="7">
        <f t="shared" si="22"/>
        <v>28946244.601757001</v>
      </c>
      <c r="X55" s="11">
        <f t="shared" si="14"/>
        <v>78262107.686855659</v>
      </c>
      <c r="Y55" s="7">
        <f t="shared" si="20"/>
        <v>16161520.821033457</v>
      </c>
    </row>
    <row r="56" spans="2:25">
      <c r="E56">
        <v>53</v>
      </c>
      <c r="F56" s="2">
        <f t="shared" si="25"/>
        <v>142612800</v>
      </c>
      <c r="G56" s="2">
        <f t="shared" si="26"/>
        <v>19600000</v>
      </c>
      <c r="H56" s="2">
        <f t="shared" si="0"/>
        <v>123012800</v>
      </c>
      <c r="I56" s="2">
        <f t="shared" si="24"/>
        <v>1271204.7910728133</v>
      </c>
      <c r="J56" s="2">
        <f t="shared" si="6"/>
        <v>381361.43732184399</v>
      </c>
      <c r="K56" s="2">
        <f t="shared" si="7"/>
        <v>122631438.56267816</v>
      </c>
      <c r="L56" s="2">
        <f t="shared" si="23"/>
        <v>33110488.411923107</v>
      </c>
      <c r="M56" s="2">
        <f t="shared" si="12"/>
        <v>89902311.58807689</v>
      </c>
      <c r="N56" s="2">
        <f t="shared" si="19"/>
        <v>18010556.619341731</v>
      </c>
      <c r="P56">
        <v>53</v>
      </c>
      <c r="Q56" s="3">
        <f t="shared" si="18"/>
        <v>335332800</v>
      </c>
      <c r="R56" s="6">
        <f>$C$13+$C$6*$A$18*$C$10+50*'Carbon Tax'!$B$6</f>
        <v>228124447.71138734</v>
      </c>
      <c r="S56" s="3">
        <f t="shared" si="3"/>
        <v>107208352.28861266</v>
      </c>
      <c r="T56" s="7">
        <f t="shared" si="15"/>
        <v>116.84631576228792</v>
      </c>
      <c r="U56" s="7">
        <f t="shared" si="21"/>
        <v>29.211578940571979</v>
      </c>
      <c r="V56" s="7">
        <f t="shared" si="9"/>
        <v>107208323.07703373</v>
      </c>
      <c r="W56" s="7">
        <f t="shared" si="22"/>
        <v>28946247.230799109</v>
      </c>
      <c r="X56" s="11">
        <f t="shared" si="14"/>
        <v>78262105.057813555</v>
      </c>
      <c r="Y56" s="7">
        <f t="shared" si="20"/>
        <v>15678618.818512781</v>
      </c>
    </row>
    <row r="57" spans="2:25">
      <c r="E57">
        <v>54</v>
      </c>
      <c r="F57" s="2">
        <f t="shared" si="25"/>
        <v>142612800</v>
      </c>
      <c r="G57" s="2">
        <f t="shared" si="26"/>
        <v>19600000</v>
      </c>
      <c r="H57" s="2">
        <f t="shared" si="0"/>
        <v>123012800</v>
      </c>
      <c r="I57" s="2">
        <f t="shared" si="24"/>
        <v>889843.35375096928</v>
      </c>
      <c r="J57" s="2">
        <f t="shared" si="6"/>
        <v>266953.00612529076</v>
      </c>
      <c r="K57" s="2">
        <f t="shared" si="7"/>
        <v>122745846.99387471</v>
      </c>
      <c r="L57" s="2">
        <f t="shared" si="23"/>
        <v>33141378.688346174</v>
      </c>
      <c r="M57" s="2">
        <f t="shared" si="12"/>
        <v>89871421.311653823</v>
      </c>
      <c r="N57" s="2">
        <f t="shared" si="19"/>
        <v>17466403.01097</v>
      </c>
      <c r="P57">
        <v>54</v>
      </c>
      <c r="Q57" s="3">
        <f t="shared" si="18"/>
        <v>335332800</v>
      </c>
      <c r="R57" s="6">
        <f>$C$13+$C$6*$A$18*$C$10+50*'Carbon Tax'!$B$6</f>
        <v>228124447.71138734</v>
      </c>
      <c r="S57" s="3">
        <f t="shared" si="3"/>
        <v>107208352.28861266</v>
      </c>
      <c r="T57" s="7">
        <f t="shared" si="15"/>
        <v>87.634736821715933</v>
      </c>
      <c r="U57" s="7">
        <f t="shared" si="21"/>
        <v>21.908684205428983</v>
      </c>
      <c r="V57" s="7">
        <f t="shared" si="9"/>
        <v>107208330.37992845</v>
      </c>
      <c r="W57" s="7">
        <f t="shared" si="22"/>
        <v>28946249.202580683</v>
      </c>
      <c r="X57" s="11">
        <f t="shared" si="14"/>
        <v>78262103.086031973</v>
      </c>
      <c r="Y57" s="7">
        <f t="shared" si="20"/>
        <v>15210145.928886708</v>
      </c>
    </row>
    <row r="58" spans="2:25">
      <c r="E58">
        <v>55</v>
      </c>
      <c r="F58" s="2">
        <f t="shared" si="25"/>
        <v>142612800</v>
      </c>
      <c r="G58" s="2">
        <f t="shared" si="26"/>
        <v>19600000</v>
      </c>
      <c r="H58" s="2">
        <f t="shared" si="0"/>
        <v>123012800</v>
      </c>
      <c r="I58" s="2">
        <f t="shared" si="24"/>
        <v>622890.34762567852</v>
      </c>
      <c r="J58" s="2">
        <f t="shared" si="6"/>
        <v>186867.10428770355</v>
      </c>
      <c r="K58" s="2">
        <f t="shared" si="7"/>
        <v>122825932.8957123</v>
      </c>
      <c r="L58" s="2">
        <f t="shared" si="23"/>
        <v>33163001.881842323</v>
      </c>
      <c r="M58" s="2">
        <f t="shared" si="12"/>
        <v>89849798.118157685</v>
      </c>
      <c r="N58" s="2">
        <f t="shared" si="19"/>
        <v>16940435.166115489</v>
      </c>
      <c r="P58">
        <v>55</v>
      </c>
      <c r="Q58" s="3">
        <f t="shared" si="18"/>
        <v>335332800</v>
      </c>
      <c r="R58" s="6">
        <f>$C$13+$C$6*$A$18*$C$10+50*'Carbon Tax'!$B$6+$C$12</f>
        <v>594924447.7113874</v>
      </c>
      <c r="S58" s="3">
        <f t="shared" si="3"/>
        <v>-259591647.7113874</v>
      </c>
      <c r="T58" s="7">
        <f t="shared" si="15"/>
        <v>65.72605261628695</v>
      </c>
      <c r="U58" s="15">
        <v>0</v>
      </c>
      <c r="V58" s="15">
        <f>S58-U58+$C$12+$C$14</f>
        <v>107208352.2886126</v>
      </c>
      <c r="W58" s="7">
        <f t="shared" si="22"/>
        <v>28946255.117925406</v>
      </c>
      <c r="X58" s="16">
        <f>IF(W58&lt;0,S58,S58-W58+$C$14)</f>
        <v>-288537902.8293128</v>
      </c>
      <c r="Y58" s="7">
        <f t="shared" si="20"/>
        <v>-54401431.480335191</v>
      </c>
    </row>
    <row r="59" spans="2:25">
      <c r="E59">
        <v>56</v>
      </c>
      <c r="F59" s="2">
        <f t="shared" si="25"/>
        <v>142612800</v>
      </c>
      <c r="G59" s="2">
        <f t="shared" si="26"/>
        <v>19600000</v>
      </c>
      <c r="H59" s="2">
        <f t="shared" si="0"/>
        <v>123012800</v>
      </c>
      <c r="I59" s="2">
        <f t="shared" si="24"/>
        <v>436023.243337975</v>
      </c>
      <c r="J59" s="2">
        <f t="shared" si="6"/>
        <v>130806.9730013925</v>
      </c>
      <c r="K59" s="2">
        <f t="shared" si="7"/>
        <v>122881993.02699861</v>
      </c>
      <c r="L59" s="2">
        <f t="shared" si="23"/>
        <v>33178138.117289625</v>
      </c>
      <c r="M59" s="2">
        <f t="shared" si="12"/>
        <v>89834661.882710367</v>
      </c>
      <c r="N59" s="2">
        <f t="shared" si="19"/>
        <v>16431491.418609437</v>
      </c>
      <c r="P59">
        <v>56</v>
      </c>
      <c r="Q59" s="7">
        <v>0</v>
      </c>
      <c r="R59" s="7">
        <v>0</v>
      </c>
      <c r="S59" s="3">
        <f t="shared" si="3"/>
        <v>0</v>
      </c>
      <c r="T59" s="3">
        <f>$C$12</f>
        <v>366800000</v>
      </c>
      <c r="U59" s="7">
        <f t="shared" ref="U59:U90" si="27">T59*$B$29</f>
        <v>91700000</v>
      </c>
      <c r="V59" s="7">
        <f t="shared" si="9"/>
        <v>-91700000</v>
      </c>
      <c r="W59" s="7">
        <f t="shared" si="22"/>
        <v>-24759000</v>
      </c>
      <c r="X59" s="11">
        <f t="shared" si="14"/>
        <v>0</v>
      </c>
      <c r="Y59" s="7">
        <f t="shared" si="20"/>
        <v>0</v>
      </c>
    </row>
    <row r="60" spans="2:25">
      <c r="B60" s="14"/>
      <c r="C60" s="14"/>
      <c r="E60">
        <v>57</v>
      </c>
      <c r="F60" s="2">
        <f t="shared" si="25"/>
        <v>142612800</v>
      </c>
      <c r="G60" s="2">
        <f t="shared" si="26"/>
        <v>19600000</v>
      </c>
      <c r="H60" s="2">
        <f t="shared" si="0"/>
        <v>123012800</v>
      </c>
      <c r="I60" s="2">
        <f t="shared" si="24"/>
        <v>305216.2703365825</v>
      </c>
      <c r="J60" s="2">
        <f t="shared" si="6"/>
        <v>91564.881100974744</v>
      </c>
      <c r="K60" s="2">
        <f t="shared" si="7"/>
        <v>122921235.11889903</v>
      </c>
      <c r="L60" s="2">
        <f t="shared" si="23"/>
        <v>33188733.482102741</v>
      </c>
      <c r="M60" s="2">
        <f t="shared" si="12"/>
        <v>89824066.517897263</v>
      </c>
      <c r="N60" s="2">
        <f t="shared" si="19"/>
        <v>15938643.228637138</v>
      </c>
      <c r="P60">
        <v>57</v>
      </c>
      <c r="Q60" s="7">
        <v>0</v>
      </c>
      <c r="R60" s="7">
        <v>0</v>
      </c>
      <c r="S60" s="3">
        <f t="shared" si="3"/>
        <v>0</v>
      </c>
      <c r="T60" s="7">
        <f>T59-U59</f>
        <v>275100000</v>
      </c>
      <c r="U60" s="7">
        <f t="shared" si="27"/>
        <v>68775000</v>
      </c>
      <c r="V60" s="7">
        <f t="shared" si="9"/>
        <v>-68775000</v>
      </c>
      <c r="W60" s="7">
        <f t="shared" si="22"/>
        <v>-43328250</v>
      </c>
      <c r="X60" s="11">
        <f t="shared" si="14"/>
        <v>0</v>
      </c>
      <c r="Y60" s="7">
        <f t="shared" si="20"/>
        <v>0</v>
      </c>
    </row>
    <row r="61" spans="2:25">
      <c r="E61">
        <v>58</v>
      </c>
      <c r="F61" s="2">
        <f t="shared" si="25"/>
        <v>142612800</v>
      </c>
      <c r="G61" s="2">
        <f t="shared" si="26"/>
        <v>19600000</v>
      </c>
      <c r="H61" s="2">
        <f t="shared" si="0"/>
        <v>123012800</v>
      </c>
      <c r="I61" s="2">
        <f t="shared" si="24"/>
        <v>213651.38923560776</v>
      </c>
      <c r="J61" s="2">
        <f t="shared" si="6"/>
        <v>64095.416770682321</v>
      </c>
      <c r="K61" s="2">
        <f t="shared" si="7"/>
        <v>122948704.58322932</v>
      </c>
      <c r="L61" s="2">
        <f t="shared" si="23"/>
        <v>33196150.23747192</v>
      </c>
      <c r="M61" s="2">
        <f t="shared" si="12"/>
        <v>89816649.762528077</v>
      </c>
      <c r="N61" s="2">
        <f t="shared" si="19"/>
        <v>15461124.54212728</v>
      </c>
      <c r="P61">
        <v>58</v>
      </c>
      <c r="Q61" s="7">
        <v>0</v>
      </c>
      <c r="R61" s="7">
        <v>0</v>
      </c>
      <c r="S61" s="3">
        <f t="shared" si="3"/>
        <v>0</v>
      </c>
      <c r="T61" s="7">
        <f t="shared" ref="T61:T113" si="28">T60-U60</f>
        <v>206325000</v>
      </c>
      <c r="U61" s="7">
        <f t="shared" si="27"/>
        <v>51581250</v>
      </c>
      <c r="V61" s="7">
        <f t="shared" si="9"/>
        <v>-51581250</v>
      </c>
      <c r="W61" s="7">
        <f t="shared" si="22"/>
        <v>-57255187.5</v>
      </c>
      <c r="X61" s="11">
        <f t="shared" si="14"/>
        <v>0</v>
      </c>
      <c r="Y61" s="7">
        <f t="shared" si="20"/>
        <v>0</v>
      </c>
    </row>
    <row r="62" spans="2:25">
      <c r="E62">
        <v>59</v>
      </c>
      <c r="F62" s="2">
        <f t="shared" si="25"/>
        <v>142612800</v>
      </c>
      <c r="G62" s="2">
        <f t="shared" si="26"/>
        <v>19600000</v>
      </c>
      <c r="H62" s="2">
        <f t="shared" si="0"/>
        <v>123012800</v>
      </c>
      <c r="I62" s="2">
        <f t="shared" si="24"/>
        <v>149555.97246492543</v>
      </c>
      <c r="J62" s="2">
        <f t="shared" si="6"/>
        <v>44866.79173947763</v>
      </c>
      <c r="K62" s="2">
        <f t="shared" si="7"/>
        <v>122967933.20826052</v>
      </c>
      <c r="L62" s="2">
        <f t="shared" si="23"/>
        <v>33201341.966230344</v>
      </c>
      <c r="M62" s="2">
        <f t="shared" si="12"/>
        <v>89811458.033769652</v>
      </c>
      <c r="N62" s="2">
        <f t="shared" si="19"/>
        <v>14998283.695131516</v>
      </c>
      <c r="P62">
        <v>59</v>
      </c>
      <c r="Q62" s="7">
        <v>0</v>
      </c>
      <c r="R62" s="7">
        <v>0</v>
      </c>
      <c r="S62" s="3">
        <f t="shared" si="3"/>
        <v>0</v>
      </c>
      <c r="T62" s="7">
        <f t="shared" si="28"/>
        <v>154743750</v>
      </c>
      <c r="U62" s="7">
        <f t="shared" si="27"/>
        <v>38685937.5</v>
      </c>
      <c r="V62" s="7">
        <f t="shared" si="9"/>
        <v>-38685937.5</v>
      </c>
      <c r="W62" s="7">
        <f t="shared" si="22"/>
        <v>-67700390.625</v>
      </c>
      <c r="X62" s="11">
        <f t="shared" si="14"/>
        <v>0</v>
      </c>
      <c r="Y62" s="7">
        <f t="shared" si="20"/>
        <v>0</v>
      </c>
    </row>
    <row r="63" spans="2:25">
      <c r="E63">
        <v>60</v>
      </c>
      <c r="F63" s="2">
        <f t="shared" si="25"/>
        <v>142612800</v>
      </c>
      <c r="G63" s="2">
        <f t="shared" si="26"/>
        <v>19600000</v>
      </c>
      <c r="H63" s="2">
        <f t="shared" si="0"/>
        <v>123012800</v>
      </c>
      <c r="I63" s="2">
        <f t="shared" si="24"/>
        <v>104689.1807254478</v>
      </c>
      <c r="J63" s="2">
        <f t="shared" si="6"/>
        <v>31406.754217634341</v>
      </c>
      <c r="K63" s="2">
        <f t="shared" si="7"/>
        <v>122981393.24578236</v>
      </c>
      <c r="L63" s="2">
        <f t="shared" si="23"/>
        <v>33204976.17636124</v>
      </c>
      <c r="M63" s="2">
        <f t="shared" si="12"/>
        <v>89807823.823638767</v>
      </c>
      <c r="N63" s="2">
        <f t="shared" si="19"/>
        <v>14549550.631876547</v>
      </c>
      <c r="P63">
        <v>60</v>
      </c>
      <c r="Q63" s="7">
        <v>0</v>
      </c>
      <c r="R63" s="7">
        <v>0</v>
      </c>
      <c r="S63" s="3">
        <f t="shared" si="3"/>
        <v>0</v>
      </c>
      <c r="T63" s="7">
        <f t="shared" si="28"/>
        <v>116057812.5</v>
      </c>
      <c r="U63" s="7">
        <f t="shared" si="27"/>
        <v>29014453.125</v>
      </c>
      <c r="V63" s="7">
        <f t="shared" si="9"/>
        <v>-29014453.125</v>
      </c>
      <c r="W63" s="7">
        <f t="shared" si="22"/>
        <v>-75534292.96875</v>
      </c>
      <c r="X63" s="11">
        <f t="shared" si="14"/>
        <v>0</v>
      </c>
      <c r="Y63" s="7">
        <f t="shared" si="20"/>
        <v>0</v>
      </c>
    </row>
    <row r="64" spans="2:25">
      <c r="E64">
        <v>61</v>
      </c>
      <c r="F64" s="2">
        <f t="shared" si="25"/>
        <v>142612800</v>
      </c>
      <c r="G64" s="2">
        <f t="shared" si="26"/>
        <v>19600000</v>
      </c>
      <c r="H64" s="2">
        <f t="shared" si="0"/>
        <v>123012800</v>
      </c>
      <c r="I64" s="2">
        <f t="shared" si="24"/>
        <v>73282.426507813463</v>
      </c>
      <c r="J64" s="2">
        <f t="shared" si="6"/>
        <v>21984.727952344037</v>
      </c>
      <c r="K64" s="2">
        <f t="shared" si="7"/>
        <v>122990815.27204765</v>
      </c>
      <c r="L64" s="2">
        <f t="shared" si="23"/>
        <v>33207520.123452868</v>
      </c>
      <c r="M64" s="2">
        <f t="shared" si="12"/>
        <v>89805279.876547128</v>
      </c>
      <c r="N64" s="2">
        <f t="shared" si="19"/>
        <v>14114414.525704088</v>
      </c>
      <c r="P64">
        <v>61</v>
      </c>
      <c r="Q64" s="3">
        <f t="shared" ref="Q64:Q113" si="29">$C$11</f>
        <v>335332800</v>
      </c>
      <c r="R64" s="6">
        <f>$C$13+$C$6*$A$18*$C$10+50*'Carbon Tax'!$B$6</f>
        <v>228124447.71138734</v>
      </c>
      <c r="S64" s="3">
        <f t="shared" si="3"/>
        <v>107208352.28861266</v>
      </c>
      <c r="T64" s="7">
        <f t="shared" si="28"/>
        <v>87043359.375</v>
      </c>
      <c r="U64" s="7">
        <f t="shared" si="27"/>
        <v>21760839.84375</v>
      </c>
      <c r="V64" s="7">
        <f t="shared" si="9"/>
        <v>85447512.444862664</v>
      </c>
      <c r="W64" s="7">
        <f t="shared" si="22"/>
        <v>-52463464.60863708</v>
      </c>
      <c r="X64" s="11">
        <f t="shared" si="14"/>
        <v>107208352.28861266</v>
      </c>
      <c r="Y64" s="7">
        <f t="shared" si="20"/>
        <v>16849600.902077552</v>
      </c>
    </row>
    <row r="65" spans="2:25">
      <c r="E65">
        <v>62</v>
      </c>
      <c r="F65" s="2">
        <f t="shared" si="25"/>
        <v>142612800</v>
      </c>
      <c r="G65" s="2">
        <f t="shared" si="26"/>
        <v>19600000</v>
      </c>
      <c r="H65" s="2">
        <f t="shared" si="0"/>
        <v>123012800</v>
      </c>
      <c r="I65" s="2">
        <f t="shared" si="24"/>
        <v>51297.698555469426</v>
      </c>
      <c r="J65" s="2">
        <f t="shared" si="6"/>
        <v>15389.309566640826</v>
      </c>
      <c r="K65" s="2">
        <f t="shared" si="7"/>
        <v>122997410.69043335</v>
      </c>
      <c r="L65" s="2">
        <f t="shared" si="23"/>
        <v>33209300.886417009</v>
      </c>
      <c r="M65" s="2">
        <f t="shared" si="12"/>
        <v>89803499.113582999</v>
      </c>
      <c r="N65" s="2">
        <f t="shared" si="19"/>
        <v>13692408.467954215</v>
      </c>
      <c r="P65">
        <v>62</v>
      </c>
      <c r="Q65" s="3">
        <f t="shared" si="29"/>
        <v>335332800</v>
      </c>
      <c r="R65" s="6">
        <f>$C$13+$C$6*$A$18*$C$10+50*'Carbon Tax'!$B$6</f>
        <v>228124447.71138734</v>
      </c>
      <c r="S65" s="3">
        <f t="shared" si="3"/>
        <v>107208352.28861266</v>
      </c>
      <c r="T65" s="7">
        <f t="shared" si="28"/>
        <v>65282519.53125</v>
      </c>
      <c r="U65" s="7">
        <f t="shared" si="27"/>
        <v>16320629.8828125</v>
      </c>
      <c r="V65" s="7">
        <f t="shared" si="9"/>
        <v>90887722.405800164</v>
      </c>
      <c r="W65" s="7">
        <f t="shared" si="22"/>
        <v>-27923779.559071034</v>
      </c>
      <c r="X65" s="11">
        <f t="shared" si="14"/>
        <v>107208352.28861266</v>
      </c>
      <c r="Y65" s="7">
        <f t="shared" si="20"/>
        <v>16346139.796349974</v>
      </c>
    </row>
    <row r="66" spans="2:25">
      <c r="B66" s="14"/>
      <c r="C66" s="14"/>
      <c r="E66">
        <v>63</v>
      </c>
      <c r="F66" s="2">
        <f t="shared" si="25"/>
        <v>142612800</v>
      </c>
      <c r="G66" s="2">
        <f t="shared" si="26"/>
        <v>19600000</v>
      </c>
      <c r="H66" s="2">
        <f t="shared" si="0"/>
        <v>123012800</v>
      </c>
      <c r="I66" s="2">
        <f t="shared" si="24"/>
        <v>35908.388988828599</v>
      </c>
      <c r="J66" s="2">
        <f t="shared" si="6"/>
        <v>10772.516696648579</v>
      </c>
      <c r="K66" s="2">
        <f t="shared" si="7"/>
        <v>123002027.48330335</v>
      </c>
      <c r="L66" s="2">
        <f t="shared" si="23"/>
        <v>33210547.420491908</v>
      </c>
      <c r="M66" s="2">
        <f t="shared" si="12"/>
        <v>89802252.579508096</v>
      </c>
      <c r="N66" s="2">
        <f t="shared" si="19"/>
        <v>13283098.95997927</v>
      </c>
      <c r="P66">
        <v>63</v>
      </c>
      <c r="Q66" s="3">
        <f t="shared" si="29"/>
        <v>335332800</v>
      </c>
      <c r="R66" s="6">
        <f>$C$13+$C$6*$A$18*$C$10+50*'Carbon Tax'!$B$6</f>
        <v>228124447.71138734</v>
      </c>
      <c r="S66" s="3">
        <f t="shared" si="3"/>
        <v>107208352.28861266</v>
      </c>
      <c r="T66" s="7">
        <f t="shared" si="28"/>
        <v>48961889.6484375</v>
      </c>
      <c r="U66" s="7">
        <f t="shared" si="27"/>
        <v>12240472.412109375</v>
      </c>
      <c r="V66" s="7">
        <f t="shared" si="9"/>
        <v>94967879.876503289</v>
      </c>
      <c r="W66" s="7">
        <f t="shared" si="22"/>
        <v>-2282451.992415145</v>
      </c>
      <c r="X66" s="11">
        <f t="shared" si="14"/>
        <v>107208352.28861266</v>
      </c>
      <c r="Y66" s="7">
        <f t="shared" si="20"/>
        <v>15857721.959982516</v>
      </c>
    </row>
    <row r="67" spans="2:25">
      <c r="E67">
        <v>64</v>
      </c>
      <c r="F67" s="2">
        <f t="shared" si="25"/>
        <v>142612800</v>
      </c>
      <c r="G67" s="2">
        <f t="shared" si="26"/>
        <v>19600000</v>
      </c>
      <c r="H67" s="2">
        <f t="shared" ref="H67:H130" si="30">$F67-$G67</f>
        <v>123012800</v>
      </c>
      <c r="I67" s="2">
        <f t="shared" si="24"/>
        <v>25135.872292180022</v>
      </c>
      <c r="J67" s="2">
        <f t="shared" si="6"/>
        <v>7540.761687654006</v>
      </c>
      <c r="K67" s="2">
        <f t="shared" si="7"/>
        <v>123005259.23831235</v>
      </c>
      <c r="L67" s="2">
        <f t="shared" si="23"/>
        <v>33211419.994344335</v>
      </c>
      <c r="M67" s="2">
        <f t="shared" si="12"/>
        <v>89801380.005655661</v>
      </c>
      <c r="N67" s="2">
        <f t="shared" ref="N67:N98" si="31">M67/((1+$B$16)^E67)</f>
        <v>12886078.670188045</v>
      </c>
      <c r="P67">
        <v>64</v>
      </c>
      <c r="Q67" s="3">
        <f t="shared" si="29"/>
        <v>335332800</v>
      </c>
      <c r="R67" s="6">
        <f>$C$13+$C$6*$A$18*$C$10+50*'Carbon Tax'!$B$6</f>
        <v>228124447.71138734</v>
      </c>
      <c r="S67" s="3">
        <f t="shared" ref="S67:S130" si="32">Q67-R67</f>
        <v>107208352.28861266</v>
      </c>
      <c r="T67" s="7">
        <f t="shared" si="28"/>
        <v>36721417.236328125</v>
      </c>
      <c r="U67" s="7">
        <f t="shared" si="27"/>
        <v>9180354.3090820313</v>
      </c>
      <c r="V67" s="7">
        <f t="shared" si="9"/>
        <v>98027997.979530632</v>
      </c>
      <c r="W67" s="7">
        <f t="shared" si="22"/>
        <v>24185107.462058127</v>
      </c>
      <c r="X67" s="11">
        <f t="shared" si="14"/>
        <v>83023244.826554537</v>
      </c>
      <c r="Y67" s="7">
        <f t="shared" ref="Y67:Y98" si="33">X67/((1+$B$16)^P67)</f>
        <v>11913447.924986076</v>
      </c>
    </row>
    <row r="68" spans="2:25">
      <c r="E68">
        <v>65</v>
      </c>
      <c r="F68" s="2">
        <f t="shared" si="25"/>
        <v>142612800</v>
      </c>
      <c r="G68" s="2">
        <f t="shared" si="26"/>
        <v>19600000</v>
      </c>
      <c r="H68" s="2">
        <f t="shared" si="30"/>
        <v>123012800</v>
      </c>
      <c r="I68" s="2">
        <f t="shared" si="24"/>
        <v>17595.110604526017</v>
      </c>
      <c r="J68" s="2">
        <f t="shared" ref="J68" si="34">I68*0.3</f>
        <v>5278.533181357805</v>
      </c>
      <c r="K68" s="2">
        <f t="shared" ref="K68:K131" si="35">H68-J68</f>
        <v>123007521.46681865</v>
      </c>
      <c r="L68" s="2">
        <f t="shared" si="23"/>
        <v>33212030.796041038</v>
      </c>
      <c r="M68" s="2">
        <f t="shared" si="12"/>
        <v>89800769.203958958</v>
      </c>
      <c r="N68" s="2">
        <f t="shared" si="31"/>
        <v>12500961.411522053</v>
      </c>
      <c r="P68">
        <v>65</v>
      </c>
      <c r="Q68" s="3">
        <f t="shared" si="29"/>
        <v>335332800</v>
      </c>
      <c r="R68" s="6">
        <f>$C$13+$C$6*$A$18*$C$10+50*'Carbon Tax'!$B$6</f>
        <v>228124447.71138734</v>
      </c>
      <c r="S68" s="3">
        <f t="shared" si="32"/>
        <v>107208352.28861266</v>
      </c>
      <c r="T68" s="7">
        <f t="shared" si="28"/>
        <v>27541062.927246094</v>
      </c>
      <c r="U68" s="7">
        <f t="shared" si="27"/>
        <v>6885265.7318115234</v>
      </c>
      <c r="V68" s="7">
        <f t="shared" ref="V68:V131" si="36">S68-U68</f>
        <v>100323086.55680114</v>
      </c>
      <c r="W68" s="7">
        <f t="shared" si="22"/>
        <v>27087233.370336309</v>
      </c>
      <c r="X68" s="11">
        <f t="shared" si="14"/>
        <v>80121118.918276355</v>
      </c>
      <c r="Y68" s="7">
        <f t="shared" si="33"/>
        <v>11153479.248830155</v>
      </c>
    </row>
    <row r="69" spans="2:25">
      <c r="E69">
        <v>66</v>
      </c>
      <c r="F69" s="2">
        <f t="shared" si="25"/>
        <v>142612800</v>
      </c>
      <c r="G69" s="2">
        <f>$B$13+$B$12</f>
        <v>1134800000</v>
      </c>
      <c r="H69" s="2">
        <f t="shared" si="30"/>
        <v>-992187200</v>
      </c>
      <c r="I69" s="2">
        <f t="shared" si="24"/>
        <v>12316.577423168212</v>
      </c>
      <c r="J69" s="13">
        <v>0</v>
      </c>
      <c r="K69" s="13">
        <f>H69-J69+$B$12+$B$14</f>
        <v>123012800</v>
      </c>
      <c r="L69" s="2">
        <f t="shared" si="23"/>
        <v>33213456.000000004</v>
      </c>
      <c r="M69" s="13">
        <f>IF(L69&lt;0,H69,H69-L69+$B$14)</f>
        <v>-1025400656</v>
      </c>
      <c r="N69" s="2">
        <f t="shared" si="31"/>
        <v>-138478560.04965195</v>
      </c>
      <c r="P69">
        <v>66</v>
      </c>
      <c r="Q69" s="3">
        <f t="shared" si="29"/>
        <v>335332800</v>
      </c>
      <c r="R69" s="6">
        <f>$C$13+$C$6*$A$18*$C$10+50*'Carbon Tax'!$B$6</f>
        <v>228124447.71138734</v>
      </c>
      <c r="S69" s="3">
        <f t="shared" si="32"/>
        <v>107208352.28861266</v>
      </c>
      <c r="T69" s="7">
        <f t="shared" si="28"/>
        <v>20655797.19543457</v>
      </c>
      <c r="U69" s="7">
        <f t="shared" si="27"/>
        <v>5163949.2988586426</v>
      </c>
      <c r="V69" s="7">
        <f t="shared" si="36"/>
        <v>102044402.98975402</v>
      </c>
      <c r="W69" s="7">
        <f t="shared" ref="W69:W100" si="37">IF(W68&lt;0,V69*$B$15+W68,V69*$B$15)</f>
        <v>27551988.807233587</v>
      </c>
      <c r="X69" s="11">
        <f t="shared" ref="X69:X132" si="38">IF(W69&lt;0,S69,S69-W69)</f>
        <v>79656363.481379077</v>
      </c>
      <c r="Y69" s="7">
        <f t="shared" si="33"/>
        <v>10757452.171644656</v>
      </c>
    </row>
    <row r="70" spans="2:25">
      <c r="E70">
        <v>67</v>
      </c>
      <c r="F70" s="2">
        <v>0</v>
      </c>
      <c r="G70" s="2">
        <v>0</v>
      </c>
      <c r="H70" s="2">
        <f t="shared" si="30"/>
        <v>0</v>
      </c>
      <c r="I70" s="2">
        <v>1115200000</v>
      </c>
      <c r="J70" s="2">
        <f>I70*0.3</f>
        <v>334560000</v>
      </c>
      <c r="K70" s="2">
        <f t="shared" si="35"/>
        <v>-334560000</v>
      </c>
      <c r="L70" s="2">
        <f>K70*$B$15</f>
        <v>-90331200</v>
      </c>
      <c r="M70" s="2">
        <f t="shared" ref="M70:M133" si="39">IF(L70&lt;0,H70,H70-L70)</f>
        <v>0</v>
      </c>
      <c r="N70" s="2">
        <f t="shared" si="31"/>
        <v>0</v>
      </c>
      <c r="P70">
        <v>67</v>
      </c>
      <c r="Q70" s="3">
        <f t="shared" si="29"/>
        <v>335332800</v>
      </c>
      <c r="R70" s="6">
        <f>$C$13+$C$6*$A$18*$C$10+50*'Carbon Tax'!$B$6</f>
        <v>228124447.71138734</v>
      </c>
      <c r="S70" s="3">
        <f t="shared" si="32"/>
        <v>107208352.28861266</v>
      </c>
      <c r="T70" s="7">
        <f t="shared" si="28"/>
        <v>15491847.896575928</v>
      </c>
      <c r="U70" s="7">
        <f t="shared" si="27"/>
        <v>3872961.9741439819</v>
      </c>
      <c r="V70" s="7">
        <f t="shared" si="36"/>
        <v>103335390.31446868</v>
      </c>
      <c r="W70" s="7">
        <f t="shared" si="37"/>
        <v>27900555.384906545</v>
      </c>
      <c r="X70" s="11">
        <f t="shared" si="38"/>
        <v>79307796.903706118</v>
      </c>
      <c r="Y70" s="7">
        <f t="shared" si="33"/>
        <v>10390355.904843265</v>
      </c>
    </row>
    <row r="71" spans="2:25">
      <c r="E71">
        <v>68</v>
      </c>
      <c r="F71" s="2">
        <v>0</v>
      </c>
      <c r="G71" s="2">
        <v>0</v>
      </c>
      <c r="H71" s="2">
        <f t="shared" si="30"/>
        <v>0</v>
      </c>
      <c r="I71" s="2">
        <f>I70-J70</f>
        <v>780640000</v>
      </c>
      <c r="J71" s="2">
        <f>I71*0.3</f>
        <v>234192000</v>
      </c>
      <c r="K71" s="2">
        <f t="shared" si="35"/>
        <v>-234192000</v>
      </c>
      <c r="L71" s="2">
        <f t="shared" ref="L71:L102" si="40">IF(L70&lt;0,K71*$B$15+L70,K71*$B$15)</f>
        <v>-153563040</v>
      </c>
      <c r="M71" s="2">
        <f t="shared" si="39"/>
        <v>0</v>
      </c>
      <c r="N71" s="2">
        <f t="shared" si="31"/>
        <v>0</v>
      </c>
      <c r="P71">
        <v>68</v>
      </c>
      <c r="Q71" s="3">
        <f t="shared" si="29"/>
        <v>335332800</v>
      </c>
      <c r="R71" s="6">
        <f>$C$13+$C$6*$A$18*$C$10+50*'Carbon Tax'!$B$6</f>
        <v>228124447.71138734</v>
      </c>
      <c r="S71" s="3">
        <f t="shared" si="32"/>
        <v>107208352.28861266</v>
      </c>
      <c r="T71" s="7">
        <f t="shared" si="28"/>
        <v>11618885.922431946</v>
      </c>
      <c r="U71" s="7">
        <f t="shared" si="27"/>
        <v>2904721.4806079865</v>
      </c>
      <c r="V71" s="7">
        <f t="shared" si="36"/>
        <v>104303630.80800468</v>
      </c>
      <c r="W71" s="7">
        <f t="shared" si="37"/>
        <v>28161980.318161264</v>
      </c>
      <c r="X71" s="11">
        <f t="shared" si="38"/>
        <v>79046371.9704514</v>
      </c>
      <c r="Y71" s="7">
        <f t="shared" si="33"/>
        <v>10046668.440527365</v>
      </c>
    </row>
    <row r="72" spans="2:25">
      <c r="E72">
        <v>69</v>
      </c>
      <c r="F72" s="2">
        <v>0</v>
      </c>
      <c r="G72" s="2">
        <v>0</v>
      </c>
      <c r="H72" s="2">
        <f t="shared" si="30"/>
        <v>0</v>
      </c>
      <c r="I72" s="2">
        <f t="shared" ref="I72:I102" si="41">I71-J71</f>
        <v>546448000</v>
      </c>
      <c r="J72" s="2">
        <f t="shared" ref="J72:J101" si="42">I72*0.3</f>
        <v>163934400</v>
      </c>
      <c r="K72" s="2">
        <f t="shared" si="35"/>
        <v>-163934400</v>
      </c>
      <c r="L72" s="2">
        <f t="shared" si="40"/>
        <v>-197825328</v>
      </c>
      <c r="M72" s="2">
        <f t="shared" si="39"/>
        <v>0</v>
      </c>
      <c r="N72" s="2">
        <f t="shared" si="31"/>
        <v>0</v>
      </c>
      <c r="P72">
        <v>69</v>
      </c>
      <c r="Q72" s="3">
        <f t="shared" si="29"/>
        <v>335332800</v>
      </c>
      <c r="R72" s="6">
        <f>$C$13+$C$6*$A$18*$C$10+50*'Carbon Tax'!$B$6</f>
        <v>228124447.71138734</v>
      </c>
      <c r="S72" s="3">
        <f t="shared" si="32"/>
        <v>107208352.28861266</v>
      </c>
      <c r="T72" s="7">
        <f t="shared" si="28"/>
        <v>8714164.4418239594</v>
      </c>
      <c r="U72" s="7">
        <f t="shared" si="27"/>
        <v>2178541.1104559898</v>
      </c>
      <c r="V72" s="7">
        <f t="shared" si="36"/>
        <v>105029811.17815667</v>
      </c>
      <c r="W72" s="7">
        <f t="shared" si="37"/>
        <v>28358049.018102303</v>
      </c>
      <c r="X72" s="11">
        <f t="shared" si="38"/>
        <v>78850303.270510361</v>
      </c>
      <c r="Y72" s="7">
        <f t="shared" si="33"/>
        <v>9722301.5326948836</v>
      </c>
    </row>
    <row r="73" spans="2:25">
      <c r="E73">
        <v>70</v>
      </c>
      <c r="F73" s="2">
        <f t="shared" ref="F73:F102" si="43">$B$11</f>
        <v>142612800</v>
      </c>
      <c r="G73" s="2">
        <f t="shared" ref="G73:G101" si="44">$B$13</f>
        <v>19600000</v>
      </c>
      <c r="H73" s="2">
        <f t="shared" si="30"/>
        <v>123012800</v>
      </c>
      <c r="I73" s="2">
        <f t="shared" si="41"/>
        <v>382513600</v>
      </c>
      <c r="J73" s="2">
        <f t="shared" si="42"/>
        <v>114754080</v>
      </c>
      <c r="K73" s="2">
        <f t="shared" si="35"/>
        <v>8258720</v>
      </c>
      <c r="L73" s="2">
        <f t="shared" si="40"/>
        <v>-195595473.59999999</v>
      </c>
      <c r="M73" s="2">
        <f t="shared" si="39"/>
        <v>123012800</v>
      </c>
      <c r="N73" s="2">
        <f t="shared" si="31"/>
        <v>14714367.968833141</v>
      </c>
      <c r="P73">
        <v>70</v>
      </c>
      <c r="Q73" s="3">
        <f t="shared" si="29"/>
        <v>335332800</v>
      </c>
      <c r="R73" s="6">
        <f>$C$13+$C$6*$A$18*$C$10+50*'Carbon Tax'!$B$6</f>
        <v>228124447.71138734</v>
      </c>
      <c r="S73" s="3">
        <f t="shared" si="32"/>
        <v>107208352.28861266</v>
      </c>
      <c r="T73" s="7">
        <f t="shared" si="28"/>
        <v>6535623.3313679695</v>
      </c>
      <c r="U73" s="7">
        <f t="shared" si="27"/>
        <v>1633905.8328419924</v>
      </c>
      <c r="V73" s="7">
        <f t="shared" si="36"/>
        <v>105574446.45577067</v>
      </c>
      <c r="W73" s="7">
        <f t="shared" si="37"/>
        <v>28505100.543058082</v>
      </c>
      <c r="X73" s="11">
        <f t="shared" si="38"/>
        <v>78703251.745554581</v>
      </c>
      <c r="Y73" s="7">
        <f t="shared" si="33"/>
        <v>9414212.2326115593</v>
      </c>
    </row>
    <row r="74" spans="2:25">
      <c r="E74">
        <v>71</v>
      </c>
      <c r="F74" s="2">
        <f t="shared" si="43"/>
        <v>142612800</v>
      </c>
      <c r="G74" s="2">
        <f t="shared" si="44"/>
        <v>19600000</v>
      </c>
      <c r="H74" s="2">
        <f t="shared" si="30"/>
        <v>123012800</v>
      </c>
      <c r="I74" s="2">
        <f t="shared" si="41"/>
        <v>267759520</v>
      </c>
      <c r="J74" s="2">
        <f t="shared" si="42"/>
        <v>80327856</v>
      </c>
      <c r="K74" s="2">
        <f t="shared" si="35"/>
        <v>42684944</v>
      </c>
      <c r="L74" s="2">
        <f t="shared" si="40"/>
        <v>-184070538.72</v>
      </c>
      <c r="M74" s="2">
        <f t="shared" si="39"/>
        <v>123012800</v>
      </c>
      <c r="N74" s="2">
        <f t="shared" si="31"/>
        <v>14274706.993435336</v>
      </c>
      <c r="P74">
        <v>71</v>
      </c>
      <c r="Q74" s="3">
        <f t="shared" si="29"/>
        <v>335332800</v>
      </c>
      <c r="R74" s="6">
        <f>$C$13+$C$6*$A$18*$C$10+50*'Carbon Tax'!$B$6</f>
        <v>228124447.71138734</v>
      </c>
      <c r="S74" s="3">
        <f t="shared" si="32"/>
        <v>107208352.28861266</v>
      </c>
      <c r="T74" s="7">
        <f t="shared" si="28"/>
        <v>4901717.4985259771</v>
      </c>
      <c r="U74" s="7">
        <f t="shared" si="27"/>
        <v>1225429.3746314943</v>
      </c>
      <c r="V74" s="7">
        <f t="shared" si="36"/>
        <v>105982922.91398117</v>
      </c>
      <c r="W74" s="7">
        <f t="shared" si="37"/>
        <v>28615389.186774917</v>
      </c>
      <c r="X74" s="11">
        <f t="shared" si="38"/>
        <v>78592963.101837754</v>
      </c>
      <c r="Y74" s="7">
        <f t="shared" si="33"/>
        <v>9120120.1828151923</v>
      </c>
    </row>
    <row r="75" spans="2:25">
      <c r="E75">
        <v>72</v>
      </c>
      <c r="F75" s="2">
        <f t="shared" si="43"/>
        <v>142612800</v>
      </c>
      <c r="G75" s="2">
        <f t="shared" si="44"/>
        <v>19600000</v>
      </c>
      <c r="H75" s="2">
        <f t="shared" si="30"/>
        <v>123012800</v>
      </c>
      <c r="I75" s="2">
        <f t="shared" si="41"/>
        <v>187431664</v>
      </c>
      <c r="J75" s="2">
        <f t="shared" si="42"/>
        <v>56229499.199999996</v>
      </c>
      <c r="K75" s="2">
        <f t="shared" si="35"/>
        <v>66783300.800000004</v>
      </c>
      <c r="L75" s="2">
        <f t="shared" si="40"/>
        <v>-166039047.50400001</v>
      </c>
      <c r="M75" s="2">
        <f t="shared" si="39"/>
        <v>123012800</v>
      </c>
      <c r="N75" s="2">
        <f t="shared" si="31"/>
        <v>13848182.958319105</v>
      </c>
      <c r="P75">
        <v>72</v>
      </c>
      <c r="Q75" s="3">
        <f t="shared" si="29"/>
        <v>335332800</v>
      </c>
      <c r="R75" s="6">
        <f>$C$13+$C$6*$A$18*$C$10+50*'Carbon Tax'!$B$6</f>
        <v>228124447.71138734</v>
      </c>
      <c r="S75" s="3">
        <f t="shared" si="32"/>
        <v>107208352.28861266</v>
      </c>
      <c r="T75" s="7">
        <f t="shared" si="28"/>
        <v>3676288.1238944829</v>
      </c>
      <c r="U75" s="7">
        <f t="shared" si="27"/>
        <v>919072.03097362071</v>
      </c>
      <c r="V75" s="7">
        <f t="shared" si="36"/>
        <v>106289280.25763905</v>
      </c>
      <c r="W75" s="7">
        <f t="shared" si="37"/>
        <v>28698105.669562545</v>
      </c>
      <c r="X75" s="11">
        <f t="shared" si="38"/>
        <v>78510246.619050115</v>
      </c>
      <c r="Y75" s="7">
        <f t="shared" si="33"/>
        <v>8838301.8619473744</v>
      </c>
    </row>
    <row r="76" spans="2:25">
      <c r="E76">
        <v>73</v>
      </c>
      <c r="F76" s="2">
        <f t="shared" si="43"/>
        <v>142612800</v>
      </c>
      <c r="G76" s="2">
        <f t="shared" si="44"/>
        <v>19600000</v>
      </c>
      <c r="H76" s="2">
        <f t="shared" si="30"/>
        <v>123012800</v>
      </c>
      <c r="I76" s="2">
        <f t="shared" si="41"/>
        <v>131202164.80000001</v>
      </c>
      <c r="J76" s="2">
        <f t="shared" si="42"/>
        <v>39360649.440000005</v>
      </c>
      <c r="K76" s="2">
        <f t="shared" si="35"/>
        <v>83652150.560000002</v>
      </c>
      <c r="L76" s="2">
        <f t="shared" si="40"/>
        <v>-143452966.85280001</v>
      </c>
      <c r="M76" s="2">
        <f t="shared" si="39"/>
        <v>123012800</v>
      </c>
      <c r="N76" s="2">
        <f t="shared" si="31"/>
        <v>13434403.335583145</v>
      </c>
      <c r="P76">
        <v>73</v>
      </c>
      <c r="Q76" s="3">
        <f t="shared" si="29"/>
        <v>335332800</v>
      </c>
      <c r="R76" s="6">
        <f>$C$13+$C$6*$A$18*$C$10+50*'Carbon Tax'!$B$6</f>
        <v>228124447.71138734</v>
      </c>
      <c r="S76" s="3">
        <f t="shared" si="32"/>
        <v>107208352.28861266</v>
      </c>
      <c r="T76" s="7">
        <f t="shared" si="28"/>
        <v>2757216.0929208621</v>
      </c>
      <c r="U76" s="7">
        <f t="shared" si="27"/>
        <v>689304.02323021553</v>
      </c>
      <c r="V76" s="7">
        <f t="shared" si="36"/>
        <v>106519048.26538245</v>
      </c>
      <c r="W76" s="7">
        <f t="shared" si="37"/>
        <v>28760143.031653263</v>
      </c>
      <c r="X76" s="11">
        <f t="shared" si="38"/>
        <v>78448209.256959409</v>
      </c>
      <c r="Y76" s="7">
        <f t="shared" si="33"/>
        <v>8567440.8200790491</v>
      </c>
    </row>
    <row r="77" spans="2:25">
      <c r="E77">
        <v>74</v>
      </c>
      <c r="F77" s="2">
        <f t="shared" si="43"/>
        <v>142612800</v>
      </c>
      <c r="G77" s="2">
        <f t="shared" si="44"/>
        <v>19600000</v>
      </c>
      <c r="H77" s="2">
        <f t="shared" si="30"/>
        <v>123012800</v>
      </c>
      <c r="I77" s="2">
        <f t="shared" si="41"/>
        <v>91841515.360000014</v>
      </c>
      <c r="J77" s="2">
        <f t="shared" si="42"/>
        <v>27552454.608000003</v>
      </c>
      <c r="K77" s="2">
        <f t="shared" si="35"/>
        <v>95460345.39199999</v>
      </c>
      <c r="L77" s="2">
        <f t="shared" si="40"/>
        <v>-117678673.59696001</v>
      </c>
      <c r="M77" s="2">
        <f t="shared" si="39"/>
        <v>123012800</v>
      </c>
      <c r="N77" s="2">
        <f t="shared" si="31"/>
        <v>13032987.32594407</v>
      </c>
      <c r="P77">
        <v>74</v>
      </c>
      <c r="Q77" s="3">
        <f t="shared" si="29"/>
        <v>335332800</v>
      </c>
      <c r="R77" s="6">
        <f>$C$13+$C$6*$A$18*$C$10+50*'Carbon Tax'!$B$6</f>
        <v>228124447.71138734</v>
      </c>
      <c r="S77" s="3">
        <f t="shared" si="32"/>
        <v>107208352.28861266</v>
      </c>
      <c r="T77" s="7">
        <f t="shared" si="28"/>
        <v>2067912.0696906466</v>
      </c>
      <c r="U77" s="7">
        <f t="shared" si="27"/>
        <v>516978.01742266165</v>
      </c>
      <c r="V77" s="7">
        <f t="shared" si="36"/>
        <v>106691374.27119</v>
      </c>
      <c r="W77" s="7">
        <f t="shared" si="37"/>
        <v>28806671.053221304</v>
      </c>
      <c r="X77" s="11">
        <f t="shared" si="38"/>
        <v>78401681.235391364</v>
      </c>
      <c r="Y77" s="7">
        <f t="shared" si="33"/>
        <v>8306518.6539413994</v>
      </c>
    </row>
    <row r="78" spans="2:25">
      <c r="E78">
        <v>75</v>
      </c>
      <c r="F78" s="2">
        <f t="shared" si="43"/>
        <v>142612800</v>
      </c>
      <c r="G78" s="2">
        <f t="shared" si="44"/>
        <v>19600000</v>
      </c>
      <c r="H78" s="2">
        <f t="shared" si="30"/>
        <v>123012800</v>
      </c>
      <c r="I78" s="2">
        <f t="shared" si="41"/>
        <v>64289060.752000012</v>
      </c>
      <c r="J78" s="2">
        <f t="shared" si="42"/>
        <v>19286718.225600004</v>
      </c>
      <c r="K78" s="2">
        <f t="shared" si="35"/>
        <v>103726081.7744</v>
      </c>
      <c r="L78" s="2">
        <f t="shared" si="40"/>
        <v>-89672631.517872006</v>
      </c>
      <c r="M78" s="2">
        <f t="shared" si="39"/>
        <v>123012800</v>
      </c>
      <c r="N78" s="2">
        <f t="shared" si="31"/>
        <v>12643565.508288777</v>
      </c>
      <c r="P78">
        <v>75</v>
      </c>
      <c r="Q78" s="3">
        <f t="shared" si="29"/>
        <v>335332800</v>
      </c>
      <c r="R78" s="6">
        <f>$C$13+$C$6*$A$18*$C$10+50*'Carbon Tax'!$B$6</f>
        <v>228124447.71138734</v>
      </c>
      <c r="S78" s="3">
        <f t="shared" si="32"/>
        <v>107208352.28861266</v>
      </c>
      <c r="T78" s="7">
        <f t="shared" si="28"/>
        <v>1550934.052267985</v>
      </c>
      <c r="U78" s="7">
        <f t="shared" si="27"/>
        <v>387733.51306699624</v>
      </c>
      <c r="V78" s="7">
        <f t="shared" si="36"/>
        <v>106820618.77554567</v>
      </c>
      <c r="W78" s="7">
        <f t="shared" si="37"/>
        <v>28841567.069397334</v>
      </c>
      <c r="X78" s="11">
        <f t="shared" si="38"/>
        <v>78366785.219215333</v>
      </c>
      <c r="Y78" s="7">
        <f t="shared" si="33"/>
        <v>8054735.6258303663</v>
      </c>
    </row>
    <row r="79" spans="2:25">
      <c r="E79">
        <v>76</v>
      </c>
      <c r="F79" s="2">
        <f t="shared" si="43"/>
        <v>142612800</v>
      </c>
      <c r="G79" s="2">
        <f t="shared" si="44"/>
        <v>19600000</v>
      </c>
      <c r="H79" s="2">
        <f t="shared" si="30"/>
        <v>123012800</v>
      </c>
      <c r="I79" s="2">
        <f t="shared" si="41"/>
        <v>45002342.526400007</v>
      </c>
      <c r="J79" s="2">
        <f t="shared" si="42"/>
        <v>13500702.757920003</v>
      </c>
      <c r="K79" s="2">
        <f t="shared" si="35"/>
        <v>109512097.24208</v>
      </c>
      <c r="L79" s="2">
        <f t="shared" si="40"/>
        <v>-60104365.262510404</v>
      </c>
      <c r="M79" s="2">
        <f t="shared" si="39"/>
        <v>123012800</v>
      </c>
      <c r="N79" s="2">
        <f t="shared" si="31"/>
        <v>12265779.499698075</v>
      </c>
      <c r="P79">
        <v>76</v>
      </c>
      <c r="Q79" s="3">
        <f t="shared" si="29"/>
        <v>335332800</v>
      </c>
      <c r="R79" s="6">
        <f>$C$13+$C$6*$A$18*$C$10+50*'Carbon Tax'!$B$6</f>
        <v>228124447.71138734</v>
      </c>
      <c r="S79" s="3">
        <f t="shared" si="32"/>
        <v>107208352.28861266</v>
      </c>
      <c r="T79" s="7">
        <f t="shared" si="28"/>
        <v>1163200.5392009886</v>
      </c>
      <c r="U79" s="7">
        <f t="shared" si="27"/>
        <v>290800.13480024715</v>
      </c>
      <c r="V79" s="7">
        <f t="shared" si="36"/>
        <v>106917552.15381242</v>
      </c>
      <c r="W79" s="7">
        <f t="shared" si="37"/>
        <v>28867739.081529357</v>
      </c>
      <c r="X79" s="11">
        <f t="shared" si="38"/>
        <v>78340613.207083315</v>
      </c>
      <c r="Y79" s="7">
        <f t="shared" si="33"/>
        <v>7811452.8526236191</v>
      </c>
    </row>
    <row r="80" spans="2:25">
      <c r="E80">
        <v>77</v>
      </c>
      <c r="F80" s="2">
        <f t="shared" si="43"/>
        <v>142612800</v>
      </c>
      <c r="G80" s="2">
        <f t="shared" si="44"/>
        <v>19600000</v>
      </c>
      <c r="H80" s="2">
        <f t="shared" si="30"/>
        <v>123012800</v>
      </c>
      <c r="I80" s="2">
        <f t="shared" si="41"/>
        <v>31501639.768480003</v>
      </c>
      <c r="J80" s="2">
        <f t="shared" si="42"/>
        <v>9450491.9305440001</v>
      </c>
      <c r="K80" s="2">
        <f t="shared" si="35"/>
        <v>113562308.069456</v>
      </c>
      <c r="L80" s="2">
        <f t="shared" si="40"/>
        <v>-29442542.083757281</v>
      </c>
      <c r="M80" s="2">
        <f t="shared" si="39"/>
        <v>123012800</v>
      </c>
      <c r="N80" s="2">
        <f t="shared" si="31"/>
        <v>11899281.62562871</v>
      </c>
      <c r="P80">
        <v>77</v>
      </c>
      <c r="Q80" s="3">
        <f t="shared" si="29"/>
        <v>335332800</v>
      </c>
      <c r="R80" s="6">
        <f>$C$13+$C$6*$A$18*$C$10+50*'Carbon Tax'!$B$6</f>
        <v>228124447.71138734</v>
      </c>
      <c r="S80" s="3">
        <f t="shared" si="32"/>
        <v>107208352.28861266</v>
      </c>
      <c r="T80" s="7">
        <f t="shared" si="28"/>
        <v>872400.40440074145</v>
      </c>
      <c r="U80" s="7">
        <f t="shared" si="27"/>
        <v>218100.10110018536</v>
      </c>
      <c r="V80" s="7">
        <f t="shared" si="36"/>
        <v>106990252.18751247</v>
      </c>
      <c r="W80" s="7">
        <f t="shared" si="37"/>
        <v>28887368.090628371</v>
      </c>
      <c r="X80" s="11">
        <f t="shared" si="38"/>
        <v>78320984.197984293</v>
      </c>
      <c r="Y80" s="7">
        <f t="shared" si="33"/>
        <v>7576150.1906161886</v>
      </c>
    </row>
    <row r="81" spans="5:25">
      <c r="E81">
        <v>78</v>
      </c>
      <c r="F81" s="2">
        <f t="shared" si="43"/>
        <v>142612800</v>
      </c>
      <c r="G81" s="2">
        <f t="shared" si="44"/>
        <v>19600000</v>
      </c>
      <c r="H81" s="2">
        <f t="shared" si="30"/>
        <v>123012800</v>
      </c>
      <c r="I81" s="2">
        <f t="shared" si="41"/>
        <v>22051147.837936003</v>
      </c>
      <c r="J81" s="2">
        <f t="shared" si="42"/>
        <v>6615344.3513808008</v>
      </c>
      <c r="K81" s="2">
        <f t="shared" si="35"/>
        <v>116397455.6486192</v>
      </c>
      <c r="L81" s="2">
        <f t="shared" si="40"/>
        <v>1984770.9413699061</v>
      </c>
      <c r="M81" s="2">
        <f t="shared" si="39"/>
        <v>121028029.05863009</v>
      </c>
      <c r="N81" s="2">
        <f t="shared" si="31"/>
        <v>11357480.250899838</v>
      </c>
      <c r="P81">
        <v>78</v>
      </c>
      <c r="Q81" s="3">
        <f t="shared" si="29"/>
        <v>335332800</v>
      </c>
      <c r="R81" s="6">
        <f>$C$13+$C$6*$A$18*$C$10+50*'Carbon Tax'!$B$6</f>
        <v>228124447.71138734</v>
      </c>
      <c r="S81" s="3">
        <f t="shared" si="32"/>
        <v>107208352.28861266</v>
      </c>
      <c r="T81" s="7">
        <f t="shared" si="28"/>
        <v>654300.30330055603</v>
      </c>
      <c r="U81" s="7">
        <f t="shared" si="27"/>
        <v>163575.07582513901</v>
      </c>
      <c r="V81" s="7">
        <f t="shared" si="36"/>
        <v>107044777.21278752</v>
      </c>
      <c r="W81" s="7">
        <f t="shared" si="37"/>
        <v>28902089.847452633</v>
      </c>
      <c r="X81" s="11">
        <f t="shared" si="38"/>
        <v>78306262.441160023</v>
      </c>
      <c r="Y81" s="7">
        <f t="shared" si="33"/>
        <v>7348395.5420476822</v>
      </c>
    </row>
    <row r="82" spans="5:25">
      <c r="E82">
        <v>79</v>
      </c>
      <c r="F82" s="2">
        <f t="shared" si="43"/>
        <v>142612800</v>
      </c>
      <c r="G82" s="2">
        <f t="shared" si="44"/>
        <v>19600000</v>
      </c>
      <c r="H82" s="2">
        <f t="shared" si="30"/>
        <v>123012800</v>
      </c>
      <c r="I82" s="2">
        <f t="shared" si="41"/>
        <v>15435803.486555202</v>
      </c>
      <c r="J82" s="2">
        <f t="shared" si="42"/>
        <v>4630741.04596656</v>
      </c>
      <c r="K82" s="2">
        <f t="shared" si="35"/>
        <v>118382058.95403343</v>
      </c>
      <c r="L82" s="2">
        <f t="shared" si="40"/>
        <v>31963155.917589031</v>
      </c>
      <c r="M82" s="2">
        <f t="shared" si="39"/>
        <v>91049644.082410961</v>
      </c>
      <c r="N82" s="2">
        <f t="shared" si="31"/>
        <v>8288956.7201965367</v>
      </c>
      <c r="P82">
        <v>79</v>
      </c>
      <c r="Q82" s="3">
        <f t="shared" si="29"/>
        <v>335332800</v>
      </c>
      <c r="R82" s="6">
        <f>$C$13+$C$6*$A$18*$C$10+50*'Carbon Tax'!$B$6</f>
        <v>228124447.71138734</v>
      </c>
      <c r="S82" s="3">
        <f t="shared" si="32"/>
        <v>107208352.28861266</v>
      </c>
      <c r="T82" s="7">
        <f t="shared" si="28"/>
        <v>490725.22747541702</v>
      </c>
      <c r="U82" s="7">
        <f t="shared" si="27"/>
        <v>122681.30686885426</v>
      </c>
      <c r="V82" s="7">
        <f t="shared" si="36"/>
        <v>107085670.98174381</v>
      </c>
      <c r="W82" s="7">
        <f t="shared" si="37"/>
        <v>28913131.165070832</v>
      </c>
      <c r="X82" s="11">
        <f t="shared" si="38"/>
        <v>78295221.123541832</v>
      </c>
      <c r="Y82" s="7">
        <f t="shared" si="33"/>
        <v>7127822.4734612377</v>
      </c>
    </row>
    <row r="83" spans="5:25">
      <c r="E83">
        <v>80</v>
      </c>
      <c r="F83" s="2">
        <f t="shared" si="43"/>
        <v>142612800</v>
      </c>
      <c r="G83" s="2">
        <f t="shared" si="44"/>
        <v>19600000</v>
      </c>
      <c r="H83" s="2">
        <f t="shared" si="30"/>
        <v>123012800</v>
      </c>
      <c r="I83" s="2">
        <f t="shared" si="41"/>
        <v>10805062.440588642</v>
      </c>
      <c r="J83" s="2">
        <f t="shared" si="42"/>
        <v>3241518.7321765926</v>
      </c>
      <c r="K83" s="2">
        <f t="shared" si="35"/>
        <v>119771281.26782341</v>
      </c>
      <c r="L83" s="2">
        <f t="shared" si="40"/>
        <v>32338245.942312323</v>
      </c>
      <c r="M83" s="2">
        <f t="shared" si="39"/>
        <v>90674554.05768767</v>
      </c>
      <c r="N83" s="2">
        <f t="shared" si="31"/>
        <v>8008158.0909219496</v>
      </c>
      <c r="P83">
        <v>80</v>
      </c>
      <c r="Q83" s="3">
        <f t="shared" si="29"/>
        <v>335332800</v>
      </c>
      <c r="R83" s="6">
        <f>$C$13+$C$6*$A$18*$C$10+50*'Carbon Tax'!$B$6</f>
        <v>228124447.71138734</v>
      </c>
      <c r="S83" s="3">
        <f t="shared" si="32"/>
        <v>107208352.28861266</v>
      </c>
      <c r="T83" s="7">
        <f t="shared" si="28"/>
        <v>368043.92060656275</v>
      </c>
      <c r="U83" s="7">
        <f t="shared" si="27"/>
        <v>92010.980151640688</v>
      </c>
      <c r="V83" s="7">
        <f t="shared" si="36"/>
        <v>107116341.30846103</v>
      </c>
      <c r="W83" s="7">
        <f t="shared" si="37"/>
        <v>28921412.153284479</v>
      </c>
      <c r="X83" s="11">
        <f t="shared" si="38"/>
        <v>78286940.135328189</v>
      </c>
      <c r="Y83" s="7">
        <f t="shared" si="33"/>
        <v>6914113.8831451172</v>
      </c>
    </row>
    <row r="84" spans="5:25">
      <c r="E84">
        <v>81</v>
      </c>
      <c r="F84" s="2">
        <f t="shared" si="43"/>
        <v>142612800</v>
      </c>
      <c r="G84" s="2">
        <f t="shared" si="44"/>
        <v>19600000</v>
      </c>
      <c r="H84" s="2">
        <f t="shared" si="30"/>
        <v>123012800</v>
      </c>
      <c r="I84" s="2">
        <f t="shared" si="41"/>
        <v>7563543.7084120493</v>
      </c>
      <c r="J84" s="2">
        <f t="shared" si="42"/>
        <v>2269063.1125236149</v>
      </c>
      <c r="K84" s="2">
        <f t="shared" si="35"/>
        <v>120743736.88747638</v>
      </c>
      <c r="L84" s="2">
        <f t="shared" si="40"/>
        <v>32600808.959618624</v>
      </c>
      <c r="M84" s="2">
        <f t="shared" si="39"/>
        <v>90411991.040381372</v>
      </c>
      <c r="N84" s="2">
        <f t="shared" si="31"/>
        <v>7746380.6344624516</v>
      </c>
      <c r="P84">
        <v>81</v>
      </c>
      <c r="Q84" s="3">
        <f t="shared" si="29"/>
        <v>335332800</v>
      </c>
      <c r="R84" s="6">
        <f>$C$13+$C$6*$A$18*$C$10+50*'Carbon Tax'!$B$6</f>
        <v>228124447.71138734</v>
      </c>
      <c r="S84" s="3">
        <f t="shared" si="32"/>
        <v>107208352.28861266</v>
      </c>
      <c r="T84" s="7">
        <f t="shared" si="28"/>
        <v>276032.94045492203</v>
      </c>
      <c r="U84" s="7">
        <f t="shared" si="27"/>
        <v>69008.235113730509</v>
      </c>
      <c r="V84" s="7">
        <f t="shared" si="36"/>
        <v>107139344.05349894</v>
      </c>
      <c r="W84" s="7">
        <f t="shared" si="37"/>
        <v>28927622.894444715</v>
      </c>
      <c r="X84" s="11">
        <f t="shared" si="38"/>
        <v>78280729.394167945</v>
      </c>
      <c r="Y84" s="7">
        <f t="shared" si="33"/>
        <v>6706990.0712588076</v>
      </c>
    </row>
    <row r="85" spans="5:25">
      <c r="E85">
        <v>82</v>
      </c>
      <c r="F85" s="2">
        <f t="shared" si="43"/>
        <v>142612800</v>
      </c>
      <c r="G85" s="2">
        <f t="shared" si="44"/>
        <v>19600000</v>
      </c>
      <c r="H85" s="2">
        <f t="shared" si="30"/>
        <v>123012800</v>
      </c>
      <c r="I85" s="2">
        <f t="shared" si="41"/>
        <v>5294480.595888434</v>
      </c>
      <c r="J85" s="2">
        <f t="shared" si="42"/>
        <v>1588344.1787665302</v>
      </c>
      <c r="K85" s="2">
        <f t="shared" si="35"/>
        <v>121424455.82123347</v>
      </c>
      <c r="L85" s="2">
        <f t="shared" si="40"/>
        <v>32784603.071733039</v>
      </c>
      <c r="M85" s="2">
        <f t="shared" si="39"/>
        <v>90228196.928266957</v>
      </c>
      <c r="N85" s="2">
        <f t="shared" si="31"/>
        <v>7499644.3503624042</v>
      </c>
      <c r="P85">
        <v>82</v>
      </c>
      <c r="Q85" s="3">
        <f t="shared" si="29"/>
        <v>335332800</v>
      </c>
      <c r="R85" s="6">
        <f>$C$13+$C$6*$A$18*$C$10+50*'Carbon Tax'!$B$6</f>
        <v>228124447.71138734</v>
      </c>
      <c r="S85" s="3">
        <f t="shared" si="32"/>
        <v>107208352.28861266</v>
      </c>
      <c r="T85" s="7">
        <f t="shared" si="28"/>
        <v>207024.70534119153</v>
      </c>
      <c r="U85" s="7">
        <f t="shared" si="27"/>
        <v>51756.176335297881</v>
      </c>
      <c r="V85" s="7">
        <f t="shared" si="36"/>
        <v>107156596.11227736</v>
      </c>
      <c r="W85" s="7">
        <f t="shared" si="37"/>
        <v>28932280.950314891</v>
      </c>
      <c r="X85" s="11">
        <f t="shared" si="38"/>
        <v>78276071.338297769</v>
      </c>
      <c r="Y85" s="7">
        <f t="shared" si="33"/>
        <v>6506200.0146976104</v>
      </c>
    </row>
    <row r="86" spans="5:25">
      <c r="E86">
        <v>83</v>
      </c>
      <c r="F86" s="2">
        <f t="shared" si="43"/>
        <v>142612800</v>
      </c>
      <c r="G86" s="2">
        <f t="shared" si="44"/>
        <v>19600000</v>
      </c>
      <c r="H86" s="2">
        <f t="shared" si="30"/>
        <v>123012800</v>
      </c>
      <c r="I86" s="2">
        <f t="shared" si="41"/>
        <v>3706136.417121904</v>
      </c>
      <c r="J86" s="2">
        <f t="shared" si="42"/>
        <v>1111840.9251365711</v>
      </c>
      <c r="K86" s="2">
        <f t="shared" si="35"/>
        <v>121900959.07486343</v>
      </c>
      <c r="L86" s="2">
        <f t="shared" si="40"/>
        <v>32913258.950213131</v>
      </c>
      <c r="M86" s="2">
        <f t="shared" si="39"/>
        <v>90099541.049786866</v>
      </c>
      <c r="N86" s="2">
        <f t="shared" si="31"/>
        <v>7265183.0128711527</v>
      </c>
      <c r="P86">
        <v>83</v>
      </c>
      <c r="Q86" s="3">
        <f t="shared" si="29"/>
        <v>335332800</v>
      </c>
      <c r="R86" s="6">
        <f>$C$13+$C$6*$A$18*$C$10+50*'Carbon Tax'!$B$6</f>
        <v>228124447.71138734</v>
      </c>
      <c r="S86" s="3">
        <f t="shared" si="32"/>
        <v>107208352.28861266</v>
      </c>
      <c r="T86" s="7">
        <f t="shared" si="28"/>
        <v>155268.52900589365</v>
      </c>
      <c r="U86" s="7">
        <f t="shared" si="27"/>
        <v>38817.132251473413</v>
      </c>
      <c r="V86" s="7">
        <f t="shared" si="36"/>
        <v>107169535.15636119</v>
      </c>
      <c r="W86" s="7">
        <f t="shared" si="37"/>
        <v>28935774.492217522</v>
      </c>
      <c r="X86" s="11">
        <f t="shared" si="38"/>
        <v>78272577.796395138</v>
      </c>
      <c r="Y86" s="7">
        <f t="shared" si="33"/>
        <v>6311514.9750404963</v>
      </c>
    </row>
    <row r="87" spans="5:25">
      <c r="E87">
        <v>84</v>
      </c>
      <c r="F87" s="2">
        <f t="shared" si="43"/>
        <v>142612800</v>
      </c>
      <c r="G87" s="2">
        <f t="shared" si="44"/>
        <v>19600000</v>
      </c>
      <c r="H87" s="2">
        <f t="shared" si="30"/>
        <v>123012800</v>
      </c>
      <c r="I87" s="2">
        <f t="shared" si="41"/>
        <v>2594295.4919853332</v>
      </c>
      <c r="J87" s="2">
        <f t="shared" si="42"/>
        <v>778288.64759559988</v>
      </c>
      <c r="K87" s="2">
        <f t="shared" si="35"/>
        <v>122234511.3524044</v>
      </c>
      <c r="L87" s="2">
        <f t="shared" si="40"/>
        <v>33003318.065149192</v>
      </c>
      <c r="M87" s="2">
        <f t="shared" si="39"/>
        <v>90009481.934850812</v>
      </c>
      <c r="N87" s="2">
        <f t="shared" si="31"/>
        <v>7041056.5479442067</v>
      </c>
      <c r="P87">
        <v>84</v>
      </c>
      <c r="Q87" s="3">
        <f t="shared" si="29"/>
        <v>335332800</v>
      </c>
      <c r="R87" s="6">
        <f>$C$13+$C$6*$A$18*$C$10+50*'Carbon Tax'!$B$6</f>
        <v>228124447.71138734</v>
      </c>
      <c r="S87" s="3">
        <f t="shared" si="32"/>
        <v>107208352.28861266</v>
      </c>
      <c r="T87" s="7">
        <f t="shared" si="28"/>
        <v>116451.39675442025</v>
      </c>
      <c r="U87" s="7">
        <f t="shared" si="27"/>
        <v>29112.849188605061</v>
      </c>
      <c r="V87" s="7">
        <f t="shared" si="36"/>
        <v>107179239.43942405</v>
      </c>
      <c r="W87" s="7">
        <f t="shared" si="37"/>
        <v>28938394.648644496</v>
      </c>
      <c r="X87" s="11">
        <f t="shared" si="38"/>
        <v>78269957.639968172</v>
      </c>
      <c r="Y87" s="7">
        <f t="shared" si="33"/>
        <v>6122723.8053331319</v>
      </c>
    </row>
    <row r="88" spans="5:25">
      <c r="E88">
        <v>85</v>
      </c>
      <c r="F88" s="2">
        <f t="shared" si="43"/>
        <v>142612800</v>
      </c>
      <c r="G88" s="2">
        <f t="shared" si="44"/>
        <v>19600000</v>
      </c>
      <c r="H88" s="2">
        <f t="shared" si="30"/>
        <v>123012800</v>
      </c>
      <c r="I88" s="2">
        <f t="shared" si="41"/>
        <v>1816006.8443897334</v>
      </c>
      <c r="J88" s="2">
        <f t="shared" si="42"/>
        <v>544802.05331691995</v>
      </c>
      <c r="K88" s="2">
        <f t="shared" si="35"/>
        <v>122467997.94668308</v>
      </c>
      <c r="L88" s="2">
        <f t="shared" si="40"/>
        <v>33066359.445604432</v>
      </c>
      <c r="M88" s="2">
        <f t="shared" si="39"/>
        <v>89946440.554395571</v>
      </c>
      <c r="N88" s="2">
        <f t="shared" si="31"/>
        <v>6825887.7479206063</v>
      </c>
      <c r="P88">
        <v>85</v>
      </c>
      <c r="Q88" s="3">
        <f t="shared" si="29"/>
        <v>335332800</v>
      </c>
      <c r="R88" s="6">
        <f>$C$13+$C$6*$A$18*$C$10+50*'Carbon Tax'!$B$6</f>
        <v>228124447.71138734</v>
      </c>
      <c r="S88" s="3">
        <f t="shared" si="32"/>
        <v>107208352.28861266</v>
      </c>
      <c r="T88" s="7">
        <f t="shared" si="28"/>
        <v>87338.547565815184</v>
      </c>
      <c r="U88" s="7">
        <f t="shared" si="27"/>
        <v>21834.636891453796</v>
      </c>
      <c r="V88" s="7">
        <f t="shared" si="36"/>
        <v>107186517.65172121</v>
      </c>
      <c r="W88" s="7">
        <f t="shared" si="37"/>
        <v>28940359.765964728</v>
      </c>
      <c r="X88" s="11">
        <f t="shared" si="38"/>
        <v>78267992.522647932</v>
      </c>
      <c r="Y88" s="7">
        <f t="shared" si="33"/>
        <v>5939629.4941943213</v>
      </c>
    </row>
    <row r="89" spans="5:25">
      <c r="E89">
        <v>86</v>
      </c>
      <c r="F89" s="2">
        <f t="shared" si="43"/>
        <v>142612800</v>
      </c>
      <c r="G89" s="2">
        <f t="shared" si="44"/>
        <v>19600000</v>
      </c>
      <c r="H89" s="2">
        <f t="shared" si="30"/>
        <v>123012800</v>
      </c>
      <c r="I89" s="2">
        <f t="shared" si="41"/>
        <v>1271204.7910728133</v>
      </c>
      <c r="J89" s="2">
        <f t="shared" si="42"/>
        <v>381361.43732184399</v>
      </c>
      <c r="K89" s="2">
        <f t="shared" si="35"/>
        <v>122631438.56267816</v>
      </c>
      <c r="L89" s="2">
        <f t="shared" si="40"/>
        <v>33110488.411923107</v>
      </c>
      <c r="M89" s="2">
        <f t="shared" si="39"/>
        <v>89902311.58807689</v>
      </c>
      <c r="N89" s="2">
        <f t="shared" si="31"/>
        <v>6618683.4236456286</v>
      </c>
      <c r="P89">
        <v>86</v>
      </c>
      <c r="Q89" s="3">
        <f t="shared" si="29"/>
        <v>335332800</v>
      </c>
      <c r="R89" s="6">
        <f>$C$13+$C$6*$A$18*$C$10+50*'Carbon Tax'!$B$6</f>
        <v>228124447.71138734</v>
      </c>
      <c r="S89" s="3">
        <f t="shared" si="32"/>
        <v>107208352.28861266</v>
      </c>
      <c r="T89" s="7">
        <f t="shared" si="28"/>
        <v>65503.910674361388</v>
      </c>
      <c r="U89" s="7">
        <f t="shared" si="27"/>
        <v>16375.977668590347</v>
      </c>
      <c r="V89" s="7">
        <f t="shared" si="36"/>
        <v>107191976.31094408</v>
      </c>
      <c r="W89" s="7">
        <f t="shared" si="37"/>
        <v>28941833.603954904</v>
      </c>
      <c r="X89" s="11">
        <f t="shared" si="38"/>
        <v>78266518.684657753</v>
      </c>
      <c r="Y89" s="7">
        <f t="shared" si="33"/>
        <v>5762046.6114165708</v>
      </c>
    </row>
    <row r="90" spans="5:25">
      <c r="E90">
        <v>87</v>
      </c>
      <c r="F90" s="2">
        <f t="shared" si="43"/>
        <v>142612800</v>
      </c>
      <c r="G90" s="2">
        <f t="shared" si="44"/>
        <v>19600000</v>
      </c>
      <c r="H90" s="2">
        <f t="shared" si="30"/>
        <v>123012800</v>
      </c>
      <c r="I90" s="2">
        <f t="shared" si="41"/>
        <v>889843.35375096928</v>
      </c>
      <c r="J90" s="2">
        <f t="shared" si="42"/>
        <v>266953.00612529076</v>
      </c>
      <c r="K90" s="2">
        <f t="shared" si="35"/>
        <v>122745846.99387471</v>
      </c>
      <c r="L90" s="2">
        <f t="shared" si="40"/>
        <v>33141378.688346174</v>
      </c>
      <c r="M90" s="2">
        <f t="shared" si="39"/>
        <v>89871421.311653823</v>
      </c>
      <c r="N90" s="2">
        <f t="shared" si="31"/>
        <v>6418712.8983716294</v>
      </c>
      <c r="P90">
        <v>87</v>
      </c>
      <c r="Q90" s="3">
        <f t="shared" si="29"/>
        <v>335332800</v>
      </c>
      <c r="R90" s="6">
        <f>$C$13+$C$6*$A$18*$C$10+50*'Carbon Tax'!$B$6</f>
        <v>228124447.71138734</v>
      </c>
      <c r="S90" s="3">
        <f t="shared" si="32"/>
        <v>107208352.28861266</v>
      </c>
      <c r="T90" s="7">
        <f t="shared" si="28"/>
        <v>49127.933005771039</v>
      </c>
      <c r="U90" s="7">
        <f t="shared" si="27"/>
        <v>12281.98325144276</v>
      </c>
      <c r="V90" s="7">
        <f t="shared" si="36"/>
        <v>107196070.30536123</v>
      </c>
      <c r="W90" s="7">
        <f t="shared" si="37"/>
        <v>28942938.982447535</v>
      </c>
      <c r="X90" s="11">
        <f t="shared" si="38"/>
        <v>78265413.306165129</v>
      </c>
      <c r="Y90" s="7">
        <f t="shared" si="33"/>
        <v>5589799.4106779099</v>
      </c>
    </row>
    <row r="91" spans="5:25">
      <c r="E91">
        <v>88</v>
      </c>
      <c r="F91" s="2">
        <f t="shared" si="43"/>
        <v>142612800</v>
      </c>
      <c r="G91" s="2">
        <f t="shared" si="44"/>
        <v>19600000</v>
      </c>
      <c r="H91" s="2">
        <f t="shared" si="30"/>
        <v>123012800</v>
      </c>
      <c r="I91" s="2">
        <f t="shared" si="41"/>
        <v>622890.34762567852</v>
      </c>
      <c r="J91" s="2">
        <f t="shared" si="42"/>
        <v>186867.10428770355</v>
      </c>
      <c r="K91" s="2">
        <f t="shared" si="35"/>
        <v>122825932.8957123</v>
      </c>
      <c r="L91" s="2">
        <f t="shared" si="40"/>
        <v>33163001.881842323</v>
      </c>
      <c r="M91" s="2">
        <f t="shared" si="39"/>
        <v>89849798.118157685</v>
      </c>
      <c r="N91" s="2">
        <f t="shared" si="31"/>
        <v>6225425.443148246</v>
      </c>
      <c r="P91">
        <v>88</v>
      </c>
      <c r="Q91" s="3">
        <f t="shared" si="29"/>
        <v>335332800</v>
      </c>
      <c r="R91" s="6">
        <f>$C$13+$C$6*$A$18*$C$10+50*'Carbon Tax'!$B$6</f>
        <v>228124447.71138734</v>
      </c>
      <c r="S91" s="3">
        <f t="shared" si="32"/>
        <v>107208352.28861266</v>
      </c>
      <c r="T91" s="7">
        <f t="shared" si="28"/>
        <v>36845.949754328278</v>
      </c>
      <c r="U91" s="7">
        <f t="shared" ref="U91:U112" si="45">T91*$B$29</f>
        <v>9211.4874385820694</v>
      </c>
      <c r="V91" s="7">
        <f t="shared" si="36"/>
        <v>107199140.80117407</v>
      </c>
      <c r="W91" s="7">
        <f t="shared" si="37"/>
        <v>28943768.016317002</v>
      </c>
      <c r="X91" s="11">
        <f t="shared" si="38"/>
        <v>78264584.272295654</v>
      </c>
      <c r="Y91" s="7">
        <f t="shared" si="33"/>
        <v>5422720.4115187144</v>
      </c>
    </row>
    <row r="92" spans="5:25">
      <c r="E92">
        <v>89</v>
      </c>
      <c r="F92" s="2">
        <f t="shared" si="43"/>
        <v>142612800</v>
      </c>
      <c r="G92" s="2">
        <f t="shared" si="44"/>
        <v>19600000</v>
      </c>
      <c r="H92" s="2">
        <f t="shared" si="30"/>
        <v>123012800</v>
      </c>
      <c r="I92" s="2">
        <f t="shared" si="41"/>
        <v>436023.243337975</v>
      </c>
      <c r="J92" s="2">
        <f t="shared" si="42"/>
        <v>130806.9730013925</v>
      </c>
      <c r="K92" s="2">
        <f t="shared" si="35"/>
        <v>122881993.02699861</v>
      </c>
      <c r="L92" s="2">
        <f t="shared" si="40"/>
        <v>33178138.117289625</v>
      </c>
      <c r="M92" s="2">
        <f t="shared" si="39"/>
        <v>89834661.882710367</v>
      </c>
      <c r="N92" s="2">
        <f t="shared" si="31"/>
        <v>6038394.1583089503</v>
      </c>
      <c r="P92">
        <v>89</v>
      </c>
      <c r="Q92" s="3">
        <f t="shared" si="29"/>
        <v>335332800</v>
      </c>
      <c r="R92" s="6">
        <f>$C$13+$C$6*$A$18*$C$10+50*'Carbon Tax'!$B$6</f>
        <v>228124447.71138734</v>
      </c>
      <c r="S92" s="3">
        <f t="shared" si="32"/>
        <v>107208352.28861266</v>
      </c>
      <c r="T92" s="7">
        <f t="shared" si="28"/>
        <v>27634.462315746208</v>
      </c>
      <c r="U92" s="7">
        <f t="shared" si="45"/>
        <v>6908.6155789365521</v>
      </c>
      <c r="V92" s="7">
        <f t="shared" si="36"/>
        <v>107201443.67303373</v>
      </c>
      <c r="W92" s="7">
        <f t="shared" si="37"/>
        <v>28944389.791719109</v>
      </c>
      <c r="X92" s="11">
        <f t="shared" si="38"/>
        <v>78263962.496893555</v>
      </c>
      <c r="Y92" s="7">
        <f t="shared" si="33"/>
        <v>5260649.3311498454</v>
      </c>
    </row>
    <row r="93" spans="5:25">
      <c r="E93">
        <v>90</v>
      </c>
      <c r="F93" s="2">
        <f t="shared" si="43"/>
        <v>142612800</v>
      </c>
      <c r="G93" s="2">
        <f t="shared" si="44"/>
        <v>19600000</v>
      </c>
      <c r="H93" s="2">
        <f t="shared" si="30"/>
        <v>123012800</v>
      </c>
      <c r="I93" s="2">
        <f t="shared" si="41"/>
        <v>305216.2703365825</v>
      </c>
      <c r="J93" s="2">
        <f t="shared" si="42"/>
        <v>91564.881100974744</v>
      </c>
      <c r="K93" s="2">
        <f t="shared" si="35"/>
        <v>122921235.11889903</v>
      </c>
      <c r="L93" s="2">
        <f t="shared" si="40"/>
        <v>33188733.482102741</v>
      </c>
      <c r="M93" s="2">
        <f t="shared" si="39"/>
        <v>89824066.517897263</v>
      </c>
      <c r="N93" s="2">
        <f t="shared" si="31"/>
        <v>5857277.8155835774</v>
      </c>
      <c r="P93">
        <v>90</v>
      </c>
      <c r="Q93" s="3">
        <f t="shared" si="29"/>
        <v>335332800</v>
      </c>
      <c r="R93" s="6">
        <f>$C$13+$C$6*$A$18*$C$10+50*'Carbon Tax'!$B$6</f>
        <v>228124447.71138734</v>
      </c>
      <c r="S93" s="3">
        <f t="shared" si="32"/>
        <v>107208352.28861266</v>
      </c>
      <c r="T93" s="7">
        <f t="shared" si="28"/>
        <v>20725.846736809657</v>
      </c>
      <c r="U93" s="7">
        <f t="shared" si="45"/>
        <v>5181.4616842024143</v>
      </c>
      <c r="V93" s="7">
        <f t="shared" si="36"/>
        <v>107203170.82692847</v>
      </c>
      <c r="W93" s="7">
        <f t="shared" si="37"/>
        <v>28944856.123270687</v>
      </c>
      <c r="X93" s="11">
        <f t="shared" si="38"/>
        <v>78263496.165341973</v>
      </c>
      <c r="Y93" s="7">
        <f t="shared" si="33"/>
        <v>5103432.2718837326</v>
      </c>
    </row>
    <row r="94" spans="5:25">
      <c r="E94">
        <v>91</v>
      </c>
      <c r="F94" s="2">
        <f t="shared" si="43"/>
        <v>142612800</v>
      </c>
      <c r="G94" s="2">
        <f t="shared" si="44"/>
        <v>19600000</v>
      </c>
      <c r="H94" s="2">
        <f t="shared" si="30"/>
        <v>123012800</v>
      </c>
      <c r="I94" s="2">
        <f t="shared" si="41"/>
        <v>213651.38923560776</v>
      </c>
      <c r="J94" s="2">
        <f t="shared" si="42"/>
        <v>64095.416770682321</v>
      </c>
      <c r="K94" s="2">
        <f t="shared" si="35"/>
        <v>122948704.58322932</v>
      </c>
      <c r="L94" s="2">
        <f t="shared" si="40"/>
        <v>33196150.23747192</v>
      </c>
      <c r="M94" s="2">
        <f t="shared" si="39"/>
        <v>89816649.762528077</v>
      </c>
      <c r="N94" s="2">
        <f t="shared" si="31"/>
        <v>5681794.8984432118</v>
      </c>
      <c r="P94">
        <v>91</v>
      </c>
      <c r="Q94" s="3">
        <f t="shared" si="29"/>
        <v>335332800</v>
      </c>
      <c r="R94" s="6">
        <f>$C$13+$C$6*$A$18*$C$10+50*'Carbon Tax'!$B$6</f>
        <v>228124447.71138734</v>
      </c>
      <c r="S94" s="3">
        <f t="shared" si="32"/>
        <v>107208352.28861266</v>
      </c>
      <c r="T94" s="7">
        <f t="shared" si="28"/>
        <v>15544.385052607242</v>
      </c>
      <c r="U94" s="7">
        <f t="shared" si="45"/>
        <v>3886.0962631518105</v>
      </c>
      <c r="V94" s="7">
        <f t="shared" si="36"/>
        <v>107204466.19234951</v>
      </c>
      <c r="W94" s="7">
        <f t="shared" si="37"/>
        <v>28945205.871934369</v>
      </c>
      <c r="X94" s="11">
        <f t="shared" si="38"/>
        <v>78263146.416678295</v>
      </c>
      <c r="Y94" s="7">
        <f t="shared" si="33"/>
        <v>4950921.0956109092</v>
      </c>
    </row>
    <row r="95" spans="5:25">
      <c r="E95">
        <v>92</v>
      </c>
      <c r="F95" s="2">
        <f t="shared" si="43"/>
        <v>142612800</v>
      </c>
      <c r="G95" s="2">
        <f t="shared" si="44"/>
        <v>19600000</v>
      </c>
      <c r="H95" s="2">
        <f t="shared" si="30"/>
        <v>123012800</v>
      </c>
      <c r="I95" s="2">
        <f t="shared" si="41"/>
        <v>149555.97246492543</v>
      </c>
      <c r="J95" s="2">
        <f t="shared" si="42"/>
        <v>44866.79173947763</v>
      </c>
      <c r="K95" s="2">
        <f t="shared" si="35"/>
        <v>122967933.20826052</v>
      </c>
      <c r="L95" s="2">
        <f t="shared" si="40"/>
        <v>33201341.966230344</v>
      </c>
      <c r="M95" s="2">
        <f t="shared" si="39"/>
        <v>89811458.033769652</v>
      </c>
      <c r="N95" s="2">
        <f t="shared" si="31"/>
        <v>5511705.9274834143</v>
      </c>
      <c r="P95">
        <v>92</v>
      </c>
      <c r="Q95" s="3">
        <f t="shared" si="29"/>
        <v>335332800</v>
      </c>
      <c r="R95" s="6">
        <f>$C$13+$C$6*$A$18*$C$10+50*'Carbon Tax'!$B$6</f>
        <v>228124447.71138734</v>
      </c>
      <c r="S95" s="3">
        <f t="shared" si="32"/>
        <v>107208352.28861266</v>
      </c>
      <c r="T95" s="7">
        <f t="shared" si="28"/>
        <v>11658.288789455431</v>
      </c>
      <c r="U95" s="7">
        <f t="shared" si="45"/>
        <v>2914.5721973638579</v>
      </c>
      <c r="V95" s="7">
        <f t="shared" si="36"/>
        <v>107205437.7164153</v>
      </c>
      <c r="W95" s="7">
        <f t="shared" si="37"/>
        <v>28945468.183432132</v>
      </c>
      <c r="X95" s="11">
        <f t="shared" si="38"/>
        <v>78262884.105180532</v>
      </c>
      <c r="Y95" s="7">
        <f t="shared" si="33"/>
        <v>4802972.9353940152</v>
      </c>
    </row>
    <row r="96" spans="5:25">
      <c r="E96">
        <v>93</v>
      </c>
      <c r="F96" s="2">
        <f t="shared" si="43"/>
        <v>142612800</v>
      </c>
      <c r="G96" s="2">
        <f t="shared" si="44"/>
        <v>19600000</v>
      </c>
      <c r="H96" s="2">
        <f t="shared" si="30"/>
        <v>123012800</v>
      </c>
      <c r="I96" s="2">
        <f t="shared" si="41"/>
        <v>104689.1807254478</v>
      </c>
      <c r="J96" s="2">
        <f t="shared" si="42"/>
        <v>31406.754217634341</v>
      </c>
      <c r="K96" s="2">
        <f t="shared" si="35"/>
        <v>122981393.24578236</v>
      </c>
      <c r="L96" s="2">
        <f t="shared" si="40"/>
        <v>33204976.17636124</v>
      </c>
      <c r="M96" s="2">
        <f t="shared" si="39"/>
        <v>89807823.823638767</v>
      </c>
      <c r="N96" s="2">
        <f t="shared" si="31"/>
        <v>5346801.4134153798</v>
      </c>
      <c r="P96">
        <v>93</v>
      </c>
      <c r="Q96" s="3">
        <f t="shared" si="29"/>
        <v>335332800</v>
      </c>
      <c r="R96" s="6">
        <f>$C$13+$C$6*$A$18*$C$10+50*'Carbon Tax'!$B$6</f>
        <v>228124447.71138734</v>
      </c>
      <c r="S96" s="3">
        <f t="shared" si="32"/>
        <v>107208352.28861266</v>
      </c>
      <c r="T96" s="7">
        <f t="shared" si="28"/>
        <v>8743.7165920915741</v>
      </c>
      <c r="U96" s="7">
        <f t="shared" si="45"/>
        <v>2185.9291480228935</v>
      </c>
      <c r="V96" s="7">
        <f t="shared" si="36"/>
        <v>107206166.35946465</v>
      </c>
      <c r="W96" s="7">
        <f t="shared" si="37"/>
        <v>28945664.917055458</v>
      </c>
      <c r="X96" s="11">
        <f t="shared" si="38"/>
        <v>78262687.371557206</v>
      </c>
      <c r="Y96" s="7">
        <f t="shared" si="33"/>
        <v>4659449.8078215811</v>
      </c>
    </row>
    <row r="97" spans="5:25">
      <c r="E97">
        <v>94</v>
      </c>
      <c r="F97" s="2">
        <f t="shared" si="43"/>
        <v>142612800</v>
      </c>
      <c r="G97" s="2">
        <f t="shared" si="44"/>
        <v>19600000</v>
      </c>
      <c r="H97" s="2">
        <f t="shared" si="30"/>
        <v>123012800</v>
      </c>
      <c r="I97" s="2">
        <f t="shared" si="41"/>
        <v>73282.426507813463</v>
      </c>
      <c r="J97" s="2">
        <f t="shared" si="42"/>
        <v>21984.727952344037</v>
      </c>
      <c r="K97" s="2">
        <f t="shared" si="35"/>
        <v>122990815.27204765</v>
      </c>
      <c r="L97" s="2">
        <f t="shared" si="40"/>
        <v>33207520.123452868</v>
      </c>
      <c r="M97" s="2">
        <f t="shared" si="39"/>
        <v>89805279.876547128</v>
      </c>
      <c r="N97" s="2">
        <f t="shared" si="31"/>
        <v>5186893.6330050584</v>
      </c>
      <c r="P97">
        <v>94</v>
      </c>
      <c r="Q97" s="3">
        <f t="shared" si="29"/>
        <v>335332800</v>
      </c>
      <c r="R97" s="6">
        <f>$C$13+$C$6*$A$18*$C$10+50*'Carbon Tax'!$B$6</f>
        <v>228124447.71138734</v>
      </c>
      <c r="S97" s="3">
        <f t="shared" si="32"/>
        <v>107208352.28861266</v>
      </c>
      <c r="T97" s="7">
        <f t="shared" si="28"/>
        <v>6557.787444068681</v>
      </c>
      <c r="U97" s="7">
        <f t="shared" si="45"/>
        <v>1639.4468610171702</v>
      </c>
      <c r="V97" s="7">
        <f t="shared" si="36"/>
        <v>107206712.84175165</v>
      </c>
      <c r="W97" s="7">
        <f t="shared" si="37"/>
        <v>28945812.467272948</v>
      </c>
      <c r="X97" s="11">
        <f t="shared" si="38"/>
        <v>78262539.821339712</v>
      </c>
      <c r="Y97" s="7">
        <f t="shared" si="33"/>
        <v>4520218.2996383477</v>
      </c>
    </row>
    <row r="98" spans="5:25">
      <c r="E98">
        <v>95</v>
      </c>
      <c r="F98" s="2">
        <f t="shared" si="43"/>
        <v>142612800</v>
      </c>
      <c r="G98" s="2">
        <f t="shared" si="44"/>
        <v>19600000</v>
      </c>
      <c r="H98" s="2">
        <f t="shared" si="30"/>
        <v>123012800</v>
      </c>
      <c r="I98" s="2">
        <f t="shared" si="41"/>
        <v>51297.698555469426</v>
      </c>
      <c r="J98" s="2">
        <f t="shared" si="42"/>
        <v>15389.309566640826</v>
      </c>
      <c r="K98" s="2">
        <f t="shared" si="35"/>
        <v>122997410.69043335</v>
      </c>
      <c r="L98" s="2">
        <f t="shared" si="40"/>
        <v>33209300.886417009</v>
      </c>
      <c r="M98" s="2">
        <f t="shared" si="39"/>
        <v>89803499.113582999</v>
      </c>
      <c r="N98" s="2">
        <f t="shared" si="31"/>
        <v>5031811.0024045389</v>
      </c>
      <c r="P98">
        <v>95</v>
      </c>
      <c r="Q98" s="3">
        <f t="shared" si="29"/>
        <v>335332800</v>
      </c>
      <c r="R98" s="6">
        <f>$C$13+$C$6*$A$18*$C$10+50*'Carbon Tax'!$B$6</f>
        <v>228124447.71138734</v>
      </c>
      <c r="S98" s="3">
        <f t="shared" si="32"/>
        <v>107208352.28861266</v>
      </c>
      <c r="T98" s="7">
        <f t="shared" si="28"/>
        <v>4918.3405830515112</v>
      </c>
      <c r="U98" s="7">
        <f t="shared" si="45"/>
        <v>1229.5851457628778</v>
      </c>
      <c r="V98" s="7">
        <f t="shared" si="36"/>
        <v>107207122.70346691</v>
      </c>
      <c r="W98" s="7">
        <f t="shared" si="37"/>
        <v>28945923.129936066</v>
      </c>
      <c r="X98" s="11">
        <f t="shared" si="38"/>
        <v>78262429.158676594</v>
      </c>
      <c r="Y98" s="7">
        <f t="shared" si="33"/>
        <v>4385149.3093543751</v>
      </c>
    </row>
    <row r="99" spans="5:25">
      <c r="E99">
        <v>96</v>
      </c>
      <c r="F99" s="2">
        <f t="shared" si="43"/>
        <v>142612800</v>
      </c>
      <c r="G99" s="2">
        <f t="shared" si="44"/>
        <v>19600000</v>
      </c>
      <c r="H99" s="2">
        <f t="shared" si="30"/>
        <v>123012800</v>
      </c>
      <c r="I99" s="2">
        <f t="shared" si="41"/>
        <v>35908.388988828599</v>
      </c>
      <c r="J99" s="2">
        <f t="shared" si="42"/>
        <v>10772.516696648579</v>
      </c>
      <c r="K99" s="2">
        <f t="shared" si="35"/>
        <v>123002027.48330335</v>
      </c>
      <c r="L99" s="2">
        <f t="shared" si="40"/>
        <v>33210547.420491908</v>
      </c>
      <c r="M99" s="2">
        <f t="shared" si="39"/>
        <v>89802252.579508096</v>
      </c>
      <c r="N99" s="2">
        <f t="shared" ref="N99:N130" si="46">M99/((1+$B$16)^E99)</f>
        <v>4881394.2155815801</v>
      </c>
      <c r="P99">
        <v>96</v>
      </c>
      <c r="Q99" s="3">
        <f t="shared" si="29"/>
        <v>335332800</v>
      </c>
      <c r="R99" s="6">
        <f>$C$13+$C$6*$A$18*$C$10+50*'Carbon Tax'!$B$6</f>
        <v>228124447.71138734</v>
      </c>
      <c r="S99" s="3">
        <f t="shared" si="32"/>
        <v>107208352.28861266</v>
      </c>
      <c r="T99" s="7">
        <f t="shared" si="28"/>
        <v>3688.7554372886334</v>
      </c>
      <c r="U99" s="7">
        <f t="shared" si="45"/>
        <v>922.18885932215835</v>
      </c>
      <c r="V99" s="7">
        <f t="shared" si="36"/>
        <v>107207430.09975334</v>
      </c>
      <c r="W99" s="7">
        <f t="shared" si="37"/>
        <v>28946006.126933403</v>
      </c>
      <c r="X99" s="11">
        <f t="shared" si="38"/>
        <v>78262346.161679268</v>
      </c>
      <c r="Y99" s="7">
        <f t="shared" ref="Y99:Y130" si="47">X99/((1+$B$16)^P99)</f>
        <v>4254117.8297640989</v>
      </c>
    </row>
    <row r="100" spans="5:25">
      <c r="E100">
        <v>97</v>
      </c>
      <c r="F100" s="2">
        <f t="shared" si="43"/>
        <v>142612800</v>
      </c>
      <c r="G100" s="2">
        <f t="shared" si="44"/>
        <v>19600000</v>
      </c>
      <c r="H100" s="2">
        <f t="shared" si="30"/>
        <v>123012800</v>
      </c>
      <c r="I100" s="2">
        <f t="shared" si="41"/>
        <v>25135.872292180022</v>
      </c>
      <c r="J100" s="2">
        <f t="shared" si="42"/>
        <v>7540.761687654006</v>
      </c>
      <c r="K100" s="2">
        <f t="shared" si="35"/>
        <v>123005259.23831235</v>
      </c>
      <c r="L100" s="2">
        <f t="shared" si="40"/>
        <v>33211419.994344335</v>
      </c>
      <c r="M100" s="2">
        <f t="shared" si="39"/>
        <v>89801380.005655661</v>
      </c>
      <c r="N100" s="2">
        <f t="shared" si="46"/>
        <v>4735493.5826122388</v>
      </c>
      <c r="P100">
        <v>97</v>
      </c>
      <c r="Q100" s="3">
        <f t="shared" si="29"/>
        <v>335332800</v>
      </c>
      <c r="R100" s="6">
        <f>$C$13+$C$6*$A$18*$C$10+50*'Carbon Tax'!$B$6</f>
        <v>228124447.71138734</v>
      </c>
      <c r="S100" s="3">
        <f t="shared" si="32"/>
        <v>107208352.28861266</v>
      </c>
      <c r="T100" s="7">
        <f t="shared" si="28"/>
        <v>2766.5665779664751</v>
      </c>
      <c r="U100" s="7">
        <f t="shared" si="45"/>
        <v>691.64164449161876</v>
      </c>
      <c r="V100" s="7">
        <f t="shared" si="36"/>
        <v>107207660.64696817</v>
      </c>
      <c r="W100" s="7">
        <f t="shared" si="37"/>
        <v>28946068.374681409</v>
      </c>
      <c r="X100" s="11">
        <f t="shared" si="38"/>
        <v>78262283.913931251</v>
      </c>
      <c r="Y100" s="7">
        <f t="shared" si="47"/>
        <v>4127002.7611118844</v>
      </c>
    </row>
    <row r="101" spans="5:25">
      <c r="E101">
        <v>98</v>
      </c>
      <c r="F101" s="2">
        <f t="shared" si="43"/>
        <v>142612800</v>
      </c>
      <c r="G101" s="2">
        <f t="shared" si="44"/>
        <v>19600000</v>
      </c>
      <c r="H101" s="2">
        <f t="shared" si="30"/>
        <v>123012800</v>
      </c>
      <c r="I101" s="2">
        <f t="shared" si="41"/>
        <v>17595.110604526017</v>
      </c>
      <c r="J101" s="2">
        <f t="shared" si="42"/>
        <v>5278.533181357805</v>
      </c>
      <c r="K101" s="2">
        <f t="shared" si="35"/>
        <v>123007521.46681865</v>
      </c>
      <c r="L101" s="2">
        <f t="shared" si="40"/>
        <v>33212030.796041038</v>
      </c>
      <c r="M101" s="2">
        <f t="shared" si="39"/>
        <v>89800769.203958958</v>
      </c>
      <c r="N101" s="2">
        <f t="shared" si="46"/>
        <v>4593967.1839580694</v>
      </c>
      <c r="P101">
        <v>98</v>
      </c>
      <c r="Q101" s="3">
        <f t="shared" si="29"/>
        <v>335332800</v>
      </c>
      <c r="R101" s="6">
        <f>$C$13+$C$6*$A$18*$C$10+50*'Carbon Tax'!$B$6</f>
        <v>228124447.71138734</v>
      </c>
      <c r="S101" s="3">
        <f t="shared" si="32"/>
        <v>107208352.28861266</v>
      </c>
      <c r="T101" s="7">
        <f t="shared" si="28"/>
        <v>2074.9249334748565</v>
      </c>
      <c r="U101" s="7">
        <f t="shared" si="45"/>
        <v>518.73123336871413</v>
      </c>
      <c r="V101" s="7">
        <f t="shared" si="36"/>
        <v>107207833.55737929</v>
      </c>
      <c r="W101" s="7">
        <f t="shared" ref="W101:W132" si="48">IF(W100&lt;0,V101*$B$15+W100,V101*$B$15)</f>
        <v>28946115.060492411</v>
      </c>
      <c r="X101" s="11">
        <f t="shared" si="38"/>
        <v>78262237.228120252</v>
      </c>
      <c r="Y101" s="7">
        <f t="shared" si="47"/>
        <v>4003686.747410127</v>
      </c>
    </row>
    <row r="102" spans="5:25">
      <c r="E102">
        <v>99</v>
      </c>
      <c r="F102" s="2">
        <f t="shared" si="43"/>
        <v>142612800</v>
      </c>
      <c r="G102" s="2">
        <f>$B$13+$B$12</f>
        <v>1134800000</v>
      </c>
      <c r="H102" s="2">
        <f t="shared" si="30"/>
        <v>-992187200</v>
      </c>
      <c r="I102" s="2">
        <f t="shared" si="41"/>
        <v>12316.577423168212</v>
      </c>
      <c r="J102" s="13">
        <v>0</v>
      </c>
      <c r="K102" s="13">
        <f>H102-J102+$B$12+$B$14</f>
        <v>123012800</v>
      </c>
      <c r="L102" s="2">
        <f t="shared" si="40"/>
        <v>33213456.000000004</v>
      </c>
      <c r="M102" s="13">
        <f>IF(L102&lt;0,H102,H102-L102+$B$14)</f>
        <v>-1025400656</v>
      </c>
      <c r="N102" s="2">
        <f t="shared" si="46"/>
        <v>-50889362.794410191</v>
      </c>
      <c r="P102">
        <v>99</v>
      </c>
      <c r="Q102" s="3">
        <f t="shared" si="29"/>
        <v>335332800</v>
      </c>
      <c r="R102" s="6">
        <f>$C$13+$C$6*$A$18*$C$10+50*'Carbon Tax'!$B$6</f>
        <v>228124447.71138734</v>
      </c>
      <c r="S102" s="3">
        <f t="shared" si="32"/>
        <v>107208352.28861266</v>
      </c>
      <c r="T102" s="7">
        <f t="shared" si="28"/>
        <v>1556.1937001061424</v>
      </c>
      <c r="U102" s="7">
        <f t="shared" si="45"/>
        <v>389.0484250265356</v>
      </c>
      <c r="V102" s="7">
        <f t="shared" si="36"/>
        <v>107207963.24018763</v>
      </c>
      <c r="W102" s="7">
        <f t="shared" si="48"/>
        <v>28946150.074850664</v>
      </c>
      <c r="X102" s="11">
        <f t="shared" si="38"/>
        <v>78262202.213762</v>
      </c>
      <c r="Y102" s="7">
        <f t="shared" si="47"/>
        <v>3884056.0304319006</v>
      </c>
    </row>
    <row r="103" spans="5:25">
      <c r="E103">
        <v>100</v>
      </c>
      <c r="F103" s="2">
        <v>0</v>
      </c>
      <c r="G103" s="2">
        <v>0</v>
      </c>
      <c r="H103" s="2">
        <f t="shared" si="30"/>
        <v>0</v>
      </c>
      <c r="I103" s="2">
        <v>1115200000</v>
      </c>
      <c r="J103" s="2">
        <f>I103*0.3</f>
        <v>334560000</v>
      </c>
      <c r="K103" s="2">
        <f t="shared" si="35"/>
        <v>-334560000</v>
      </c>
      <c r="L103" s="2">
        <f>K103*$B$15</f>
        <v>-90331200</v>
      </c>
      <c r="M103" s="2">
        <f t="shared" si="39"/>
        <v>0</v>
      </c>
      <c r="N103" s="2">
        <f t="shared" si="46"/>
        <v>0</v>
      </c>
      <c r="P103">
        <v>100</v>
      </c>
      <c r="Q103" s="3">
        <f t="shared" si="29"/>
        <v>335332800</v>
      </c>
      <c r="R103" s="6">
        <f>$C$13+$C$6*$A$18*$C$10+50*'Carbon Tax'!$B$6</f>
        <v>228124447.71138734</v>
      </c>
      <c r="S103" s="3">
        <f t="shared" si="32"/>
        <v>107208352.28861266</v>
      </c>
      <c r="T103" s="7">
        <f t="shared" si="28"/>
        <v>1167.1452750796068</v>
      </c>
      <c r="U103" s="7">
        <f t="shared" si="45"/>
        <v>291.7863187699017</v>
      </c>
      <c r="V103" s="7">
        <f t="shared" si="36"/>
        <v>107208060.5022939</v>
      </c>
      <c r="W103" s="7">
        <f t="shared" si="48"/>
        <v>28946176.335619356</v>
      </c>
      <c r="X103" s="11">
        <f t="shared" si="38"/>
        <v>78262175.952993304</v>
      </c>
      <c r="Y103" s="7">
        <f t="shared" si="47"/>
        <v>3768000.3173675984</v>
      </c>
    </row>
    <row r="104" spans="5:25">
      <c r="E104">
        <v>101</v>
      </c>
      <c r="F104" s="2">
        <v>0</v>
      </c>
      <c r="G104" s="2">
        <v>0</v>
      </c>
      <c r="H104" s="2">
        <f t="shared" si="30"/>
        <v>0</v>
      </c>
      <c r="I104" s="2">
        <f>I103-J103</f>
        <v>780640000</v>
      </c>
      <c r="J104" s="2">
        <f>I104*0.3</f>
        <v>234192000</v>
      </c>
      <c r="K104" s="2">
        <f t="shared" si="35"/>
        <v>-234192000</v>
      </c>
      <c r="L104" s="2">
        <f t="shared" ref="L104:L135" si="49">IF(L103&lt;0,K104*$B$15+L103,K104*$B$15)</f>
        <v>-153563040</v>
      </c>
      <c r="M104" s="2">
        <f t="shared" si="39"/>
        <v>0</v>
      </c>
      <c r="N104" s="2">
        <f t="shared" si="46"/>
        <v>0</v>
      </c>
      <c r="P104">
        <v>101</v>
      </c>
      <c r="Q104" s="3">
        <f t="shared" si="29"/>
        <v>335332800</v>
      </c>
      <c r="R104" s="6">
        <f>$C$13+$C$6*$A$18*$C$10+50*'Carbon Tax'!$B$6</f>
        <v>228124447.71138734</v>
      </c>
      <c r="S104" s="3">
        <f t="shared" si="32"/>
        <v>107208352.28861266</v>
      </c>
      <c r="T104" s="7">
        <f t="shared" si="28"/>
        <v>875.35895630970504</v>
      </c>
      <c r="U104" s="7">
        <f t="shared" si="45"/>
        <v>218.83973907742626</v>
      </c>
      <c r="V104" s="7">
        <f t="shared" si="36"/>
        <v>107208133.44887358</v>
      </c>
      <c r="W104" s="7">
        <f t="shared" si="48"/>
        <v>28946196.031195868</v>
      </c>
      <c r="X104" s="11">
        <f t="shared" si="38"/>
        <v>78262156.2574168</v>
      </c>
      <c r="Y104" s="7">
        <f t="shared" si="47"/>
        <v>3655412.6592035228</v>
      </c>
    </row>
    <row r="105" spans="5:25">
      <c r="E105">
        <v>102</v>
      </c>
      <c r="F105" s="2">
        <v>0</v>
      </c>
      <c r="G105" s="2">
        <v>0</v>
      </c>
      <c r="H105" s="2">
        <f t="shared" si="30"/>
        <v>0</v>
      </c>
      <c r="I105" s="2">
        <f t="shared" ref="I105:I135" si="50">I104-J104</f>
        <v>546448000</v>
      </c>
      <c r="J105" s="2">
        <f t="shared" ref="J105:J134" si="51">I105*0.3</f>
        <v>163934400</v>
      </c>
      <c r="K105" s="2">
        <f t="shared" si="35"/>
        <v>-163934400</v>
      </c>
      <c r="L105" s="2">
        <f t="shared" si="49"/>
        <v>-197825328</v>
      </c>
      <c r="M105" s="2">
        <f t="shared" si="39"/>
        <v>0</v>
      </c>
      <c r="N105" s="2">
        <f t="shared" si="46"/>
        <v>0</v>
      </c>
      <c r="P105">
        <v>102</v>
      </c>
      <c r="Q105" s="3">
        <f t="shared" si="29"/>
        <v>335332800</v>
      </c>
      <c r="R105" s="6">
        <f>$C$13+$C$6*$A$18*$C$10+50*'Carbon Tax'!$B$6</f>
        <v>228124447.71138734</v>
      </c>
      <c r="S105" s="3">
        <f t="shared" si="32"/>
        <v>107208352.28861266</v>
      </c>
      <c r="T105" s="7">
        <f t="shared" si="28"/>
        <v>656.51921723227883</v>
      </c>
      <c r="U105" s="7">
        <f t="shared" si="45"/>
        <v>164.12980430806971</v>
      </c>
      <c r="V105" s="7">
        <f t="shared" si="36"/>
        <v>107208188.15880835</v>
      </c>
      <c r="W105" s="7">
        <f t="shared" si="48"/>
        <v>28946210.802878257</v>
      </c>
      <c r="X105" s="11">
        <f t="shared" si="38"/>
        <v>78262141.485734403</v>
      </c>
      <c r="Y105" s="7">
        <f t="shared" si="47"/>
        <v>3546189.3376584947</v>
      </c>
    </row>
    <row r="106" spans="5:25">
      <c r="E106">
        <v>103</v>
      </c>
      <c r="F106" s="2">
        <f t="shared" ref="F106:F135" si="52">$B$11</f>
        <v>142612800</v>
      </c>
      <c r="G106" s="2">
        <f t="shared" ref="G106:G134" si="53">$B$13</f>
        <v>19600000</v>
      </c>
      <c r="H106" s="2">
        <f t="shared" si="30"/>
        <v>123012800</v>
      </c>
      <c r="I106" s="2">
        <f t="shared" si="50"/>
        <v>382513600</v>
      </c>
      <c r="J106" s="2">
        <f t="shared" si="51"/>
        <v>114754080</v>
      </c>
      <c r="K106" s="2">
        <f t="shared" si="35"/>
        <v>8258720</v>
      </c>
      <c r="L106" s="2">
        <f t="shared" si="49"/>
        <v>-195595473.59999999</v>
      </c>
      <c r="M106" s="2">
        <f t="shared" si="39"/>
        <v>123012800</v>
      </c>
      <c r="N106" s="2">
        <f t="shared" si="46"/>
        <v>5407369.989895273</v>
      </c>
      <c r="P106">
        <v>103</v>
      </c>
      <c r="Q106" s="3">
        <f t="shared" si="29"/>
        <v>335332800</v>
      </c>
      <c r="R106" s="6">
        <f>$C$13+$C$6*$A$18*$C$10+50*'Carbon Tax'!$B$6</f>
        <v>228124447.71138734</v>
      </c>
      <c r="S106" s="3">
        <f t="shared" si="32"/>
        <v>107208352.28861266</v>
      </c>
      <c r="T106" s="7">
        <f t="shared" si="28"/>
        <v>492.38941292420913</v>
      </c>
      <c r="U106" s="7">
        <f t="shared" si="45"/>
        <v>123.09735323105228</v>
      </c>
      <c r="V106" s="7">
        <f t="shared" si="36"/>
        <v>107208229.19125943</v>
      </c>
      <c r="W106" s="7">
        <f t="shared" si="48"/>
        <v>28946221.881640047</v>
      </c>
      <c r="X106" s="11">
        <f t="shared" si="38"/>
        <v>78262130.406972617</v>
      </c>
      <c r="Y106" s="7">
        <f t="shared" si="47"/>
        <v>3440229.7590814461</v>
      </c>
    </row>
    <row r="107" spans="5:25">
      <c r="E107">
        <v>104</v>
      </c>
      <c r="F107" s="2">
        <f t="shared" si="52"/>
        <v>142612800</v>
      </c>
      <c r="G107" s="2">
        <f t="shared" si="53"/>
        <v>19600000</v>
      </c>
      <c r="H107" s="2">
        <f t="shared" si="30"/>
        <v>123012800</v>
      </c>
      <c r="I107" s="2">
        <f t="shared" si="50"/>
        <v>267759520</v>
      </c>
      <c r="J107" s="2">
        <f t="shared" si="51"/>
        <v>80327856</v>
      </c>
      <c r="K107" s="2">
        <f t="shared" si="35"/>
        <v>42684944</v>
      </c>
      <c r="L107" s="2">
        <f t="shared" si="49"/>
        <v>-184070538.72</v>
      </c>
      <c r="M107" s="2">
        <f t="shared" si="39"/>
        <v>123012800</v>
      </c>
      <c r="N107" s="2">
        <f t="shared" si="46"/>
        <v>5245799.3693202101</v>
      </c>
      <c r="P107">
        <v>104</v>
      </c>
      <c r="Q107" s="3">
        <f t="shared" si="29"/>
        <v>335332800</v>
      </c>
      <c r="R107" s="6">
        <f>$C$13+$C$6*$A$18*$C$10+50*'Carbon Tax'!$B$6</f>
        <v>228124447.71138734</v>
      </c>
      <c r="S107" s="3">
        <f t="shared" si="32"/>
        <v>107208352.28861266</v>
      </c>
      <c r="T107" s="7">
        <f t="shared" si="28"/>
        <v>369.29205969315683</v>
      </c>
      <c r="U107" s="7">
        <f t="shared" si="45"/>
        <v>92.323014923289207</v>
      </c>
      <c r="V107" s="7">
        <f t="shared" si="36"/>
        <v>107208259.96559773</v>
      </c>
      <c r="W107" s="7">
        <f t="shared" si="48"/>
        <v>28946230.19071139</v>
      </c>
      <c r="X107" s="11">
        <f t="shared" si="38"/>
        <v>78262122.09790127</v>
      </c>
      <c r="Y107" s="7">
        <f t="shared" si="47"/>
        <v>3337436.3541260073</v>
      </c>
    </row>
    <row r="108" spans="5:25">
      <c r="E108">
        <v>105</v>
      </c>
      <c r="F108" s="2">
        <f t="shared" si="52"/>
        <v>142612800</v>
      </c>
      <c r="G108" s="2">
        <f t="shared" si="53"/>
        <v>19600000</v>
      </c>
      <c r="H108" s="2">
        <f t="shared" si="30"/>
        <v>123012800</v>
      </c>
      <c r="I108" s="2">
        <f t="shared" si="50"/>
        <v>187431664</v>
      </c>
      <c r="J108" s="2">
        <f t="shared" si="51"/>
        <v>56229499.199999996</v>
      </c>
      <c r="K108" s="2">
        <f t="shared" si="35"/>
        <v>66783300.800000004</v>
      </c>
      <c r="L108" s="2">
        <f t="shared" si="49"/>
        <v>-166039047.50400001</v>
      </c>
      <c r="M108" s="2">
        <f t="shared" si="39"/>
        <v>123012800</v>
      </c>
      <c r="N108" s="2">
        <f t="shared" si="46"/>
        <v>5089056.4312380776</v>
      </c>
      <c r="P108">
        <v>105</v>
      </c>
      <c r="Q108" s="3">
        <f t="shared" si="29"/>
        <v>335332800</v>
      </c>
      <c r="R108" s="6">
        <f>$C$13+$C$6*$A$18*$C$10+50*'Carbon Tax'!$B$6</f>
        <v>228124447.71138734</v>
      </c>
      <c r="S108" s="3">
        <f t="shared" si="32"/>
        <v>107208352.28861266</v>
      </c>
      <c r="T108" s="7">
        <f t="shared" si="28"/>
        <v>276.96904476986765</v>
      </c>
      <c r="U108" s="7">
        <f t="shared" si="45"/>
        <v>69.242261192466913</v>
      </c>
      <c r="V108" s="7">
        <f t="shared" si="36"/>
        <v>107208283.04635148</v>
      </c>
      <c r="W108" s="7">
        <f t="shared" si="48"/>
        <v>28946236.422514901</v>
      </c>
      <c r="X108" s="11">
        <f t="shared" si="38"/>
        <v>78262115.866097763</v>
      </c>
      <c r="Y108" s="7">
        <f t="shared" si="47"/>
        <v>3237714.482319437</v>
      </c>
    </row>
    <row r="109" spans="5:25">
      <c r="E109">
        <v>106</v>
      </c>
      <c r="F109" s="2">
        <f t="shared" si="52"/>
        <v>142612800</v>
      </c>
      <c r="G109" s="2">
        <f t="shared" si="53"/>
        <v>19600000</v>
      </c>
      <c r="H109" s="2">
        <f t="shared" si="30"/>
        <v>123012800</v>
      </c>
      <c r="I109" s="2">
        <f t="shared" si="50"/>
        <v>131202164.80000001</v>
      </c>
      <c r="J109" s="2">
        <f t="shared" si="51"/>
        <v>39360649.440000005</v>
      </c>
      <c r="K109" s="2">
        <f t="shared" si="35"/>
        <v>83652150.560000002</v>
      </c>
      <c r="L109" s="2">
        <f t="shared" si="49"/>
        <v>-143452966.85280001</v>
      </c>
      <c r="M109" s="2">
        <f t="shared" si="39"/>
        <v>123012800</v>
      </c>
      <c r="N109" s="2">
        <f t="shared" si="46"/>
        <v>4936996.9259197488</v>
      </c>
      <c r="P109">
        <v>106</v>
      </c>
      <c r="Q109" s="3">
        <f t="shared" si="29"/>
        <v>335332800</v>
      </c>
      <c r="R109" s="6">
        <f>$C$13+$C$6*$A$18*$C$10+50*'Carbon Tax'!$B$6</f>
        <v>228124447.71138734</v>
      </c>
      <c r="S109" s="3">
        <f t="shared" si="32"/>
        <v>107208352.28861266</v>
      </c>
      <c r="T109" s="7">
        <f t="shared" si="28"/>
        <v>207.72678357740074</v>
      </c>
      <c r="U109" s="7">
        <f t="shared" si="45"/>
        <v>51.931695894350185</v>
      </c>
      <c r="V109" s="7">
        <f t="shared" si="36"/>
        <v>107208300.35691677</v>
      </c>
      <c r="W109" s="7">
        <f t="shared" si="48"/>
        <v>28946241.096367531</v>
      </c>
      <c r="X109" s="11">
        <f t="shared" si="38"/>
        <v>78262111.192245126</v>
      </c>
      <c r="Y109" s="7">
        <f t="shared" si="47"/>
        <v>3140972.3408629326</v>
      </c>
    </row>
    <row r="110" spans="5:25">
      <c r="E110">
        <v>107</v>
      </c>
      <c r="F110" s="2">
        <f t="shared" si="52"/>
        <v>142612800</v>
      </c>
      <c r="G110" s="2">
        <f t="shared" si="53"/>
        <v>19600000</v>
      </c>
      <c r="H110" s="2">
        <f t="shared" si="30"/>
        <v>123012800</v>
      </c>
      <c r="I110" s="2">
        <f t="shared" si="50"/>
        <v>91841515.360000014</v>
      </c>
      <c r="J110" s="2">
        <f t="shared" si="51"/>
        <v>27552454.608000003</v>
      </c>
      <c r="K110" s="2">
        <f t="shared" si="35"/>
        <v>95460345.39199999</v>
      </c>
      <c r="L110" s="2">
        <f t="shared" si="49"/>
        <v>-117678673.59696001</v>
      </c>
      <c r="M110" s="2">
        <f t="shared" si="39"/>
        <v>123012800</v>
      </c>
      <c r="N110" s="2">
        <f t="shared" si="46"/>
        <v>4789480.9137754655</v>
      </c>
      <c r="P110">
        <v>107</v>
      </c>
      <c r="Q110" s="3">
        <f t="shared" si="29"/>
        <v>335332800</v>
      </c>
      <c r="R110" s="6">
        <f>$C$13+$C$6*$A$18*$C$10+50*'Carbon Tax'!$B$6</f>
        <v>228124447.71138734</v>
      </c>
      <c r="S110" s="3">
        <f t="shared" si="32"/>
        <v>107208352.28861266</v>
      </c>
      <c r="T110" s="7">
        <f t="shared" si="28"/>
        <v>155.79508768305055</v>
      </c>
      <c r="U110" s="7">
        <f t="shared" si="45"/>
        <v>38.948771920762638</v>
      </c>
      <c r="V110" s="7">
        <f t="shared" si="36"/>
        <v>107208313.33984074</v>
      </c>
      <c r="W110" s="7">
        <f t="shared" si="48"/>
        <v>28946244.601757001</v>
      </c>
      <c r="X110" s="11">
        <f t="shared" si="38"/>
        <v>78262107.686855659</v>
      </c>
      <c r="Y110" s="7">
        <f t="shared" si="47"/>
        <v>3047120.8771610381</v>
      </c>
    </row>
    <row r="111" spans="5:25">
      <c r="E111">
        <v>108</v>
      </c>
      <c r="F111" s="2">
        <f t="shared" si="52"/>
        <v>142612800</v>
      </c>
      <c r="G111" s="2">
        <f t="shared" si="53"/>
        <v>19600000</v>
      </c>
      <c r="H111" s="2">
        <f t="shared" si="30"/>
        <v>123012800</v>
      </c>
      <c r="I111" s="2">
        <f t="shared" si="50"/>
        <v>64289060.752000012</v>
      </c>
      <c r="J111" s="2">
        <f t="shared" si="51"/>
        <v>19286718.225600004</v>
      </c>
      <c r="K111" s="2">
        <f t="shared" si="35"/>
        <v>103726081.7744</v>
      </c>
      <c r="L111" s="2">
        <f t="shared" si="49"/>
        <v>-89672631.517872006</v>
      </c>
      <c r="M111" s="2">
        <f t="shared" si="39"/>
        <v>123012800</v>
      </c>
      <c r="N111" s="2">
        <f t="shared" si="46"/>
        <v>4646372.6365691358</v>
      </c>
      <c r="P111">
        <v>108</v>
      </c>
      <c r="Q111" s="3">
        <f t="shared" si="29"/>
        <v>335332800</v>
      </c>
      <c r="R111" s="6">
        <f>$C$13+$C$6*$A$18*$C$10+50*'Carbon Tax'!$B$6</f>
        <v>228124447.71138734</v>
      </c>
      <c r="S111" s="3">
        <f t="shared" si="32"/>
        <v>107208352.28861266</v>
      </c>
      <c r="T111" s="7">
        <f t="shared" si="28"/>
        <v>116.84631576228792</v>
      </c>
      <c r="U111" s="7">
        <f t="shared" si="45"/>
        <v>29.211578940571979</v>
      </c>
      <c r="V111" s="7">
        <f t="shared" si="36"/>
        <v>107208323.07703373</v>
      </c>
      <c r="W111" s="7">
        <f t="shared" si="48"/>
        <v>28946247.230799109</v>
      </c>
      <c r="X111" s="11">
        <f t="shared" si="38"/>
        <v>78262105.057813555</v>
      </c>
      <c r="Y111" s="7">
        <f t="shared" si="47"/>
        <v>2956073.7046951526</v>
      </c>
    </row>
    <row r="112" spans="5:25">
      <c r="E112">
        <v>109</v>
      </c>
      <c r="F112" s="2">
        <f t="shared" si="52"/>
        <v>142612800</v>
      </c>
      <c r="G112" s="2">
        <f t="shared" si="53"/>
        <v>19600000</v>
      </c>
      <c r="H112" s="2">
        <f t="shared" si="30"/>
        <v>123012800</v>
      </c>
      <c r="I112" s="2">
        <f t="shared" si="50"/>
        <v>45002342.526400007</v>
      </c>
      <c r="J112" s="2">
        <f t="shared" si="51"/>
        <v>13500702.757920003</v>
      </c>
      <c r="K112" s="2">
        <f t="shared" si="35"/>
        <v>109512097.24208</v>
      </c>
      <c r="L112" s="2">
        <f t="shared" si="49"/>
        <v>-60104365.262510404</v>
      </c>
      <c r="M112" s="2">
        <f t="shared" si="39"/>
        <v>123012800</v>
      </c>
      <c r="N112" s="2">
        <f t="shared" si="46"/>
        <v>4507540.3924807291</v>
      </c>
      <c r="P112">
        <v>109</v>
      </c>
      <c r="Q112" s="3">
        <f t="shared" si="29"/>
        <v>335332800</v>
      </c>
      <c r="R112" s="6">
        <f>$C$13+$C$6*$A$18*$C$10+50*'Carbon Tax'!$B$6</f>
        <v>228124447.71138734</v>
      </c>
      <c r="S112" s="3">
        <f t="shared" si="32"/>
        <v>107208352.28861266</v>
      </c>
      <c r="T112" s="7">
        <f t="shared" si="28"/>
        <v>87.634736821715933</v>
      </c>
      <c r="U112" s="7">
        <f t="shared" si="45"/>
        <v>21.908684205428983</v>
      </c>
      <c r="V112" s="7">
        <f t="shared" si="36"/>
        <v>107208330.37992845</v>
      </c>
      <c r="W112" s="7">
        <f t="shared" si="48"/>
        <v>28946249.202580683</v>
      </c>
      <c r="X112" s="11">
        <f t="shared" si="38"/>
        <v>78262103.086031973</v>
      </c>
      <c r="Y112" s="7">
        <f t="shared" si="47"/>
        <v>2867747.0219422681</v>
      </c>
    </row>
    <row r="113" spans="5:25">
      <c r="E113">
        <v>110</v>
      </c>
      <c r="F113" s="2">
        <f t="shared" si="52"/>
        <v>142612800</v>
      </c>
      <c r="G113" s="2">
        <f t="shared" si="53"/>
        <v>19600000</v>
      </c>
      <c r="H113" s="2">
        <f t="shared" si="30"/>
        <v>123012800</v>
      </c>
      <c r="I113" s="2">
        <f t="shared" si="50"/>
        <v>31501639.768480003</v>
      </c>
      <c r="J113" s="2">
        <f t="shared" si="51"/>
        <v>9450491.9305440001</v>
      </c>
      <c r="K113" s="2">
        <f t="shared" si="35"/>
        <v>113562308.069456</v>
      </c>
      <c r="L113" s="2">
        <f t="shared" si="49"/>
        <v>-29442542.083757281</v>
      </c>
      <c r="M113" s="2">
        <f t="shared" si="39"/>
        <v>123012800</v>
      </c>
      <c r="N113" s="2">
        <f t="shared" si="46"/>
        <v>4372856.4149017548</v>
      </c>
      <c r="P113">
        <v>110</v>
      </c>
      <c r="Q113" s="3">
        <f t="shared" si="29"/>
        <v>335332800</v>
      </c>
      <c r="R113" s="6">
        <f>$C$13+$C$6*$A$18*$C$10+50*'Carbon Tax'!$B$6+$C$12</f>
        <v>594924447.7113874</v>
      </c>
      <c r="S113" s="3">
        <f t="shared" si="32"/>
        <v>-259591647.7113874</v>
      </c>
      <c r="T113" s="7">
        <f t="shared" si="28"/>
        <v>65.72605261628695</v>
      </c>
      <c r="U113" s="15">
        <v>0</v>
      </c>
      <c r="V113" s="15">
        <f>S58-U58+$C$12+$C$14</f>
        <v>107208352.2886126</v>
      </c>
      <c r="W113" s="7">
        <f t="shared" si="48"/>
        <v>28946255.117925406</v>
      </c>
      <c r="X113" s="16">
        <f>IF(W113&lt;0,S113,S113-W113+$C$14)</f>
        <v>-288537902.8293128</v>
      </c>
      <c r="Y113" s="7">
        <f t="shared" si="47"/>
        <v>-10256939.272412788</v>
      </c>
    </row>
    <row r="114" spans="5:25">
      <c r="E114">
        <v>111</v>
      </c>
      <c r="F114" s="2">
        <f t="shared" si="52"/>
        <v>142612800</v>
      </c>
      <c r="G114" s="2">
        <f t="shared" si="53"/>
        <v>19600000</v>
      </c>
      <c r="H114" s="2">
        <f t="shared" si="30"/>
        <v>123012800</v>
      </c>
      <c r="I114" s="2">
        <f t="shared" si="50"/>
        <v>22051147.837936003</v>
      </c>
      <c r="J114" s="2">
        <f t="shared" si="51"/>
        <v>6615344.3513808008</v>
      </c>
      <c r="K114" s="2">
        <f t="shared" si="35"/>
        <v>116397455.6486192</v>
      </c>
      <c r="L114" s="2">
        <f t="shared" si="49"/>
        <v>1984770.9413699061</v>
      </c>
      <c r="M114" s="2">
        <f t="shared" si="39"/>
        <v>121028029.05863009</v>
      </c>
      <c r="N114" s="2">
        <f t="shared" si="46"/>
        <v>4173750.3098758105</v>
      </c>
      <c r="P114">
        <v>111</v>
      </c>
      <c r="Q114" s="7">
        <v>0</v>
      </c>
      <c r="R114" s="7">
        <v>0</v>
      </c>
      <c r="S114" s="3">
        <f t="shared" si="32"/>
        <v>0</v>
      </c>
      <c r="T114" s="3">
        <f>$C$12</f>
        <v>366800000</v>
      </c>
      <c r="U114" s="7">
        <f t="shared" ref="U114:U145" si="54">T114*$B$29</f>
        <v>91700000</v>
      </c>
      <c r="V114" s="7">
        <f t="shared" si="36"/>
        <v>-91700000</v>
      </c>
      <c r="W114" s="7">
        <f t="shared" si="48"/>
        <v>-24759000</v>
      </c>
      <c r="X114" s="11">
        <f t="shared" si="38"/>
        <v>0</v>
      </c>
      <c r="Y114" s="7">
        <f t="shared" si="47"/>
        <v>0</v>
      </c>
    </row>
    <row r="115" spans="5:25">
      <c r="E115">
        <v>112</v>
      </c>
      <c r="F115" s="2">
        <f t="shared" si="52"/>
        <v>142612800</v>
      </c>
      <c r="G115" s="2">
        <f t="shared" si="53"/>
        <v>19600000</v>
      </c>
      <c r="H115" s="2">
        <f t="shared" si="30"/>
        <v>123012800</v>
      </c>
      <c r="I115" s="2">
        <f t="shared" si="50"/>
        <v>15435803.486555202</v>
      </c>
      <c r="J115" s="2">
        <f t="shared" si="51"/>
        <v>4630741.04596656</v>
      </c>
      <c r="K115" s="2">
        <f t="shared" si="35"/>
        <v>118382058.95403343</v>
      </c>
      <c r="L115" s="2">
        <f t="shared" si="49"/>
        <v>31963155.917589031</v>
      </c>
      <c r="M115" s="2">
        <f t="shared" si="39"/>
        <v>91049644.082410961</v>
      </c>
      <c r="N115" s="2">
        <f t="shared" si="46"/>
        <v>3046101.3283933694</v>
      </c>
      <c r="P115">
        <v>112</v>
      </c>
      <c r="Q115" s="7">
        <v>0</v>
      </c>
      <c r="R115" s="7">
        <v>0</v>
      </c>
      <c r="S115" s="3">
        <f t="shared" si="32"/>
        <v>0</v>
      </c>
      <c r="T115" s="7">
        <f>T114-U114</f>
        <v>275100000</v>
      </c>
      <c r="U115" s="7">
        <f t="shared" si="54"/>
        <v>68775000</v>
      </c>
      <c r="V115" s="7">
        <f t="shared" si="36"/>
        <v>-68775000</v>
      </c>
      <c r="W115" s="7">
        <f t="shared" si="48"/>
        <v>-43328250</v>
      </c>
      <c r="X115" s="11">
        <f t="shared" si="38"/>
        <v>0</v>
      </c>
      <c r="Y115" s="7">
        <f t="shared" si="47"/>
        <v>0</v>
      </c>
    </row>
    <row r="116" spans="5:25">
      <c r="E116">
        <v>113</v>
      </c>
      <c r="F116" s="2">
        <f t="shared" si="52"/>
        <v>142612800</v>
      </c>
      <c r="G116" s="2">
        <f t="shared" si="53"/>
        <v>19600000</v>
      </c>
      <c r="H116" s="2">
        <f t="shared" si="30"/>
        <v>123012800</v>
      </c>
      <c r="I116" s="2">
        <f t="shared" si="50"/>
        <v>10805062.440588642</v>
      </c>
      <c r="J116" s="2">
        <f t="shared" si="51"/>
        <v>3241518.7321765926</v>
      </c>
      <c r="K116" s="2">
        <f t="shared" si="35"/>
        <v>119771281.26782341</v>
      </c>
      <c r="L116" s="2">
        <f t="shared" si="49"/>
        <v>32338245.942312323</v>
      </c>
      <c r="M116" s="2">
        <f t="shared" si="39"/>
        <v>90674554.05768767</v>
      </c>
      <c r="N116" s="2">
        <f t="shared" si="46"/>
        <v>2942910.8900164561</v>
      </c>
      <c r="P116">
        <v>113</v>
      </c>
      <c r="Q116" s="7">
        <v>0</v>
      </c>
      <c r="R116" s="7">
        <v>0</v>
      </c>
      <c r="S116" s="3">
        <f t="shared" si="32"/>
        <v>0</v>
      </c>
      <c r="T116" s="7">
        <f t="shared" ref="T116:T168" si="55">T115-U115</f>
        <v>206325000</v>
      </c>
      <c r="U116" s="7">
        <f t="shared" si="54"/>
        <v>51581250</v>
      </c>
      <c r="V116" s="7">
        <f t="shared" si="36"/>
        <v>-51581250</v>
      </c>
      <c r="W116" s="7">
        <f t="shared" si="48"/>
        <v>-57255187.5</v>
      </c>
      <c r="X116" s="11">
        <f t="shared" si="38"/>
        <v>0</v>
      </c>
      <c r="Y116" s="7">
        <f t="shared" si="47"/>
        <v>0</v>
      </c>
    </row>
    <row r="117" spans="5:25">
      <c r="E117">
        <v>114</v>
      </c>
      <c r="F117" s="2">
        <f t="shared" si="52"/>
        <v>142612800</v>
      </c>
      <c r="G117" s="2">
        <f t="shared" si="53"/>
        <v>19600000</v>
      </c>
      <c r="H117" s="2">
        <f t="shared" si="30"/>
        <v>123012800</v>
      </c>
      <c r="I117" s="2">
        <f t="shared" si="50"/>
        <v>7563543.7084120493</v>
      </c>
      <c r="J117" s="2">
        <f t="shared" si="51"/>
        <v>2269063.1125236149</v>
      </c>
      <c r="K117" s="2">
        <f t="shared" si="35"/>
        <v>120743736.88747638</v>
      </c>
      <c r="L117" s="2">
        <f t="shared" si="49"/>
        <v>32600808.959618624</v>
      </c>
      <c r="M117" s="2">
        <f t="shared" si="39"/>
        <v>90411991.040381372</v>
      </c>
      <c r="N117" s="2">
        <f t="shared" si="46"/>
        <v>2846710.5255095684</v>
      </c>
      <c r="P117">
        <v>114</v>
      </c>
      <c r="Q117" s="7">
        <v>0</v>
      </c>
      <c r="R117" s="7">
        <v>0</v>
      </c>
      <c r="S117" s="3">
        <f t="shared" si="32"/>
        <v>0</v>
      </c>
      <c r="T117" s="7">
        <f t="shared" si="55"/>
        <v>154743750</v>
      </c>
      <c r="U117" s="7">
        <f t="shared" si="54"/>
        <v>38685937.5</v>
      </c>
      <c r="V117" s="7">
        <f t="shared" si="36"/>
        <v>-38685937.5</v>
      </c>
      <c r="W117" s="7">
        <f t="shared" si="48"/>
        <v>-67700390.625</v>
      </c>
      <c r="X117" s="11">
        <f t="shared" si="38"/>
        <v>0</v>
      </c>
      <c r="Y117" s="7">
        <f t="shared" si="47"/>
        <v>0</v>
      </c>
    </row>
    <row r="118" spans="5:25">
      <c r="E118">
        <v>115</v>
      </c>
      <c r="F118" s="2">
        <f t="shared" si="52"/>
        <v>142612800</v>
      </c>
      <c r="G118" s="2">
        <f t="shared" si="53"/>
        <v>19600000</v>
      </c>
      <c r="H118" s="2">
        <f t="shared" si="30"/>
        <v>123012800</v>
      </c>
      <c r="I118" s="2">
        <f t="shared" si="50"/>
        <v>5294480.595888434</v>
      </c>
      <c r="J118" s="2">
        <f t="shared" si="51"/>
        <v>1588344.1787665302</v>
      </c>
      <c r="K118" s="2">
        <f t="shared" si="35"/>
        <v>121424455.82123347</v>
      </c>
      <c r="L118" s="2">
        <f t="shared" si="49"/>
        <v>32784603.071733039</v>
      </c>
      <c r="M118" s="2">
        <f t="shared" si="39"/>
        <v>90228196.928266957</v>
      </c>
      <c r="N118" s="2">
        <f t="shared" si="46"/>
        <v>2756037.6280472479</v>
      </c>
      <c r="P118">
        <v>115</v>
      </c>
      <c r="Q118" s="7">
        <v>0</v>
      </c>
      <c r="R118" s="7">
        <v>0</v>
      </c>
      <c r="S118" s="3">
        <f t="shared" si="32"/>
        <v>0</v>
      </c>
      <c r="T118" s="7">
        <f t="shared" si="55"/>
        <v>116057812.5</v>
      </c>
      <c r="U118" s="7">
        <f t="shared" si="54"/>
        <v>29014453.125</v>
      </c>
      <c r="V118" s="7">
        <f t="shared" si="36"/>
        <v>-29014453.125</v>
      </c>
      <c r="W118" s="7">
        <f t="shared" si="48"/>
        <v>-75534292.96875</v>
      </c>
      <c r="X118" s="11">
        <f t="shared" si="38"/>
        <v>0</v>
      </c>
      <c r="Y118" s="7">
        <f t="shared" si="47"/>
        <v>0</v>
      </c>
    </row>
    <row r="119" spans="5:25">
      <c r="E119">
        <v>116</v>
      </c>
      <c r="F119" s="2">
        <f t="shared" si="52"/>
        <v>142612800</v>
      </c>
      <c r="G119" s="2">
        <f t="shared" si="53"/>
        <v>19600000</v>
      </c>
      <c r="H119" s="2">
        <f t="shared" si="30"/>
        <v>123012800</v>
      </c>
      <c r="I119" s="2">
        <f t="shared" si="50"/>
        <v>3706136.417121904</v>
      </c>
      <c r="J119" s="2">
        <f t="shared" si="51"/>
        <v>1111840.9251365711</v>
      </c>
      <c r="K119" s="2">
        <f t="shared" si="35"/>
        <v>121900959.07486343</v>
      </c>
      <c r="L119" s="2">
        <f t="shared" si="49"/>
        <v>32913258.950213131</v>
      </c>
      <c r="M119" s="2">
        <f t="shared" si="39"/>
        <v>90099541.049786866</v>
      </c>
      <c r="N119" s="2">
        <f t="shared" si="46"/>
        <v>2669875.6397901718</v>
      </c>
      <c r="P119">
        <v>116</v>
      </c>
      <c r="Q119" s="3">
        <f t="shared" ref="Q119:Q168" si="56">$C$11</f>
        <v>335332800</v>
      </c>
      <c r="R119" s="6">
        <f>$C$13+$C$6*$A$18*$C$10+50*'Carbon Tax'!$B$6</f>
        <v>228124447.71138734</v>
      </c>
      <c r="S119" s="3">
        <f t="shared" si="32"/>
        <v>107208352.28861266</v>
      </c>
      <c r="T119" s="7">
        <f t="shared" si="55"/>
        <v>87043359.375</v>
      </c>
      <c r="U119" s="7">
        <f t="shared" si="54"/>
        <v>21760839.84375</v>
      </c>
      <c r="V119" s="7">
        <f t="shared" si="36"/>
        <v>85447512.444862664</v>
      </c>
      <c r="W119" s="7">
        <f t="shared" si="48"/>
        <v>-52463464.60863708</v>
      </c>
      <c r="X119" s="11">
        <f t="shared" si="38"/>
        <v>107208352.28861266</v>
      </c>
      <c r="Y119" s="7">
        <f t="shared" si="47"/>
        <v>3176852.6767438729</v>
      </c>
    </row>
    <row r="120" spans="5:25">
      <c r="E120">
        <v>117</v>
      </c>
      <c r="F120" s="2">
        <f t="shared" si="52"/>
        <v>142612800</v>
      </c>
      <c r="G120" s="2">
        <f t="shared" si="53"/>
        <v>19600000</v>
      </c>
      <c r="H120" s="2">
        <f t="shared" si="30"/>
        <v>123012800</v>
      </c>
      <c r="I120" s="2">
        <f t="shared" si="50"/>
        <v>2594295.4919853332</v>
      </c>
      <c r="J120" s="2">
        <f t="shared" si="51"/>
        <v>778288.64759559988</v>
      </c>
      <c r="K120" s="2">
        <f t="shared" si="35"/>
        <v>122234511.3524044</v>
      </c>
      <c r="L120" s="2">
        <f t="shared" si="49"/>
        <v>33003318.065149192</v>
      </c>
      <c r="M120" s="2">
        <f t="shared" si="39"/>
        <v>90009481.934850812</v>
      </c>
      <c r="N120" s="2">
        <f t="shared" si="46"/>
        <v>2587511.6046542884</v>
      </c>
      <c r="P120">
        <v>117</v>
      </c>
      <c r="Q120" s="3">
        <f t="shared" si="56"/>
        <v>335332800</v>
      </c>
      <c r="R120" s="6">
        <f>$C$13+$C$6*$A$18*$C$10+50*'Carbon Tax'!$B$6</f>
        <v>228124447.71138734</v>
      </c>
      <c r="S120" s="3">
        <f t="shared" si="32"/>
        <v>107208352.28861266</v>
      </c>
      <c r="T120" s="7">
        <f t="shared" si="55"/>
        <v>65282519.53125</v>
      </c>
      <c r="U120" s="7">
        <f t="shared" si="54"/>
        <v>16320629.8828125</v>
      </c>
      <c r="V120" s="7">
        <f t="shared" si="36"/>
        <v>90887722.405800164</v>
      </c>
      <c r="W120" s="7">
        <f t="shared" si="48"/>
        <v>-27923779.559071034</v>
      </c>
      <c r="X120" s="11">
        <f t="shared" si="38"/>
        <v>107208352.28861266</v>
      </c>
      <c r="Y120" s="7">
        <f t="shared" si="47"/>
        <v>3081929.2556692595</v>
      </c>
    </row>
    <row r="121" spans="5:25">
      <c r="E121">
        <v>118</v>
      </c>
      <c r="F121" s="2">
        <f t="shared" si="52"/>
        <v>142612800</v>
      </c>
      <c r="G121" s="2">
        <f t="shared" si="53"/>
        <v>19600000</v>
      </c>
      <c r="H121" s="2">
        <f t="shared" si="30"/>
        <v>123012800</v>
      </c>
      <c r="I121" s="2">
        <f t="shared" si="50"/>
        <v>1816006.8443897334</v>
      </c>
      <c r="J121" s="2">
        <f t="shared" si="51"/>
        <v>544802.05331691995</v>
      </c>
      <c r="K121" s="2">
        <f t="shared" si="35"/>
        <v>122467997.94668308</v>
      </c>
      <c r="L121" s="2">
        <f t="shared" si="49"/>
        <v>33066359.445604432</v>
      </c>
      <c r="M121" s="2">
        <f t="shared" si="39"/>
        <v>89946440.554395571</v>
      </c>
      <c r="N121" s="2">
        <f t="shared" si="46"/>
        <v>2508439.4138219105</v>
      </c>
      <c r="P121">
        <v>118</v>
      </c>
      <c r="Q121" s="3">
        <f t="shared" si="56"/>
        <v>335332800</v>
      </c>
      <c r="R121" s="6">
        <f>$C$13+$C$6*$A$18*$C$10+50*'Carbon Tax'!$B$6</f>
        <v>228124447.71138734</v>
      </c>
      <c r="S121" s="3">
        <f t="shared" si="32"/>
        <v>107208352.28861266</v>
      </c>
      <c r="T121" s="7">
        <f t="shared" si="55"/>
        <v>48961889.6484375</v>
      </c>
      <c r="U121" s="7">
        <f t="shared" si="54"/>
        <v>12240472.412109375</v>
      </c>
      <c r="V121" s="7">
        <f t="shared" si="36"/>
        <v>94967879.876503289</v>
      </c>
      <c r="W121" s="7">
        <f t="shared" si="48"/>
        <v>-2282451.992415145</v>
      </c>
      <c r="X121" s="11">
        <f t="shared" si="38"/>
        <v>107208352.28861266</v>
      </c>
      <c r="Y121" s="7">
        <f t="shared" si="47"/>
        <v>2989842.1184218656</v>
      </c>
    </row>
    <row r="122" spans="5:25">
      <c r="E122">
        <v>119</v>
      </c>
      <c r="F122" s="2">
        <f t="shared" si="52"/>
        <v>142612800</v>
      </c>
      <c r="G122" s="2">
        <f t="shared" si="53"/>
        <v>19600000</v>
      </c>
      <c r="H122" s="2">
        <f t="shared" si="30"/>
        <v>123012800</v>
      </c>
      <c r="I122" s="2">
        <f t="shared" si="50"/>
        <v>1271204.7910728133</v>
      </c>
      <c r="J122" s="2">
        <f t="shared" si="51"/>
        <v>381361.43732184399</v>
      </c>
      <c r="K122" s="2">
        <f t="shared" si="35"/>
        <v>122631438.56267816</v>
      </c>
      <c r="L122" s="2">
        <f t="shared" si="49"/>
        <v>33110488.411923107</v>
      </c>
      <c r="M122" s="2">
        <f t="shared" si="39"/>
        <v>89902311.58807689</v>
      </c>
      <c r="N122" s="2">
        <f t="shared" si="46"/>
        <v>2432294.081094454</v>
      </c>
      <c r="P122">
        <v>119</v>
      </c>
      <c r="Q122" s="3">
        <f t="shared" si="56"/>
        <v>335332800</v>
      </c>
      <c r="R122" s="6">
        <f>$C$13+$C$6*$A$18*$C$10+50*'Carbon Tax'!$B$6</f>
        <v>228124447.71138734</v>
      </c>
      <c r="S122" s="3">
        <f t="shared" si="32"/>
        <v>107208352.28861266</v>
      </c>
      <c r="T122" s="7">
        <f t="shared" si="55"/>
        <v>36721417.236328125</v>
      </c>
      <c r="U122" s="7">
        <f t="shared" si="54"/>
        <v>9180354.3090820313</v>
      </c>
      <c r="V122" s="7">
        <f t="shared" si="36"/>
        <v>98027997.979530632</v>
      </c>
      <c r="W122" s="7">
        <f t="shared" si="48"/>
        <v>24185107.462058127</v>
      </c>
      <c r="X122" s="11">
        <f t="shared" si="38"/>
        <v>83023244.826554537</v>
      </c>
      <c r="Y122" s="7">
        <f t="shared" si="47"/>
        <v>2246181.9214408924</v>
      </c>
    </row>
    <row r="123" spans="5:25">
      <c r="E123">
        <v>120</v>
      </c>
      <c r="F123" s="2">
        <f t="shared" si="52"/>
        <v>142612800</v>
      </c>
      <c r="G123" s="2">
        <f t="shared" si="53"/>
        <v>19600000</v>
      </c>
      <c r="H123" s="2">
        <f t="shared" si="30"/>
        <v>123012800</v>
      </c>
      <c r="I123" s="2">
        <f t="shared" si="50"/>
        <v>889843.35375096928</v>
      </c>
      <c r="J123" s="2">
        <f t="shared" si="51"/>
        <v>266953.00612529076</v>
      </c>
      <c r="K123" s="2">
        <f t="shared" si="35"/>
        <v>122745846.99387471</v>
      </c>
      <c r="L123" s="2">
        <f t="shared" si="49"/>
        <v>33141378.688346174</v>
      </c>
      <c r="M123" s="2">
        <f t="shared" si="39"/>
        <v>89871421.311653823</v>
      </c>
      <c r="N123" s="2">
        <f t="shared" si="46"/>
        <v>2358807.0907241851</v>
      </c>
      <c r="P123">
        <v>120</v>
      </c>
      <c r="Q123" s="3">
        <f t="shared" si="56"/>
        <v>335332800</v>
      </c>
      <c r="R123" s="6">
        <f>$C$13+$C$6*$A$18*$C$10+50*'Carbon Tax'!$B$6</f>
        <v>228124447.71138734</v>
      </c>
      <c r="S123" s="3">
        <f t="shared" si="32"/>
        <v>107208352.28861266</v>
      </c>
      <c r="T123" s="7">
        <f t="shared" si="55"/>
        <v>27541062.927246094</v>
      </c>
      <c r="U123" s="7">
        <f t="shared" si="54"/>
        <v>6885265.7318115234</v>
      </c>
      <c r="V123" s="7">
        <f t="shared" si="36"/>
        <v>100323086.55680114</v>
      </c>
      <c r="W123" s="7">
        <f t="shared" si="48"/>
        <v>27087233.370336309</v>
      </c>
      <c r="X123" s="11">
        <f t="shared" si="38"/>
        <v>80121118.918276355</v>
      </c>
      <c r="Y123" s="7">
        <f t="shared" si="47"/>
        <v>2102896.1227375087</v>
      </c>
    </row>
    <row r="124" spans="5:25">
      <c r="E124">
        <v>121</v>
      </c>
      <c r="F124" s="2">
        <f t="shared" si="52"/>
        <v>142612800</v>
      </c>
      <c r="G124" s="2">
        <f t="shared" si="53"/>
        <v>19600000</v>
      </c>
      <c r="H124" s="2">
        <f t="shared" si="30"/>
        <v>123012800</v>
      </c>
      <c r="I124" s="2">
        <f t="shared" si="50"/>
        <v>622890.34762567852</v>
      </c>
      <c r="J124" s="2">
        <f t="shared" si="51"/>
        <v>186867.10428770355</v>
      </c>
      <c r="K124" s="2">
        <f t="shared" si="35"/>
        <v>122825932.8957123</v>
      </c>
      <c r="L124" s="2">
        <f t="shared" si="49"/>
        <v>33163001.881842323</v>
      </c>
      <c r="M124" s="2">
        <f t="shared" si="39"/>
        <v>89849798.118157685</v>
      </c>
      <c r="N124" s="2">
        <f t="shared" si="46"/>
        <v>2287776.0558192576</v>
      </c>
      <c r="P124">
        <v>121</v>
      </c>
      <c r="Q124" s="3">
        <f t="shared" si="56"/>
        <v>335332800</v>
      </c>
      <c r="R124" s="6">
        <f>$C$13+$C$6*$A$18*$C$10+50*'Carbon Tax'!$B$6</f>
        <v>228124447.71138734</v>
      </c>
      <c r="S124" s="3">
        <f t="shared" si="32"/>
        <v>107208352.28861266</v>
      </c>
      <c r="T124" s="7">
        <f t="shared" si="55"/>
        <v>20655797.19543457</v>
      </c>
      <c r="U124" s="7">
        <f t="shared" si="54"/>
        <v>5163949.2988586426</v>
      </c>
      <c r="V124" s="7">
        <f t="shared" si="36"/>
        <v>102044402.98975402</v>
      </c>
      <c r="W124" s="7">
        <f t="shared" si="48"/>
        <v>27551988.807233587</v>
      </c>
      <c r="X124" s="11">
        <f t="shared" si="38"/>
        <v>79656363.481379077</v>
      </c>
      <c r="Y124" s="7">
        <f t="shared" si="47"/>
        <v>2028228.4978168095</v>
      </c>
    </row>
    <row r="125" spans="5:25">
      <c r="E125">
        <v>122</v>
      </c>
      <c r="F125" s="2">
        <f t="shared" si="52"/>
        <v>142612800</v>
      </c>
      <c r="G125" s="2">
        <f t="shared" si="53"/>
        <v>19600000</v>
      </c>
      <c r="H125" s="2">
        <f t="shared" si="30"/>
        <v>123012800</v>
      </c>
      <c r="I125" s="2">
        <f t="shared" si="50"/>
        <v>436023.243337975</v>
      </c>
      <c r="J125" s="2">
        <f t="shared" si="51"/>
        <v>130806.9730013925</v>
      </c>
      <c r="K125" s="2">
        <f t="shared" si="35"/>
        <v>122881993.02699861</v>
      </c>
      <c r="L125" s="2">
        <f t="shared" si="49"/>
        <v>33178138.117289625</v>
      </c>
      <c r="M125" s="2">
        <f t="shared" si="39"/>
        <v>89834661.882710367</v>
      </c>
      <c r="N125" s="2">
        <f t="shared" si="46"/>
        <v>2219044.0954011329</v>
      </c>
      <c r="P125">
        <v>122</v>
      </c>
      <c r="Q125" s="3">
        <f t="shared" si="56"/>
        <v>335332800</v>
      </c>
      <c r="R125" s="6">
        <f>$C$13+$C$6*$A$18*$C$10+50*'Carbon Tax'!$B$6</f>
        <v>228124447.71138734</v>
      </c>
      <c r="S125" s="3">
        <f t="shared" si="32"/>
        <v>107208352.28861266</v>
      </c>
      <c r="T125" s="7">
        <f t="shared" si="55"/>
        <v>15491847.896575928</v>
      </c>
      <c r="U125" s="7">
        <f t="shared" si="54"/>
        <v>3872961.9741439819</v>
      </c>
      <c r="V125" s="7">
        <f t="shared" si="36"/>
        <v>103335390.31446868</v>
      </c>
      <c r="W125" s="7">
        <f t="shared" si="48"/>
        <v>27900555.384906545</v>
      </c>
      <c r="X125" s="11">
        <f t="shared" si="38"/>
        <v>79307796.903706118</v>
      </c>
      <c r="Y125" s="7">
        <f t="shared" si="47"/>
        <v>1959015.5375462261</v>
      </c>
    </row>
    <row r="126" spans="5:25">
      <c r="E126">
        <v>123</v>
      </c>
      <c r="F126" s="2">
        <f t="shared" si="52"/>
        <v>142612800</v>
      </c>
      <c r="G126" s="2">
        <f t="shared" si="53"/>
        <v>19600000</v>
      </c>
      <c r="H126" s="2">
        <f t="shared" si="30"/>
        <v>123012800</v>
      </c>
      <c r="I126" s="2">
        <f t="shared" si="50"/>
        <v>305216.2703365825</v>
      </c>
      <c r="J126" s="2">
        <f t="shared" si="51"/>
        <v>91564.881100974744</v>
      </c>
      <c r="K126" s="2">
        <f t="shared" si="35"/>
        <v>122921235.11889903</v>
      </c>
      <c r="L126" s="2">
        <f t="shared" si="49"/>
        <v>33188733.482102741</v>
      </c>
      <c r="M126" s="2">
        <f t="shared" si="39"/>
        <v>89824066.517897263</v>
      </c>
      <c r="N126" s="2">
        <f t="shared" si="46"/>
        <v>2152485.8117964836</v>
      </c>
      <c r="P126">
        <v>123</v>
      </c>
      <c r="Q126" s="3">
        <f t="shared" si="56"/>
        <v>335332800</v>
      </c>
      <c r="R126" s="6">
        <f>$C$13+$C$6*$A$18*$C$10+50*'Carbon Tax'!$B$6</f>
        <v>228124447.71138734</v>
      </c>
      <c r="S126" s="3">
        <f t="shared" si="32"/>
        <v>107208352.28861266</v>
      </c>
      <c r="T126" s="7">
        <f t="shared" si="55"/>
        <v>11618885.922431946</v>
      </c>
      <c r="U126" s="7">
        <f t="shared" si="54"/>
        <v>2904721.4806079865</v>
      </c>
      <c r="V126" s="7">
        <f t="shared" si="36"/>
        <v>104303630.80800468</v>
      </c>
      <c r="W126" s="7">
        <f t="shared" si="48"/>
        <v>28161980.318161264</v>
      </c>
      <c r="X126" s="11">
        <f t="shared" si="38"/>
        <v>79046371.9704514</v>
      </c>
      <c r="Y126" s="7">
        <f t="shared" si="47"/>
        <v>1894216.1130779197</v>
      </c>
    </row>
    <row r="127" spans="5:25">
      <c r="E127">
        <v>124</v>
      </c>
      <c r="F127" s="2">
        <f t="shared" si="52"/>
        <v>142612800</v>
      </c>
      <c r="G127" s="2">
        <f t="shared" si="53"/>
        <v>19600000</v>
      </c>
      <c r="H127" s="2">
        <f t="shared" si="30"/>
        <v>123012800</v>
      </c>
      <c r="I127" s="2">
        <f t="shared" si="50"/>
        <v>213651.38923560776</v>
      </c>
      <c r="J127" s="2">
        <f t="shared" si="51"/>
        <v>64095.416770682321</v>
      </c>
      <c r="K127" s="2">
        <f t="shared" si="35"/>
        <v>122948704.58322932</v>
      </c>
      <c r="L127" s="2">
        <f t="shared" si="49"/>
        <v>33196150.23747192</v>
      </c>
      <c r="M127" s="2">
        <f t="shared" si="39"/>
        <v>89816649.762528077</v>
      </c>
      <c r="N127" s="2">
        <f t="shared" si="46"/>
        <v>2087997.7507466308</v>
      </c>
      <c r="P127">
        <v>124</v>
      </c>
      <c r="Q127" s="3">
        <f t="shared" si="56"/>
        <v>335332800</v>
      </c>
      <c r="R127" s="6">
        <f>$C$13+$C$6*$A$18*$C$10+50*'Carbon Tax'!$B$6</f>
        <v>228124447.71138734</v>
      </c>
      <c r="S127" s="3">
        <f t="shared" si="32"/>
        <v>107208352.28861266</v>
      </c>
      <c r="T127" s="7">
        <f t="shared" si="55"/>
        <v>8714164.4418239594</v>
      </c>
      <c r="U127" s="7">
        <f t="shared" si="54"/>
        <v>2178541.1104559898</v>
      </c>
      <c r="V127" s="7">
        <f t="shared" si="36"/>
        <v>105029811.17815667</v>
      </c>
      <c r="W127" s="7">
        <f t="shared" si="48"/>
        <v>28358049.018102303</v>
      </c>
      <c r="X127" s="11">
        <f t="shared" si="38"/>
        <v>78850303.270510361</v>
      </c>
      <c r="Y127" s="7">
        <f t="shared" si="47"/>
        <v>1833059.4194931062</v>
      </c>
    </row>
    <row r="128" spans="5:25">
      <c r="E128">
        <v>125</v>
      </c>
      <c r="F128" s="2">
        <f t="shared" si="52"/>
        <v>142612800</v>
      </c>
      <c r="G128" s="2">
        <f t="shared" si="53"/>
        <v>19600000</v>
      </c>
      <c r="H128" s="2">
        <f t="shared" si="30"/>
        <v>123012800</v>
      </c>
      <c r="I128" s="2">
        <f t="shared" si="50"/>
        <v>149555.97246492543</v>
      </c>
      <c r="J128" s="2">
        <f t="shared" si="51"/>
        <v>44866.79173947763</v>
      </c>
      <c r="K128" s="2">
        <f t="shared" si="35"/>
        <v>122967933.20826052</v>
      </c>
      <c r="L128" s="2">
        <f t="shared" si="49"/>
        <v>33201341.966230344</v>
      </c>
      <c r="M128" s="2">
        <f t="shared" si="39"/>
        <v>89811458.033769652</v>
      </c>
      <c r="N128" s="2">
        <f t="shared" si="46"/>
        <v>2025491.9061783643</v>
      </c>
      <c r="P128">
        <v>125</v>
      </c>
      <c r="Q128" s="3">
        <f t="shared" si="56"/>
        <v>335332800</v>
      </c>
      <c r="R128" s="6">
        <f>$C$13+$C$6*$A$18*$C$10+50*'Carbon Tax'!$B$6</f>
        <v>228124447.71138734</v>
      </c>
      <c r="S128" s="3">
        <f t="shared" si="32"/>
        <v>107208352.28861266</v>
      </c>
      <c r="T128" s="7">
        <f t="shared" si="55"/>
        <v>6535623.3313679695</v>
      </c>
      <c r="U128" s="7">
        <f t="shared" si="54"/>
        <v>1633905.8328419924</v>
      </c>
      <c r="V128" s="7">
        <f t="shared" si="36"/>
        <v>105574446.45577067</v>
      </c>
      <c r="W128" s="7">
        <f t="shared" si="48"/>
        <v>28505100.543058082</v>
      </c>
      <c r="X128" s="11">
        <f t="shared" si="38"/>
        <v>78703251.745554581</v>
      </c>
      <c r="Y128" s="7">
        <f t="shared" si="47"/>
        <v>1774971.7340141481</v>
      </c>
    </row>
    <row r="129" spans="5:25">
      <c r="E129">
        <v>126</v>
      </c>
      <c r="F129" s="2">
        <f t="shared" si="52"/>
        <v>142612800</v>
      </c>
      <c r="G129" s="2">
        <f t="shared" si="53"/>
        <v>19600000</v>
      </c>
      <c r="H129" s="2">
        <f t="shared" si="30"/>
        <v>123012800</v>
      </c>
      <c r="I129" s="2">
        <f t="shared" si="50"/>
        <v>104689.1807254478</v>
      </c>
      <c r="J129" s="2">
        <f t="shared" si="51"/>
        <v>31406.754217634341</v>
      </c>
      <c r="K129" s="2">
        <f t="shared" si="35"/>
        <v>122981393.24578236</v>
      </c>
      <c r="L129" s="2">
        <f t="shared" si="49"/>
        <v>33204976.17636124</v>
      </c>
      <c r="M129" s="2">
        <f t="shared" si="39"/>
        <v>89807823.823638767</v>
      </c>
      <c r="N129" s="2">
        <f t="shared" si="46"/>
        <v>1964891.2930593716</v>
      </c>
      <c r="P129">
        <v>126</v>
      </c>
      <c r="Q129" s="3">
        <f t="shared" si="56"/>
        <v>335332800</v>
      </c>
      <c r="R129" s="6">
        <f>$C$13+$C$6*$A$18*$C$10+50*'Carbon Tax'!$B$6</f>
        <v>228124447.71138734</v>
      </c>
      <c r="S129" s="3">
        <f t="shared" si="32"/>
        <v>107208352.28861266</v>
      </c>
      <c r="T129" s="7">
        <f t="shared" si="55"/>
        <v>4901717.4985259771</v>
      </c>
      <c r="U129" s="7">
        <f t="shared" si="54"/>
        <v>1225429.3746314943</v>
      </c>
      <c r="V129" s="7">
        <f t="shared" si="36"/>
        <v>105982922.91398117</v>
      </c>
      <c r="W129" s="7">
        <f t="shared" si="48"/>
        <v>28615389.186774917</v>
      </c>
      <c r="X129" s="11">
        <f t="shared" si="38"/>
        <v>78592963.101837754</v>
      </c>
      <c r="Y129" s="7">
        <f t="shared" si="47"/>
        <v>1719523.1141308432</v>
      </c>
    </row>
    <row r="130" spans="5:25">
      <c r="E130">
        <v>127</v>
      </c>
      <c r="F130" s="2">
        <f t="shared" si="52"/>
        <v>142612800</v>
      </c>
      <c r="G130" s="2">
        <f t="shared" si="53"/>
        <v>19600000</v>
      </c>
      <c r="H130" s="2">
        <f t="shared" si="30"/>
        <v>123012800</v>
      </c>
      <c r="I130" s="2">
        <f t="shared" si="50"/>
        <v>73282.426507813463</v>
      </c>
      <c r="J130" s="2">
        <f t="shared" si="51"/>
        <v>21984.727952344037</v>
      </c>
      <c r="K130" s="2">
        <f t="shared" si="35"/>
        <v>122990815.27204765</v>
      </c>
      <c r="L130" s="2">
        <f t="shared" si="49"/>
        <v>33207520.123452868</v>
      </c>
      <c r="M130" s="2">
        <f t="shared" si="39"/>
        <v>89805279.876547128</v>
      </c>
      <c r="N130" s="2">
        <f t="shared" si="46"/>
        <v>1906126.9251454365</v>
      </c>
      <c r="P130">
        <v>127</v>
      </c>
      <c r="Q130" s="3">
        <f t="shared" si="56"/>
        <v>335332800</v>
      </c>
      <c r="R130" s="6">
        <f>$C$13+$C$6*$A$18*$C$10+50*'Carbon Tax'!$B$6</f>
        <v>228124447.71138734</v>
      </c>
      <c r="S130" s="3">
        <f t="shared" si="32"/>
        <v>107208352.28861266</v>
      </c>
      <c r="T130" s="7">
        <f t="shared" si="55"/>
        <v>3676288.1238944829</v>
      </c>
      <c r="U130" s="7">
        <f t="shared" si="54"/>
        <v>919072.03097362071</v>
      </c>
      <c r="V130" s="7">
        <f t="shared" si="36"/>
        <v>106289280.25763905</v>
      </c>
      <c r="W130" s="7">
        <f t="shared" si="48"/>
        <v>28698105.669562545</v>
      </c>
      <c r="X130" s="11">
        <f t="shared" si="38"/>
        <v>78510246.619050115</v>
      </c>
      <c r="Y130" s="7">
        <f t="shared" si="47"/>
        <v>1666388.6041678214</v>
      </c>
    </row>
    <row r="131" spans="5:25">
      <c r="E131">
        <v>128</v>
      </c>
      <c r="F131" s="2">
        <f t="shared" si="52"/>
        <v>142612800</v>
      </c>
      <c r="G131" s="2">
        <f t="shared" si="53"/>
        <v>19600000</v>
      </c>
      <c r="H131" s="2">
        <f t="shared" ref="H131:H168" si="57">$F131-$G131</f>
        <v>123012800</v>
      </c>
      <c r="I131" s="2">
        <f t="shared" si="50"/>
        <v>51297.698555469426</v>
      </c>
      <c r="J131" s="2">
        <f t="shared" si="51"/>
        <v>15389.309566640826</v>
      </c>
      <c r="K131" s="2">
        <f t="shared" si="35"/>
        <v>122997410.69043335</v>
      </c>
      <c r="L131" s="2">
        <f t="shared" si="49"/>
        <v>33209300.886417009</v>
      </c>
      <c r="M131" s="2">
        <f t="shared" si="39"/>
        <v>89803499.113582999</v>
      </c>
      <c r="N131" s="2">
        <f t="shared" ref="N131:N162" si="58">M131/((1+$B$16)^E131)</f>
        <v>1849135.747240989</v>
      </c>
      <c r="P131">
        <v>128</v>
      </c>
      <c r="Q131" s="3">
        <f t="shared" si="56"/>
        <v>335332800</v>
      </c>
      <c r="R131" s="6">
        <f>$C$13+$C$6*$A$18*$C$10+50*'Carbon Tax'!$B$6</f>
        <v>228124447.71138734</v>
      </c>
      <c r="S131" s="3">
        <f t="shared" ref="S131:S168" si="59">Q131-R131</f>
        <v>107208352.28861266</v>
      </c>
      <c r="T131" s="7">
        <f t="shared" si="55"/>
        <v>2757216.0929208621</v>
      </c>
      <c r="U131" s="7">
        <f t="shared" si="54"/>
        <v>689304.02323021553</v>
      </c>
      <c r="V131" s="7">
        <f t="shared" si="36"/>
        <v>106519048.26538245</v>
      </c>
      <c r="W131" s="7">
        <f t="shared" si="48"/>
        <v>28760143.031653263</v>
      </c>
      <c r="X131" s="11">
        <f t="shared" si="38"/>
        <v>78448209.256959409</v>
      </c>
      <c r="Y131" s="7">
        <f t="shared" ref="Y131:Y162" si="60">X131/((1+$B$16)^P131)</f>
        <v>1615319.9983957442</v>
      </c>
    </row>
    <row r="132" spans="5:25">
      <c r="E132">
        <v>129</v>
      </c>
      <c r="F132" s="2">
        <f t="shared" si="52"/>
        <v>142612800</v>
      </c>
      <c r="G132" s="2">
        <f t="shared" si="53"/>
        <v>19600000</v>
      </c>
      <c r="H132" s="2">
        <f t="shared" si="57"/>
        <v>123012800</v>
      </c>
      <c r="I132" s="2">
        <f t="shared" si="50"/>
        <v>35908.388988828599</v>
      </c>
      <c r="J132" s="2">
        <f t="shared" si="51"/>
        <v>10772.516696648579</v>
      </c>
      <c r="K132" s="2">
        <f t="shared" ref="K132:K167" si="61">H132-J132</f>
        <v>123002027.48330335</v>
      </c>
      <c r="L132" s="2">
        <f t="shared" si="49"/>
        <v>33210547.420491908</v>
      </c>
      <c r="M132" s="2">
        <f t="shared" si="39"/>
        <v>89802252.579508096</v>
      </c>
      <c r="N132" s="2">
        <f t="shared" si="58"/>
        <v>1793859.2161140162</v>
      </c>
      <c r="P132">
        <v>129</v>
      </c>
      <c r="Q132" s="3">
        <f t="shared" si="56"/>
        <v>335332800</v>
      </c>
      <c r="R132" s="6">
        <f>$C$13+$C$6*$A$18*$C$10+50*'Carbon Tax'!$B$6</f>
        <v>228124447.71138734</v>
      </c>
      <c r="S132" s="3">
        <f t="shared" si="59"/>
        <v>107208352.28861266</v>
      </c>
      <c r="T132" s="7">
        <f t="shared" si="55"/>
        <v>2067912.0696906466</v>
      </c>
      <c r="U132" s="7">
        <f t="shared" si="54"/>
        <v>516978.01742266165</v>
      </c>
      <c r="V132" s="7">
        <f t="shared" ref="V132:V167" si="62">S132-U132</f>
        <v>106691374.27119</v>
      </c>
      <c r="W132" s="7">
        <f t="shared" si="48"/>
        <v>28806671.053221304</v>
      </c>
      <c r="X132" s="11">
        <f t="shared" si="38"/>
        <v>78401681.235391364</v>
      </c>
      <c r="Y132" s="7">
        <f t="shared" si="60"/>
        <v>1566125.2853142018</v>
      </c>
    </row>
    <row r="133" spans="5:25">
      <c r="E133">
        <v>130</v>
      </c>
      <c r="F133" s="2">
        <f t="shared" si="52"/>
        <v>142612800</v>
      </c>
      <c r="G133" s="2">
        <f t="shared" si="53"/>
        <v>19600000</v>
      </c>
      <c r="H133" s="2">
        <f t="shared" si="57"/>
        <v>123012800</v>
      </c>
      <c r="I133" s="2">
        <f t="shared" si="50"/>
        <v>25135.872292180022</v>
      </c>
      <c r="J133" s="2">
        <f t="shared" si="51"/>
        <v>7540.761687654006</v>
      </c>
      <c r="K133" s="2">
        <f t="shared" si="61"/>
        <v>123005259.23831235</v>
      </c>
      <c r="L133" s="2">
        <f t="shared" si="49"/>
        <v>33211419.994344335</v>
      </c>
      <c r="M133" s="2">
        <f t="shared" si="39"/>
        <v>89801380.005655661</v>
      </c>
      <c r="N133" s="2">
        <f t="shared" si="58"/>
        <v>1740242.3223475823</v>
      </c>
      <c r="P133">
        <v>130</v>
      </c>
      <c r="Q133" s="3">
        <f t="shared" si="56"/>
        <v>335332800</v>
      </c>
      <c r="R133" s="6">
        <f>$C$13+$C$6*$A$18*$C$10+50*'Carbon Tax'!$B$6</f>
        <v>228124447.71138734</v>
      </c>
      <c r="S133" s="3">
        <f t="shared" si="59"/>
        <v>107208352.28861266</v>
      </c>
      <c r="T133" s="7">
        <f t="shared" si="55"/>
        <v>1550934.052267985</v>
      </c>
      <c r="U133" s="7">
        <f t="shared" si="54"/>
        <v>387733.51306699624</v>
      </c>
      <c r="V133" s="7">
        <f t="shared" si="62"/>
        <v>106820618.77554567</v>
      </c>
      <c r="W133" s="7">
        <f t="shared" ref="W133:W164" si="63">IF(W132&lt;0,V133*$B$15+W132,V133*$B$15)</f>
        <v>28841567.069397334</v>
      </c>
      <c r="X133" s="11">
        <f t="shared" ref="X133:X167" si="64">IF(W133&lt;0,S133,S133-W133)</f>
        <v>78366785.219215333</v>
      </c>
      <c r="Y133" s="7">
        <f t="shared" si="60"/>
        <v>1518653.6810037049</v>
      </c>
    </row>
    <row r="134" spans="5:25">
      <c r="E134">
        <v>131</v>
      </c>
      <c r="F134" s="2">
        <f t="shared" si="52"/>
        <v>142612800</v>
      </c>
      <c r="G134" s="2">
        <f t="shared" si="53"/>
        <v>19600000</v>
      </c>
      <c r="H134" s="2">
        <f t="shared" si="57"/>
        <v>123012800</v>
      </c>
      <c r="I134" s="2">
        <f t="shared" si="50"/>
        <v>17595.110604526017</v>
      </c>
      <c r="J134" s="2">
        <f t="shared" si="51"/>
        <v>5278.533181357805</v>
      </c>
      <c r="K134" s="2">
        <f t="shared" si="61"/>
        <v>123007521.46681865</v>
      </c>
      <c r="L134" s="2">
        <f t="shared" si="49"/>
        <v>33212030.796041038</v>
      </c>
      <c r="M134" s="2">
        <f t="shared" ref="M134:M167" si="65">IF(L134&lt;0,H134,H134-L134)</f>
        <v>89800769.203958958</v>
      </c>
      <c r="N134" s="2">
        <f t="shared" si="58"/>
        <v>1688232.9120568053</v>
      </c>
      <c r="P134">
        <v>131</v>
      </c>
      <c r="Q134" s="3">
        <f t="shared" si="56"/>
        <v>335332800</v>
      </c>
      <c r="R134" s="6">
        <f>$C$13+$C$6*$A$18*$C$10+50*'Carbon Tax'!$B$6</f>
        <v>228124447.71138734</v>
      </c>
      <c r="S134" s="3">
        <f t="shared" si="59"/>
        <v>107208352.28861266</v>
      </c>
      <c r="T134" s="7">
        <f t="shared" si="55"/>
        <v>1163200.5392009886</v>
      </c>
      <c r="U134" s="7">
        <f t="shared" si="54"/>
        <v>290800.13480024715</v>
      </c>
      <c r="V134" s="7">
        <f t="shared" si="62"/>
        <v>106917552.15381242</v>
      </c>
      <c r="W134" s="7">
        <f t="shared" si="63"/>
        <v>28867739.081529357</v>
      </c>
      <c r="X134" s="11">
        <f t="shared" si="64"/>
        <v>78340613.207083315</v>
      </c>
      <c r="Y134" s="7">
        <f t="shared" si="60"/>
        <v>1472784.7293437149</v>
      </c>
    </row>
    <row r="135" spans="5:25">
      <c r="E135">
        <v>132</v>
      </c>
      <c r="F135" s="2">
        <f t="shared" si="52"/>
        <v>142612800</v>
      </c>
      <c r="G135" s="2">
        <f>$B$13+$B$12</f>
        <v>1134800000</v>
      </c>
      <c r="H135" s="2">
        <f t="shared" si="57"/>
        <v>-992187200</v>
      </c>
      <c r="I135" s="2">
        <f t="shared" si="50"/>
        <v>12316.577423168212</v>
      </c>
      <c r="J135" s="13">
        <v>0</v>
      </c>
      <c r="K135" s="13">
        <f>H135-J135+$B$12+$B$14</f>
        <v>123012800</v>
      </c>
      <c r="L135" s="2">
        <f t="shared" si="49"/>
        <v>33213456.000000004</v>
      </c>
      <c r="M135" s="13">
        <f>IF(L135&lt;0,H135,H135-L135+$B$14)</f>
        <v>-1025400656</v>
      </c>
      <c r="N135" s="2">
        <f t="shared" si="58"/>
        <v>-18701286.64460798</v>
      </c>
      <c r="P135">
        <v>132</v>
      </c>
      <c r="Q135" s="3">
        <f t="shared" si="56"/>
        <v>335332800</v>
      </c>
      <c r="R135" s="6">
        <f>$C$13+$C$6*$A$18*$C$10+50*'Carbon Tax'!$B$6</f>
        <v>228124447.71138734</v>
      </c>
      <c r="S135" s="3">
        <f t="shared" si="59"/>
        <v>107208352.28861266</v>
      </c>
      <c r="T135" s="7">
        <f t="shared" si="55"/>
        <v>872400.40440074145</v>
      </c>
      <c r="U135" s="7">
        <f t="shared" si="54"/>
        <v>218100.10110018536</v>
      </c>
      <c r="V135" s="7">
        <f t="shared" si="62"/>
        <v>106990252.18751247</v>
      </c>
      <c r="W135" s="7">
        <f t="shared" si="63"/>
        <v>28887368.090628371</v>
      </c>
      <c r="X135" s="11">
        <f t="shared" si="64"/>
        <v>78320984.197984293</v>
      </c>
      <c r="Y135" s="7">
        <f t="shared" si="60"/>
        <v>1428420.3615472587</v>
      </c>
    </row>
    <row r="136" spans="5:25">
      <c r="E136">
        <v>133</v>
      </c>
      <c r="F136" s="2">
        <v>0</v>
      </c>
      <c r="G136" s="2">
        <v>0</v>
      </c>
      <c r="H136" s="2">
        <f t="shared" si="57"/>
        <v>0</v>
      </c>
      <c r="I136" s="2">
        <v>1115200000</v>
      </c>
      <c r="J136" s="2">
        <v>0</v>
      </c>
      <c r="K136" s="2">
        <f t="shared" si="61"/>
        <v>0</v>
      </c>
      <c r="L136" s="2">
        <f>K136*$B$15</f>
        <v>0</v>
      </c>
      <c r="M136" s="2">
        <f t="shared" si="65"/>
        <v>0</v>
      </c>
      <c r="N136" s="2">
        <f t="shared" si="58"/>
        <v>0</v>
      </c>
      <c r="P136">
        <v>133</v>
      </c>
      <c r="Q136" s="3">
        <f t="shared" si="56"/>
        <v>335332800</v>
      </c>
      <c r="R136" s="6">
        <f>$C$13+$C$6*$A$18*$C$10+50*'Carbon Tax'!$B$6</f>
        <v>228124447.71138734</v>
      </c>
      <c r="S136" s="3">
        <f t="shared" si="59"/>
        <v>107208352.28861266</v>
      </c>
      <c r="T136" s="7">
        <f t="shared" si="55"/>
        <v>654300.30330055603</v>
      </c>
      <c r="U136" s="7">
        <f t="shared" si="54"/>
        <v>163575.07582513901</v>
      </c>
      <c r="V136" s="7">
        <f t="shared" si="62"/>
        <v>107044777.21278752</v>
      </c>
      <c r="W136" s="7">
        <f t="shared" si="63"/>
        <v>28902089.847452633</v>
      </c>
      <c r="X136" s="11">
        <f t="shared" si="64"/>
        <v>78306262.441160023</v>
      </c>
      <c r="Y136" s="7">
        <f t="shared" si="60"/>
        <v>1385479.1091608889</v>
      </c>
    </row>
    <row r="137" spans="5:25">
      <c r="E137">
        <v>134</v>
      </c>
      <c r="F137" s="2">
        <v>0</v>
      </c>
      <c r="G137" s="2">
        <v>0</v>
      </c>
      <c r="H137" s="2">
        <f t="shared" si="57"/>
        <v>0</v>
      </c>
      <c r="I137" s="2">
        <f>I136-J136</f>
        <v>1115200000</v>
      </c>
      <c r="J137" s="2">
        <f>I137*0.3</f>
        <v>334560000</v>
      </c>
      <c r="K137" s="2">
        <f t="shared" si="61"/>
        <v>-334560000</v>
      </c>
      <c r="L137" s="2">
        <f t="shared" ref="L137:L168" si="66">IF(L136&lt;0,K137*$B$15+L136,K137*$B$15)</f>
        <v>-90331200</v>
      </c>
      <c r="M137" s="2">
        <f t="shared" si="65"/>
        <v>0</v>
      </c>
      <c r="N137" s="2">
        <f t="shared" si="58"/>
        <v>0</v>
      </c>
      <c r="P137">
        <v>134</v>
      </c>
      <c r="Q137" s="3">
        <f t="shared" si="56"/>
        <v>335332800</v>
      </c>
      <c r="R137" s="6">
        <f>$C$13+$C$6*$A$18*$C$10+50*'Carbon Tax'!$B$6</f>
        <v>228124447.71138734</v>
      </c>
      <c r="S137" s="3">
        <f t="shared" si="59"/>
        <v>107208352.28861266</v>
      </c>
      <c r="T137" s="7">
        <f t="shared" si="55"/>
        <v>490725.22747541702</v>
      </c>
      <c r="U137" s="7">
        <f t="shared" si="54"/>
        <v>122681.30686885426</v>
      </c>
      <c r="V137" s="7">
        <f t="shared" si="62"/>
        <v>107085670.98174381</v>
      </c>
      <c r="W137" s="7">
        <f t="shared" si="63"/>
        <v>28913131.165070832</v>
      </c>
      <c r="X137" s="11">
        <f t="shared" si="64"/>
        <v>78295221.123541832</v>
      </c>
      <c r="Y137" s="7">
        <f t="shared" si="60"/>
        <v>1343891.8841916576</v>
      </c>
    </row>
    <row r="138" spans="5:25">
      <c r="E138">
        <v>135</v>
      </c>
      <c r="F138" s="2">
        <v>0</v>
      </c>
      <c r="G138" s="2">
        <v>0</v>
      </c>
      <c r="H138" s="2">
        <f t="shared" si="57"/>
        <v>0</v>
      </c>
      <c r="I138" s="2">
        <f t="shared" ref="I138:I168" si="67">I137-J137</f>
        <v>780640000</v>
      </c>
      <c r="J138" s="2">
        <f t="shared" ref="J138:J167" si="68">I138*0.3</f>
        <v>234192000</v>
      </c>
      <c r="K138" s="2">
        <f t="shared" si="61"/>
        <v>-234192000</v>
      </c>
      <c r="L138" s="2">
        <f t="shared" si="66"/>
        <v>-153563040</v>
      </c>
      <c r="M138" s="2">
        <f t="shared" si="65"/>
        <v>0</v>
      </c>
      <c r="N138" s="2">
        <f t="shared" si="58"/>
        <v>0</v>
      </c>
      <c r="P138">
        <v>135</v>
      </c>
      <c r="Q138" s="3">
        <f t="shared" si="56"/>
        <v>335332800</v>
      </c>
      <c r="R138" s="6">
        <f>$C$13+$C$6*$A$18*$C$10+50*'Carbon Tax'!$B$6</f>
        <v>228124447.71138734</v>
      </c>
      <c r="S138" s="3">
        <f t="shared" si="59"/>
        <v>107208352.28861266</v>
      </c>
      <c r="T138" s="7">
        <f t="shared" si="55"/>
        <v>368043.92060656275</v>
      </c>
      <c r="U138" s="7">
        <f t="shared" si="54"/>
        <v>92010.980151640688</v>
      </c>
      <c r="V138" s="7">
        <f t="shared" si="62"/>
        <v>107116341.30846103</v>
      </c>
      <c r="W138" s="7">
        <f t="shared" si="63"/>
        <v>28921412.153284479</v>
      </c>
      <c r="X138" s="11">
        <f t="shared" si="64"/>
        <v>78286940.135328189</v>
      </c>
      <c r="Y138" s="7">
        <f t="shared" si="60"/>
        <v>1303598.8997385241</v>
      </c>
    </row>
    <row r="139" spans="5:25">
      <c r="E139">
        <v>136</v>
      </c>
      <c r="F139" s="2">
        <f t="shared" ref="F139:F168" si="69">$B$11</f>
        <v>142612800</v>
      </c>
      <c r="G139" s="2">
        <f t="shared" ref="G139:G168" si="70">$B$13</f>
        <v>19600000</v>
      </c>
      <c r="H139" s="2">
        <f t="shared" si="57"/>
        <v>123012800</v>
      </c>
      <c r="I139" s="2">
        <f t="shared" si="67"/>
        <v>546448000</v>
      </c>
      <c r="J139" s="2">
        <f t="shared" si="68"/>
        <v>163934400</v>
      </c>
      <c r="K139" s="2">
        <f t="shared" si="61"/>
        <v>-40921600</v>
      </c>
      <c r="L139" s="2">
        <f t="shared" si="66"/>
        <v>-164611872</v>
      </c>
      <c r="M139" s="2">
        <f t="shared" si="65"/>
        <v>123012800</v>
      </c>
      <c r="N139" s="2">
        <f t="shared" si="58"/>
        <v>1987149.585327294</v>
      </c>
      <c r="P139">
        <v>136</v>
      </c>
      <c r="Q139" s="3">
        <f t="shared" si="56"/>
        <v>335332800</v>
      </c>
      <c r="R139" s="6">
        <f>$C$13+$C$6*$A$18*$C$10+50*'Carbon Tax'!$B$6</f>
        <v>228124447.71138734</v>
      </c>
      <c r="S139" s="3">
        <f t="shared" si="59"/>
        <v>107208352.28861266</v>
      </c>
      <c r="T139" s="7">
        <f t="shared" si="55"/>
        <v>276032.94045492203</v>
      </c>
      <c r="U139" s="7">
        <f t="shared" si="54"/>
        <v>69008.235113730509</v>
      </c>
      <c r="V139" s="7">
        <f t="shared" si="62"/>
        <v>107139344.05349894</v>
      </c>
      <c r="W139" s="7">
        <f t="shared" si="63"/>
        <v>28927622.894444715</v>
      </c>
      <c r="X139" s="11">
        <f t="shared" si="64"/>
        <v>78280729.394167945</v>
      </c>
      <c r="Y139" s="7">
        <f t="shared" si="60"/>
        <v>1264547.4207134456</v>
      </c>
    </row>
    <row r="140" spans="5:25">
      <c r="E140">
        <v>137</v>
      </c>
      <c r="F140" s="2">
        <f t="shared" si="69"/>
        <v>142612800</v>
      </c>
      <c r="G140" s="2">
        <f t="shared" si="70"/>
        <v>19600000</v>
      </c>
      <c r="H140" s="2">
        <f t="shared" si="57"/>
        <v>123012800</v>
      </c>
      <c r="I140" s="2">
        <f t="shared" si="67"/>
        <v>382513600</v>
      </c>
      <c r="J140" s="2">
        <f t="shared" si="68"/>
        <v>114754080</v>
      </c>
      <c r="K140" s="2">
        <f t="shared" si="61"/>
        <v>8258720</v>
      </c>
      <c r="L140" s="2">
        <f t="shared" si="66"/>
        <v>-162382017.59999999</v>
      </c>
      <c r="M140" s="2">
        <f t="shared" si="65"/>
        <v>123012800</v>
      </c>
      <c r="N140" s="2">
        <f t="shared" si="58"/>
        <v>1927774.1417610536</v>
      </c>
      <c r="P140">
        <v>137</v>
      </c>
      <c r="Q140" s="3">
        <f t="shared" si="56"/>
        <v>335332800</v>
      </c>
      <c r="R140" s="6">
        <f>$C$13+$C$6*$A$18*$C$10+50*'Carbon Tax'!$B$6</f>
        <v>228124447.71138734</v>
      </c>
      <c r="S140" s="3">
        <f t="shared" si="59"/>
        <v>107208352.28861266</v>
      </c>
      <c r="T140" s="7">
        <f t="shared" si="55"/>
        <v>207024.70534119153</v>
      </c>
      <c r="U140" s="7">
        <f t="shared" si="54"/>
        <v>51756.176335297881</v>
      </c>
      <c r="V140" s="7">
        <f t="shared" si="62"/>
        <v>107156596.11227736</v>
      </c>
      <c r="W140" s="7">
        <f t="shared" si="63"/>
        <v>28932280.950314891</v>
      </c>
      <c r="X140" s="11">
        <f t="shared" si="64"/>
        <v>78276071.338297769</v>
      </c>
      <c r="Y140" s="7">
        <f t="shared" si="60"/>
        <v>1226690.1187893781</v>
      </c>
    </row>
    <row r="141" spans="5:25">
      <c r="E141">
        <v>138</v>
      </c>
      <c r="F141" s="2">
        <f t="shared" si="69"/>
        <v>142612800</v>
      </c>
      <c r="G141" s="2">
        <f t="shared" si="70"/>
        <v>19600000</v>
      </c>
      <c r="H141" s="2">
        <f t="shared" si="57"/>
        <v>123012800</v>
      </c>
      <c r="I141" s="2">
        <f t="shared" si="67"/>
        <v>267759520</v>
      </c>
      <c r="J141" s="2">
        <f t="shared" si="68"/>
        <v>80327856</v>
      </c>
      <c r="K141" s="2">
        <f t="shared" si="61"/>
        <v>42684944</v>
      </c>
      <c r="L141" s="2">
        <f t="shared" si="66"/>
        <v>-150857082.72</v>
      </c>
      <c r="M141" s="2">
        <f t="shared" si="65"/>
        <v>123012800</v>
      </c>
      <c r="N141" s="2">
        <f t="shared" si="58"/>
        <v>1870172.8189377703</v>
      </c>
      <c r="P141">
        <v>138</v>
      </c>
      <c r="Q141" s="3">
        <f t="shared" si="56"/>
        <v>335332800</v>
      </c>
      <c r="R141" s="6">
        <f>$C$13+$C$6*$A$18*$C$10+50*'Carbon Tax'!$B$6</f>
        <v>228124447.71138734</v>
      </c>
      <c r="S141" s="3">
        <f t="shared" si="59"/>
        <v>107208352.28861266</v>
      </c>
      <c r="T141" s="7">
        <f t="shared" si="55"/>
        <v>155268.52900589365</v>
      </c>
      <c r="U141" s="7">
        <f t="shared" si="54"/>
        <v>38817.132251473413</v>
      </c>
      <c r="V141" s="7">
        <f t="shared" si="62"/>
        <v>107169535.15636119</v>
      </c>
      <c r="W141" s="7">
        <f t="shared" si="63"/>
        <v>28935774.492217522</v>
      </c>
      <c r="X141" s="11">
        <f t="shared" si="64"/>
        <v>78272577.796395138</v>
      </c>
      <c r="Y141" s="7">
        <f t="shared" si="60"/>
        <v>1189983.8672317858</v>
      </c>
    </row>
    <row r="142" spans="5:25">
      <c r="E142">
        <v>139</v>
      </c>
      <c r="F142" s="2">
        <f t="shared" si="69"/>
        <v>142612800</v>
      </c>
      <c r="G142" s="2">
        <f t="shared" si="70"/>
        <v>19600000</v>
      </c>
      <c r="H142" s="2">
        <f t="shared" si="57"/>
        <v>123012800</v>
      </c>
      <c r="I142" s="2">
        <f t="shared" si="67"/>
        <v>187431664</v>
      </c>
      <c r="J142" s="2">
        <f t="shared" si="68"/>
        <v>56229499.199999996</v>
      </c>
      <c r="K142" s="2">
        <f t="shared" si="61"/>
        <v>66783300.800000004</v>
      </c>
      <c r="L142" s="2">
        <f t="shared" si="66"/>
        <v>-132825591.50399999</v>
      </c>
      <c r="M142" s="2">
        <f t="shared" si="65"/>
        <v>123012800</v>
      </c>
      <c r="N142" s="2">
        <f t="shared" si="58"/>
        <v>1814292.6066528624</v>
      </c>
      <c r="P142">
        <v>139</v>
      </c>
      <c r="Q142" s="3">
        <f t="shared" si="56"/>
        <v>335332800</v>
      </c>
      <c r="R142" s="6">
        <f>$C$13+$C$6*$A$18*$C$10+50*'Carbon Tax'!$B$6</f>
        <v>228124447.71138734</v>
      </c>
      <c r="S142" s="3">
        <f t="shared" si="59"/>
        <v>107208352.28861266</v>
      </c>
      <c r="T142" s="7">
        <f t="shared" si="55"/>
        <v>116451.39675442025</v>
      </c>
      <c r="U142" s="7">
        <f t="shared" si="54"/>
        <v>29112.849188605061</v>
      </c>
      <c r="V142" s="7">
        <f t="shared" si="62"/>
        <v>107179239.43942405</v>
      </c>
      <c r="W142" s="7">
        <f t="shared" si="63"/>
        <v>28938394.648644496</v>
      </c>
      <c r="X142" s="11">
        <f t="shared" si="64"/>
        <v>78269957.639968172</v>
      </c>
      <c r="Y142" s="7">
        <f t="shared" si="60"/>
        <v>1154388.8560314616</v>
      </c>
    </row>
    <row r="143" spans="5:25">
      <c r="E143">
        <v>140</v>
      </c>
      <c r="F143" s="2">
        <f t="shared" si="69"/>
        <v>142612800</v>
      </c>
      <c r="G143" s="2">
        <f t="shared" si="70"/>
        <v>19600000</v>
      </c>
      <c r="H143" s="2">
        <f t="shared" si="57"/>
        <v>123012800</v>
      </c>
      <c r="I143" s="2">
        <f t="shared" si="67"/>
        <v>131202164.80000001</v>
      </c>
      <c r="J143" s="2">
        <f t="shared" si="68"/>
        <v>39360649.440000005</v>
      </c>
      <c r="K143" s="2">
        <f t="shared" si="61"/>
        <v>83652150.560000002</v>
      </c>
      <c r="L143" s="2">
        <f t="shared" si="66"/>
        <v>-110239510.85279998</v>
      </c>
      <c r="M143" s="2">
        <f t="shared" si="65"/>
        <v>123012800</v>
      </c>
      <c r="N143" s="2">
        <f t="shared" si="58"/>
        <v>1760082.0786310264</v>
      </c>
      <c r="P143">
        <v>140</v>
      </c>
      <c r="Q143" s="3">
        <f t="shared" si="56"/>
        <v>335332800</v>
      </c>
      <c r="R143" s="6">
        <f>$C$13+$C$6*$A$18*$C$10+50*'Carbon Tax'!$B$6</f>
        <v>228124447.71138734</v>
      </c>
      <c r="S143" s="3">
        <f t="shared" si="59"/>
        <v>107208352.28861266</v>
      </c>
      <c r="T143" s="7">
        <f t="shared" si="55"/>
        <v>87338.547565815184</v>
      </c>
      <c r="U143" s="7">
        <f t="shared" si="54"/>
        <v>21834.636891453796</v>
      </c>
      <c r="V143" s="7">
        <f t="shared" si="62"/>
        <v>107186517.65172121</v>
      </c>
      <c r="W143" s="7">
        <f t="shared" si="63"/>
        <v>28940359.765964728</v>
      </c>
      <c r="X143" s="11">
        <f t="shared" si="64"/>
        <v>78267992.522647932</v>
      </c>
      <c r="Y143" s="7">
        <f t="shared" si="60"/>
        <v>1119867.9403244199</v>
      </c>
    </row>
    <row r="144" spans="5:25">
      <c r="E144">
        <v>141</v>
      </c>
      <c r="F144" s="2">
        <f t="shared" si="69"/>
        <v>142612800</v>
      </c>
      <c r="G144" s="2">
        <f t="shared" si="70"/>
        <v>19600000</v>
      </c>
      <c r="H144" s="2">
        <f t="shared" si="57"/>
        <v>123012800</v>
      </c>
      <c r="I144" s="2">
        <f t="shared" si="67"/>
        <v>91841515.360000014</v>
      </c>
      <c r="J144" s="2">
        <f t="shared" si="68"/>
        <v>27552454.608000003</v>
      </c>
      <c r="K144" s="2">
        <f t="shared" si="61"/>
        <v>95460345.39199999</v>
      </c>
      <c r="L144" s="2">
        <f t="shared" si="66"/>
        <v>-84465217.596959978</v>
      </c>
      <c r="M144" s="2">
        <f t="shared" si="65"/>
        <v>123012800</v>
      </c>
      <c r="N144" s="2">
        <f t="shared" si="58"/>
        <v>1707491.3451989004</v>
      </c>
      <c r="P144">
        <v>141</v>
      </c>
      <c r="Q144" s="3">
        <f t="shared" si="56"/>
        <v>335332800</v>
      </c>
      <c r="R144" s="6">
        <f>$C$13+$C$6*$A$18*$C$10+50*'Carbon Tax'!$B$6</f>
        <v>228124447.71138734</v>
      </c>
      <c r="S144" s="3">
        <f t="shared" si="59"/>
        <v>107208352.28861266</v>
      </c>
      <c r="T144" s="7">
        <f t="shared" si="55"/>
        <v>65503.910674361388</v>
      </c>
      <c r="U144" s="7">
        <f t="shared" si="54"/>
        <v>16375.977668590347</v>
      </c>
      <c r="V144" s="7">
        <f t="shared" si="62"/>
        <v>107191976.31094408</v>
      </c>
      <c r="W144" s="7">
        <f t="shared" si="63"/>
        <v>28941833.603954904</v>
      </c>
      <c r="X144" s="11">
        <f t="shared" si="64"/>
        <v>78266518.684657753</v>
      </c>
      <c r="Y144" s="7">
        <f t="shared" si="60"/>
        <v>1086386.1587810467</v>
      </c>
    </row>
    <row r="145" spans="5:25">
      <c r="E145">
        <v>142</v>
      </c>
      <c r="F145" s="2">
        <f t="shared" si="69"/>
        <v>142612800</v>
      </c>
      <c r="G145" s="2">
        <f t="shared" si="70"/>
        <v>19600000</v>
      </c>
      <c r="H145" s="2">
        <f t="shared" si="57"/>
        <v>123012800</v>
      </c>
      <c r="I145" s="2">
        <f t="shared" si="67"/>
        <v>64289060.752000012</v>
      </c>
      <c r="J145" s="2">
        <f t="shared" si="68"/>
        <v>19286718.225600004</v>
      </c>
      <c r="K145" s="2">
        <f t="shared" si="61"/>
        <v>103726081.7744</v>
      </c>
      <c r="L145" s="2">
        <f t="shared" si="66"/>
        <v>-56459175.517871976</v>
      </c>
      <c r="M145" s="2">
        <f t="shared" si="65"/>
        <v>123012800</v>
      </c>
      <c r="N145" s="2">
        <f t="shared" si="58"/>
        <v>1656472.0073718475</v>
      </c>
      <c r="P145">
        <v>142</v>
      </c>
      <c r="Q145" s="3">
        <f t="shared" si="56"/>
        <v>335332800</v>
      </c>
      <c r="R145" s="6">
        <f>$C$13+$C$6*$A$18*$C$10+50*'Carbon Tax'!$B$6</f>
        <v>228124447.71138734</v>
      </c>
      <c r="S145" s="3">
        <f t="shared" si="59"/>
        <v>107208352.28861266</v>
      </c>
      <c r="T145" s="7">
        <f t="shared" si="55"/>
        <v>49127.933005771039</v>
      </c>
      <c r="U145" s="7">
        <f t="shared" si="54"/>
        <v>12281.98325144276</v>
      </c>
      <c r="V145" s="7">
        <f t="shared" si="62"/>
        <v>107196070.30536123</v>
      </c>
      <c r="W145" s="7">
        <f t="shared" si="63"/>
        <v>28942938.982447535</v>
      </c>
      <c r="X145" s="11">
        <f t="shared" si="64"/>
        <v>78265413.306165129</v>
      </c>
      <c r="Y145" s="7">
        <f t="shared" si="60"/>
        <v>1053910.3758881243</v>
      </c>
    </row>
    <row r="146" spans="5:25">
      <c r="E146">
        <v>143</v>
      </c>
      <c r="F146" s="2">
        <f t="shared" si="69"/>
        <v>142612800</v>
      </c>
      <c r="G146" s="2">
        <f t="shared" si="70"/>
        <v>19600000</v>
      </c>
      <c r="H146" s="2">
        <f t="shared" si="57"/>
        <v>123012800</v>
      </c>
      <c r="I146" s="2">
        <f t="shared" si="67"/>
        <v>45002342.526400007</v>
      </c>
      <c r="J146" s="2">
        <f t="shared" si="68"/>
        <v>13500702.757920003</v>
      </c>
      <c r="K146" s="2">
        <f t="shared" si="61"/>
        <v>109512097.24208</v>
      </c>
      <c r="L146" s="2">
        <f t="shared" si="66"/>
        <v>-26890909.262510374</v>
      </c>
      <c r="M146" s="2">
        <f t="shared" si="65"/>
        <v>123012800</v>
      </c>
      <c r="N146" s="2">
        <f t="shared" si="58"/>
        <v>1606977.1123126193</v>
      </c>
      <c r="P146">
        <v>143</v>
      </c>
      <c r="Q146" s="3">
        <f t="shared" si="56"/>
        <v>335332800</v>
      </c>
      <c r="R146" s="6">
        <f>$C$13+$C$6*$A$18*$C$10+50*'Carbon Tax'!$B$6</f>
        <v>228124447.71138734</v>
      </c>
      <c r="S146" s="3">
        <f t="shared" si="59"/>
        <v>107208352.28861266</v>
      </c>
      <c r="T146" s="7">
        <f t="shared" si="55"/>
        <v>36845.949754328278</v>
      </c>
      <c r="U146" s="7">
        <f t="shared" ref="U146:U167" si="71">T146*$B$29</f>
        <v>9211.4874385820694</v>
      </c>
      <c r="V146" s="7">
        <f t="shared" si="62"/>
        <v>107199140.80117407</v>
      </c>
      <c r="W146" s="7">
        <f t="shared" si="63"/>
        <v>28943768.016317002</v>
      </c>
      <c r="X146" s="11">
        <f t="shared" si="64"/>
        <v>78264584.272295654</v>
      </c>
      <c r="Y146" s="7">
        <f t="shared" si="60"/>
        <v>1022409.0145923133</v>
      </c>
    </row>
    <row r="147" spans="5:25">
      <c r="E147">
        <v>144</v>
      </c>
      <c r="F147" s="2">
        <f t="shared" si="69"/>
        <v>142612800</v>
      </c>
      <c r="G147" s="2">
        <f t="shared" si="70"/>
        <v>19600000</v>
      </c>
      <c r="H147" s="2">
        <f t="shared" si="57"/>
        <v>123012800</v>
      </c>
      <c r="I147" s="2">
        <f t="shared" si="67"/>
        <v>31501639.768480003</v>
      </c>
      <c r="J147" s="2">
        <f t="shared" si="68"/>
        <v>9450491.9305440001</v>
      </c>
      <c r="K147" s="2">
        <f t="shared" si="61"/>
        <v>113562308.069456</v>
      </c>
      <c r="L147" s="2">
        <f t="shared" si="66"/>
        <v>3770913.9162427485</v>
      </c>
      <c r="M147" s="2">
        <f t="shared" si="65"/>
        <v>119241886.08375725</v>
      </c>
      <c r="N147" s="2">
        <f t="shared" si="58"/>
        <v>1511171.7081640572</v>
      </c>
      <c r="P147">
        <v>144</v>
      </c>
      <c r="Q147" s="3">
        <f t="shared" si="56"/>
        <v>335332800</v>
      </c>
      <c r="R147" s="6">
        <f>$C$13+$C$6*$A$18*$C$10+50*'Carbon Tax'!$B$6</f>
        <v>228124447.71138734</v>
      </c>
      <c r="S147" s="3">
        <f t="shared" si="59"/>
        <v>107208352.28861266</v>
      </c>
      <c r="T147" s="7">
        <f t="shared" si="55"/>
        <v>27634.462315746208</v>
      </c>
      <c r="U147" s="7">
        <f t="shared" si="71"/>
        <v>6908.6155789365521</v>
      </c>
      <c r="V147" s="7">
        <f t="shared" si="62"/>
        <v>107201443.67303373</v>
      </c>
      <c r="W147" s="7">
        <f t="shared" si="63"/>
        <v>28944389.791719109</v>
      </c>
      <c r="X147" s="11">
        <f t="shared" si="64"/>
        <v>78263962.496893555</v>
      </c>
      <c r="Y147" s="7">
        <f t="shared" si="60"/>
        <v>991851.85490141914</v>
      </c>
    </row>
    <row r="148" spans="5:25">
      <c r="E148">
        <v>145</v>
      </c>
      <c r="F148" s="2">
        <f t="shared" si="69"/>
        <v>142612800</v>
      </c>
      <c r="G148" s="2">
        <f t="shared" si="70"/>
        <v>19600000</v>
      </c>
      <c r="H148" s="2">
        <f t="shared" si="57"/>
        <v>123012800</v>
      </c>
      <c r="I148" s="2">
        <f t="shared" si="67"/>
        <v>22051147.837936003</v>
      </c>
      <c r="J148" s="2">
        <f t="shared" si="68"/>
        <v>6615344.3513808008</v>
      </c>
      <c r="K148" s="2">
        <f t="shared" si="61"/>
        <v>116397455.6486192</v>
      </c>
      <c r="L148" s="2">
        <f t="shared" si="66"/>
        <v>31427313.025127187</v>
      </c>
      <c r="M148" s="2">
        <f t="shared" si="65"/>
        <v>91585486.974872813</v>
      </c>
      <c r="N148" s="2">
        <f t="shared" si="58"/>
        <v>1125996.9821441777</v>
      </c>
      <c r="P148">
        <v>145</v>
      </c>
      <c r="Q148" s="3">
        <f t="shared" si="56"/>
        <v>335332800</v>
      </c>
      <c r="R148" s="6">
        <f>$C$13+$C$6*$A$18*$C$10+50*'Carbon Tax'!$B$6</f>
        <v>228124447.71138734</v>
      </c>
      <c r="S148" s="3">
        <f t="shared" si="59"/>
        <v>107208352.28861266</v>
      </c>
      <c r="T148" s="7">
        <f t="shared" si="55"/>
        <v>20725.846736809657</v>
      </c>
      <c r="U148" s="7">
        <f t="shared" si="71"/>
        <v>5181.4616842024143</v>
      </c>
      <c r="V148" s="7">
        <f t="shared" si="62"/>
        <v>107203170.82692847</v>
      </c>
      <c r="W148" s="7">
        <f t="shared" si="63"/>
        <v>28944856.123270687</v>
      </c>
      <c r="X148" s="11">
        <f t="shared" si="64"/>
        <v>78263496.165341973</v>
      </c>
      <c r="Y148" s="7">
        <f t="shared" si="60"/>
        <v>962209.88068126026</v>
      </c>
    </row>
    <row r="149" spans="5:25">
      <c r="E149">
        <v>146</v>
      </c>
      <c r="F149" s="2">
        <f t="shared" si="69"/>
        <v>142612800</v>
      </c>
      <c r="G149" s="2">
        <f t="shared" si="70"/>
        <v>19600000</v>
      </c>
      <c r="H149" s="2">
        <f t="shared" si="57"/>
        <v>123012800</v>
      </c>
      <c r="I149" s="2">
        <f t="shared" si="67"/>
        <v>15435803.486555202</v>
      </c>
      <c r="J149" s="2">
        <f t="shared" si="68"/>
        <v>4630741.04596656</v>
      </c>
      <c r="K149" s="2">
        <f t="shared" si="61"/>
        <v>118382058.95403343</v>
      </c>
      <c r="L149" s="2">
        <f t="shared" si="66"/>
        <v>31963155.917589031</v>
      </c>
      <c r="M149" s="2">
        <f t="shared" si="65"/>
        <v>91049644.082410961</v>
      </c>
      <c r="N149" s="2">
        <f t="shared" si="58"/>
        <v>1085961.453541015</v>
      </c>
      <c r="P149">
        <v>146</v>
      </c>
      <c r="Q149" s="3">
        <f t="shared" si="56"/>
        <v>335332800</v>
      </c>
      <c r="R149" s="6">
        <f>$C$13+$C$6*$A$18*$C$10+50*'Carbon Tax'!$B$6</f>
        <v>228124447.71138734</v>
      </c>
      <c r="S149" s="3">
        <f t="shared" si="59"/>
        <v>107208352.28861266</v>
      </c>
      <c r="T149" s="7">
        <f t="shared" si="55"/>
        <v>15544.385052607242</v>
      </c>
      <c r="U149" s="7">
        <f t="shared" si="71"/>
        <v>3886.0962631518105</v>
      </c>
      <c r="V149" s="7">
        <f t="shared" si="62"/>
        <v>107204466.19234951</v>
      </c>
      <c r="W149" s="7">
        <f t="shared" si="63"/>
        <v>28945205.871934369</v>
      </c>
      <c r="X149" s="11">
        <f t="shared" si="64"/>
        <v>78263146.416678295</v>
      </c>
      <c r="Y149" s="7">
        <f t="shared" si="60"/>
        <v>933455.16171839519</v>
      </c>
    </row>
    <row r="150" spans="5:25">
      <c r="E150">
        <v>147</v>
      </c>
      <c r="F150" s="2">
        <f t="shared" si="69"/>
        <v>142612800</v>
      </c>
      <c r="G150" s="2">
        <f t="shared" si="70"/>
        <v>19600000</v>
      </c>
      <c r="H150" s="2">
        <f t="shared" si="57"/>
        <v>123012800</v>
      </c>
      <c r="I150" s="2">
        <f t="shared" si="67"/>
        <v>10805062.440588642</v>
      </c>
      <c r="J150" s="2">
        <f t="shared" si="68"/>
        <v>3241518.7321765926</v>
      </c>
      <c r="K150" s="2">
        <f t="shared" si="61"/>
        <v>119771281.26782341</v>
      </c>
      <c r="L150" s="2">
        <f t="shared" si="66"/>
        <v>32338245.942312323</v>
      </c>
      <c r="M150" s="2">
        <f t="shared" si="65"/>
        <v>90674554.05768767</v>
      </c>
      <c r="N150" s="2">
        <f t="shared" si="58"/>
        <v>1049173.1702994877</v>
      </c>
      <c r="P150">
        <v>147</v>
      </c>
      <c r="Q150" s="3">
        <f t="shared" si="56"/>
        <v>335332800</v>
      </c>
      <c r="R150" s="6">
        <f>$C$13+$C$6*$A$18*$C$10+50*'Carbon Tax'!$B$6</f>
        <v>228124447.71138734</v>
      </c>
      <c r="S150" s="3">
        <f t="shared" si="59"/>
        <v>107208352.28861266</v>
      </c>
      <c r="T150" s="7">
        <f t="shared" si="55"/>
        <v>11658.288789455431</v>
      </c>
      <c r="U150" s="7">
        <f t="shared" si="71"/>
        <v>2914.5721973638579</v>
      </c>
      <c r="V150" s="7">
        <f t="shared" si="62"/>
        <v>107205437.7164153</v>
      </c>
      <c r="W150" s="7">
        <f t="shared" si="63"/>
        <v>28945468.183432132</v>
      </c>
      <c r="X150" s="11">
        <f t="shared" si="64"/>
        <v>78262884.105180532</v>
      </c>
      <c r="Y150" s="7">
        <f t="shared" si="60"/>
        <v>905560.76163522073</v>
      </c>
    </row>
    <row r="151" spans="5:25">
      <c r="E151">
        <v>148</v>
      </c>
      <c r="F151" s="2">
        <f t="shared" si="69"/>
        <v>142612800</v>
      </c>
      <c r="G151" s="2">
        <f t="shared" si="70"/>
        <v>19600000</v>
      </c>
      <c r="H151" s="2">
        <f t="shared" si="57"/>
        <v>123012800</v>
      </c>
      <c r="I151" s="2">
        <f t="shared" si="67"/>
        <v>7563543.7084120493</v>
      </c>
      <c r="J151" s="2">
        <f t="shared" si="68"/>
        <v>2269063.1125236149</v>
      </c>
      <c r="K151" s="2">
        <f t="shared" si="61"/>
        <v>120743736.88747638</v>
      </c>
      <c r="L151" s="2">
        <f t="shared" si="66"/>
        <v>32600808.959618624</v>
      </c>
      <c r="M151" s="2">
        <f t="shared" si="65"/>
        <v>90411991.040381372</v>
      </c>
      <c r="N151" s="2">
        <f t="shared" si="58"/>
        <v>1014876.9088136047</v>
      </c>
      <c r="P151">
        <v>148</v>
      </c>
      <c r="Q151" s="3">
        <f t="shared" si="56"/>
        <v>335332800</v>
      </c>
      <c r="R151" s="6">
        <f>$C$13+$C$6*$A$18*$C$10+50*'Carbon Tax'!$B$6</f>
        <v>228124447.71138734</v>
      </c>
      <c r="S151" s="3">
        <f t="shared" si="59"/>
        <v>107208352.28861266</v>
      </c>
      <c r="T151" s="7">
        <f t="shared" si="55"/>
        <v>8743.7165920915741</v>
      </c>
      <c r="U151" s="7">
        <f t="shared" si="71"/>
        <v>2185.9291480228935</v>
      </c>
      <c r="V151" s="7">
        <f t="shared" si="62"/>
        <v>107206166.35946465</v>
      </c>
      <c r="W151" s="7">
        <f t="shared" si="63"/>
        <v>28945664.917055458</v>
      </c>
      <c r="X151" s="11">
        <f t="shared" si="64"/>
        <v>78262687.371557206</v>
      </c>
      <c r="Y151" s="7">
        <f t="shared" si="60"/>
        <v>878500.66480248678</v>
      </c>
    </row>
    <row r="152" spans="5:25">
      <c r="E152">
        <v>149</v>
      </c>
      <c r="F152" s="2">
        <f t="shared" si="69"/>
        <v>142612800</v>
      </c>
      <c r="G152" s="2">
        <f t="shared" si="70"/>
        <v>19600000</v>
      </c>
      <c r="H152" s="2">
        <f t="shared" si="57"/>
        <v>123012800</v>
      </c>
      <c r="I152" s="2">
        <f t="shared" si="67"/>
        <v>5294480.595888434</v>
      </c>
      <c r="J152" s="2">
        <f t="shared" si="68"/>
        <v>1588344.1787665302</v>
      </c>
      <c r="K152" s="2">
        <f t="shared" si="61"/>
        <v>121424455.82123347</v>
      </c>
      <c r="L152" s="2">
        <f t="shared" si="66"/>
        <v>32784603.071733039</v>
      </c>
      <c r="M152" s="2">
        <f t="shared" si="65"/>
        <v>90228196.928266957</v>
      </c>
      <c r="N152" s="2">
        <f t="shared" si="58"/>
        <v>982551.23710757087</v>
      </c>
      <c r="P152">
        <v>149</v>
      </c>
      <c r="Q152" s="3">
        <f t="shared" si="56"/>
        <v>335332800</v>
      </c>
      <c r="R152" s="6">
        <f>$C$13+$C$6*$A$18*$C$10+50*'Carbon Tax'!$B$6</f>
        <v>228124447.71138734</v>
      </c>
      <c r="S152" s="3">
        <f t="shared" si="59"/>
        <v>107208352.28861266</v>
      </c>
      <c r="T152" s="7">
        <f t="shared" si="55"/>
        <v>6557.787444068681</v>
      </c>
      <c r="U152" s="7">
        <f t="shared" si="71"/>
        <v>1639.4468610171702</v>
      </c>
      <c r="V152" s="7">
        <f t="shared" si="62"/>
        <v>107206712.84175165</v>
      </c>
      <c r="W152" s="7">
        <f t="shared" si="63"/>
        <v>28945812.467272948</v>
      </c>
      <c r="X152" s="11">
        <f t="shared" si="64"/>
        <v>78262539.821339712</v>
      </c>
      <c r="Y152" s="7">
        <f t="shared" si="60"/>
        <v>852249.71725604055</v>
      </c>
    </row>
    <row r="153" spans="5:25">
      <c r="E153">
        <v>150</v>
      </c>
      <c r="F153" s="2">
        <f t="shared" si="69"/>
        <v>142612800</v>
      </c>
      <c r="G153" s="2">
        <f t="shared" si="70"/>
        <v>19600000</v>
      </c>
      <c r="H153" s="2">
        <f t="shared" si="57"/>
        <v>123012800</v>
      </c>
      <c r="I153" s="2">
        <f t="shared" si="67"/>
        <v>3706136.417121904</v>
      </c>
      <c r="J153" s="2">
        <f t="shared" si="68"/>
        <v>1111840.9251365711</v>
      </c>
      <c r="K153" s="2">
        <f t="shared" si="61"/>
        <v>121900959.07486343</v>
      </c>
      <c r="L153" s="2">
        <f t="shared" si="66"/>
        <v>32913258.950213131</v>
      </c>
      <c r="M153" s="2">
        <f t="shared" si="65"/>
        <v>90099541.049786866</v>
      </c>
      <c r="N153" s="2">
        <f t="shared" si="58"/>
        <v>951833.7435247195</v>
      </c>
      <c r="P153">
        <v>150</v>
      </c>
      <c r="Q153" s="3">
        <f t="shared" si="56"/>
        <v>335332800</v>
      </c>
      <c r="R153" s="6">
        <f>$C$13+$C$6*$A$18*$C$10+50*'Carbon Tax'!$B$6</f>
        <v>228124447.71138734</v>
      </c>
      <c r="S153" s="3">
        <f t="shared" si="59"/>
        <v>107208352.28861266</v>
      </c>
      <c r="T153" s="7">
        <f t="shared" si="55"/>
        <v>4918.3405830515112</v>
      </c>
      <c r="U153" s="7">
        <f t="shared" si="71"/>
        <v>1229.5851457628778</v>
      </c>
      <c r="V153" s="7">
        <f t="shared" si="62"/>
        <v>107207122.70346691</v>
      </c>
      <c r="W153" s="7">
        <f t="shared" si="63"/>
        <v>28945923.129936066</v>
      </c>
      <c r="X153" s="11">
        <f t="shared" si="64"/>
        <v>78262429.158676594</v>
      </c>
      <c r="Y153" s="7">
        <f t="shared" si="60"/>
        <v>826783.57797936327</v>
      </c>
    </row>
    <row r="154" spans="5:25">
      <c r="E154">
        <v>151</v>
      </c>
      <c r="F154" s="2">
        <f t="shared" si="69"/>
        <v>142612800</v>
      </c>
      <c r="G154" s="2">
        <f t="shared" si="70"/>
        <v>19600000</v>
      </c>
      <c r="H154" s="2">
        <f t="shared" si="57"/>
        <v>123012800</v>
      </c>
      <c r="I154" s="2">
        <f t="shared" si="67"/>
        <v>2594295.4919853332</v>
      </c>
      <c r="J154" s="2">
        <f t="shared" si="68"/>
        <v>778288.64759559988</v>
      </c>
      <c r="K154" s="2">
        <f t="shared" si="61"/>
        <v>122234511.3524044</v>
      </c>
      <c r="L154" s="2">
        <f t="shared" si="66"/>
        <v>33003318.065149192</v>
      </c>
      <c r="M154" s="2">
        <f t="shared" si="65"/>
        <v>90009481.934850812</v>
      </c>
      <c r="N154" s="2">
        <f t="shared" si="58"/>
        <v>922470.25305841828</v>
      </c>
      <c r="P154">
        <v>151</v>
      </c>
      <c r="Q154" s="3">
        <f t="shared" si="56"/>
        <v>335332800</v>
      </c>
      <c r="R154" s="6">
        <f>$C$13+$C$6*$A$18*$C$10+50*'Carbon Tax'!$B$6</f>
        <v>228124447.71138734</v>
      </c>
      <c r="S154" s="3">
        <f t="shared" si="59"/>
        <v>107208352.28861266</v>
      </c>
      <c r="T154" s="7">
        <f t="shared" si="55"/>
        <v>3688.7554372886334</v>
      </c>
      <c r="U154" s="7">
        <f t="shared" si="71"/>
        <v>922.18885932215835</v>
      </c>
      <c r="V154" s="7">
        <f t="shared" si="62"/>
        <v>107207430.09975334</v>
      </c>
      <c r="W154" s="7">
        <f t="shared" si="63"/>
        <v>28946006.126933403</v>
      </c>
      <c r="X154" s="11">
        <f t="shared" si="64"/>
        <v>78262346.161679268</v>
      </c>
      <c r="Y154" s="7">
        <f t="shared" si="60"/>
        <v>802078.67789934156</v>
      </c>
    </row>
    <row r="155" spans="5:25">
      <c r="E155">
        <v>152</v>
      </c>
      <c r="F155" s="2">
        <f t="shared" si="69"/>
        <v>142612800</v>
      </c>
      <c r="G155" s="2">
        <f t="shared" si="70"/>
        <v>19600000</v>
      </c>
      <c r="H155" s="2">
        <f t="shared" si="57"/>
        <v>123012800</v>
      </c>
      <c r="I155" s="2">
        <f t="shared" si="67"/>
        <v>1816006.8443897334</v>
      </c>
      <c r="J155" s="2">
        <f t="shared" si="68"/>
        <v>544802.05331691995</v>
      </c>
      <c r="K155" s="2">
        <f t="shared" si="61"/>
        <v>122467997.94668308</v>
      </c>
      <c r="L155" s="2">
        <f t="shared" si="66"/>
        <v>33066359.445604432</v>
      </c>
      <c r="M155" s="2">
        <f t="shared" si="65"/>
        <v>89946440.554395571</v>
      </c>
      <c r="N155" s="2">
        <f t="shared" si="58"/>
        <v>894280.33354044461</v>
      </c>
      <c r="P155">
        <v>152</v>
      </c>
      <c r="Q155" s="3">
        <f t="shared" si="56"/>
        <v>335332800</v>
      </c>
      <c r="R155" s="6">
        <f>$C$13+$C$6*$A$18*$C$10+50*'Carbon Tax'!$B$6</f>
        <v>228124447.71138734</v>
      </c>
      <c r="S155" s="3">
        <f t="shared" si="59"/>
        <v>107208352.28861266</v>
      </c>
      <c r="T155" s="7">
        <f t="shared" si="55"/>
        <v>2766.5665779664751</v>
      </c>
      <c r="U155" s="7">
        <f t="shared" si="71"/>
        <v>691.64164449161876</v>
      </c>
      <c r="V155" s="7">
        <f t="shared" si="62"/>
        <v>107207660.64696817</v>
      </c>
      <c r="W155" s="7">
        <f t="shared" si="63"/>
        <v>28946068.374681409</v>
      </c>
      <c r="X155" s="11">
        <f t="shared" si="64"/>
        <v>78262283.913931251</v>
      </c>
      <c r="Y155" s="7">
        <f t="shared" si="60"/>
        <v>778112.18466017628</v>
      </c>
    </row>
    <row r="156" spans="5:25">
      <c r="E156">
        <v>153</v>
      </c>
      <c r="F156" s="2">
        <f t="shared" si="69"/>
        <v>142612800</v>
      </c>
      <c r="G156" s="2">
        <f t="shared" si="70"/>
        <v>19600000</v>
      </c>
      <c r="H156" s="2">
        <f t="shared" si="57"/>
        <v>123012800</v>
      </c>
      <c r="I156" s="2">
        <f t="shared" si="67"/>
        <v>1271204.7910728133</v>
      </c>
      <c r="J156" s="2">
        <f t="shared" si="68"/>
        <v>381361.43732184399</v>
      </c>
      <c r="K156" s="2">
        <f t="shared" si="61"/>
        <v>122631438.56267816</v>
      </c>
      <c r="L156" s="2">
        <f t="shared" si="66"/>
        <v>33110488.411923107</v>
      </c>
      <c r="M156" s="2">
        <f t="shared" si="65"/>
        <v>89902311.58807689</v>
      </c>
      <c r="N156" s="2">
        <f t="shared" si="58"/>
        <v>867133.86423612654</v>
      </c>
      <c r="P156">
        <v>153</v>
      </c>
      <c r="Q156" s="3">
        <f t="shared" si="56"/>
        <v>335332800</v>
      </c>
      <c r="R156" s="6">
        <f>$C$13+$C$6*$A$18*$C$10+50*'Carbon Tax'!$B$6</f>
        <v>228124447.71138734</v>
      </c>
      <c r="S156" s="3">
        <f t="shared" si="59"/>
        <v>107208352.28861266</v>
      </c>
      <c r="T156" s="7">
        <f t="shared" si="55"/>
        <v>2074.9249334748565</v>
      </c>
      <c r="U156" s="7">
        <f t="shared" si="71"/>
        <v>518.73123336871413</v>
      </c>
      <c r="V156" s="7">
        <f t="shared" si="62"/>
        <v>107207833.55737929</v>
      </c>
      <c r="W156" s="7">
        <f t="shared" si="63"/>
        <v>28946115.060492411</v>
      </c>
      <c r="X156" s="11">
        <f t="shared" si="64"/>
        <v>78262237.228120252</v>
      </c>
      <c r="Y156" s="7">
        <f t="shared" si="60"/>
        <v>754861.97176252201</v>
      </c>
    </row>
    <row r="157" spans="5:25">
      <c r="E157">
        <v>154</v>
      </c>
      <c r="F157" s="2">
        <f t="shared" si="69"/>
        <v>142612800</v>
      </c>
      <c r="G157" s="2">
        <f t="shared" si="70"/>
        <v>19600000</v>
      </c>
      <c r="H157" s="2">
        <f t="shared" si="57"/>
        <v>123012800</v>
      </c>
      <c r="I157" s="2">
        <f t="shared" si="67"/>
        <v>889843.35375096928</v>
      </c>
      <c r="J157" s="2">
        <f t="shared" si="68"/>
        <v>266953.00612529076</v>
      </c>
      <c r="K157" s="2">
        <f t="shared" si="61"/>
        <v>122745846.99387471</v>
      </c>
      <c r="L157" s="2">
        <f t="shared" si="66"/>
        <v>33141378.688346174</v>
      </c>
      <c r="M157" s="2">
        <f t="shared" si="65"/>
        <v>89871421.311653823</v>
      </c>
      <c r="N157" s="2">
        <f t="shared" si="58"/>
        <v>840935.11696039385</v>
      </c>
      <c r="P157">
        <v>154</v>
      </c>
      <c r="Q157" s="3">
        <f t="shared" si="56"/>
        <v>335332800</v>
      </c>
      <c r="R157" s="6">
        <f>$C$13+$C$6*$A$18*$C$10+50*'Carbon Tax'!$B$6</f>
        <v>228124447.71138734</v>
      </c>
      <c r="S157" s="3">
        <f t="shared" si="59"/>
        <v>107208352.28861266</v>
      </c>
      <c r="T157" s="7">
        <f t="shared" si="55"/>
        <v>1556.1937001061424</v>
      </c>
      <c r="U157" s="7">
        <f t="shared" si="71"/>
        <v>389.0484250265356</v>
      </c>
      <c r="V157" s="7">
        <f t="shared" si="62"/>
        <v>107207963.24018763</v>
      </c>
      <c r="W157" s="7">
        <f t="shared" si="63"/>
        <v>28946150.074850664</v>
      </c>
      <c r="X157" s="11">
        <f t="shared" si="64"/>
        <v>78262202.213762</v>
      </c>
      <c r="Y157" s="7">
        <f t="shared" si="60"/>
        <v>732306.59103500529</v>
      </c>
    </row>
    <row r="158" spans="5:25">
      <c r="E158">
        <v>155</v>
      </c>
      <c r="F158" s="2">
        <f t="shared" si="69"/>
        <v>142612800</v>
      </c>
      <c r="G158" s="2">
        <f t="shared" si="70"/>
        <v>19600000</v>
      </c>
      <c r="H158" s="2">
        <f t="shared" si="57"/>
        <v>123012800</v>
      </c>
      <c r="I158" s="2">
        <f t="shared" si="67"/>
        <v>622890.34762567852</v>
      </c>
      <c r="J158" s="2">
        <f t="shared" si="68"/>
        <v>186867.10428770355</v>
      </c>
      <c r="K158" s="2">
        <f t="shared" si="61"/>
        <v>122825932.8957123</v>
      </c>
      <c r="L158" s="2">
        <f t="shared" si="66"/>
        <v>33163001.881842323</v>
      </c>
      <c r="M158" s="2">
        <f t="shared" si="65"/>
        <v>89849798.118157685</v>
      </c>
      <c r="N158" s="2">
        <f t="shared" si="58"/>
        <v>815611.939036906</v>
      </c>
      <c r="P158">
        <v>155</v>
      </c>
      <c r="Q158" s="3">
        <f t="shared" si="56"/>
        <v>335332800</v>
      </c>
      <c r="R158" s="6">
        <f>$C$13+$C$6*$A$18*$C$10+50*'Carbon Tax'!$B$6</f>
        <v>228124447.71138734</v>
      </c>
      <c r="S158" s="3">
        <f t="shared" si="59"/>
        <v>107208352.28861266</v>
      </c>
      <c r="T158" s="7">
        <f t="shared" si="55"/>
        <v>1167.1452750796068</v>
      </c>
      <c r="U158" s="7">
        <f t="shared" si="71"/>
        <v>291.7863187699017</v>
      </c>
      <c r="V158" s="7">
        <f t="shared" si="62"/>
        <v>107208060.5022939</v>
      </c>
      <c r="W158" s="7">
        <f t="shared" si="63"/>
        <v>28946176.335619356</v>
      </c>
      <c r="X158" s="11">
        <f t="shared" si="64"/>
        <v>78262175.952993304</v>
      </c>
      <c r="Y158" s="7">
        <f t="shared" si="60"/>
        <v>710425.24768198351</v>
      </c>
    </row>
    <row r="159" spans="5:25">
      <c r="E159">
        <v>156</v>
      </c>
      <c r="F159" s="2">
        <f t="shared" si="69"/>
        <v>142612800</v>
      </c>
      <c r="G159" s="2">
        <f t="shared" si="70"/>
        <v>19600000</v>
      </c>
      <c r="H159" s="2">
        <f t="shared" si="57"/>
        <v>123012800</v>
      </c>
      <c r="I159" s="2">
        <f t="shared" si="67"/>
        <v>436023.243337975</v>
      </c>
      <c r="J159" s="2">
        <f t="shared" si="68"/>
        <v>130806.9730013925</v>
      </c>
      <c r="K159" s="2">
        <f t="shared" si="61"/>
        <v>122881993.02699861</v>
      </c>
      <c r="L159" s="2">
        <f t="shared" si="66"/>
        <v>33178138.117289625</v>
      </c>
      <c r="M159" s="2">
        <f t="shared" si="65"/>
        <v>89834661.882710367</v>
      </c>
      <c r="N159" s="2">
        <f t="shared" si="58"/>
        <v>791108.40104076231</v>
      </c>
      <c r="P159">
        <v>156</v>
      </c>
      <c r="Q159" s="3">
        <f t="shared" si="56"/>
        <v>335332800</v>
      </c>
      <c r="R159" s="6">
        <f>$C$13+$C$6*$A$18*$C$10+50*'Carbon Tax'!$B$6</f>
        <v>228124447.71138734</v>
      </c>
      <c r="S159" s="3">
        <f t="shared" si="59"/>
        <v>107208352.28861266</v>
      </c>
      <c r="T159" s="7">
        <f t="shared" si="55"/>
        <v>875.35895630970504</v>
      </c>
      <c r="U159" s="7">
        <f t="shared" si="71"/>
        <v>218.83973907742626</v>
      </c>
      <c r="V159" s="7">
        <f t="shared" si="62"/>
        <v>107208133.44887358</v>
      </c>
      <c r="W159" s="7">
        <f t="shared" si="63"/>
        <v>28946196.031195868</v>
      </c>
      <c r="X159" s="11">
        <f t="shared" si="64"/>
        <v>78262156.2574168</v>
      </c>
      <c r="Y159" s="7">
        <f t="shared" si="60"/>
        <v>689197.77735283342</v>
      </c>
    </row>
    <row r="160" spans="5:25">
      <c r="E160">
        <v>157</v>
      </c>
      <c r="F160" s="2">
        <f t="shared" si="69"/>
        <v>142612800</v>
      </c>
      <c r="G160" s="2">
        <f t="shared" si="70"/>
        <v>19600000</v>
      </c>
      <c r="H160" s="2">
        <f t="shared" si="57"/>
        <v>123012800</v>
      </c>
      <c r="I160" s="2">
        <f t="shared" si="67"/>
        <v>305216.2703365825</v>
      </c>
      <c r="J160" s="2">
        <f t="shared" si="68"/>
        <v>91564.881100974744</v>
      </c>
      <c r="K160" s="2">
        <f t="shared" si="61"/>
        <v>122921235.11889903</v>
      </c>
      <c r="L160" s="2">
        <f t="shared" si="66"/>
        <v>33188733.482102741</v>
      </c>
      <c r="M160" s="2">
        <f t="shared" si="65"/>
        <v>89824066.517897263</v>
      </c>
      <c r="N160" s="2">
        <f t="shared" si="58"/>
        <v>767379.797617506</v>
      </c>
      <c r="P160">
        <v>157</v>
      </c>
      <c r="Q160" s="3">
        <f t="shared" si="56"/>
        <v>335332800</v>
      </c>
      <c r="R160" s="6">
        <f>$C$13+$C$6*$A$18*$C$10+50*'Carbon Tax'!$B$6</f>
        <v>228124447.71138734</v>
      </c>
      <c r="S160" s="3">
        <f t="shared" si="59"/>
        <v>107208352.28861266</v>
      </c>
      <c r="T160" s="7">
        <f t="shared" si="55"/>
        <v>656.51921723227883</v>
      </c>
      <c r="U160" s="7">
        <f t="shared" si="71"/>
        <v>164.12980430806971</v>
      </c>
      <c r="V160" s="7">
        <f t="shared" si="62"/>
        <v>107208188.15880835</v>
      </c>
      <c r="W160" s="7">
        <f t="shared" si="63"/>
        <v>28946210.802878257</v>
      </c>
      <c r="X160" s="11">
        <f t="shared" si="64"/>
        <v>78262141.485734403</v>
      </c>
      <c r="Y160" s="7">
        <f t="shared" si="60"/>
        <v>668604.62482478784</v>
      </c>
    </row>
    <row r="161" spans="5:25">
      <c r="E161">
        <v>158</v>
      </c>
      <c r="F161" s="2">
        <f t="shared" si="69"/>
        <v>142612800</v>
      </c>
      <c r="G161" s="2">
        <f t="shared" si="70"/>
        <v>19600000</v>
      </c>
      <c r="H161" s="2">
        <f t="shared" si="57"/>
        <v>123012800</v>
      </c>
      <c r="I161" s="2">
        <f t="shared" si="67"/>
        <v>213651.38923560776</v>
      </c>
      <c r="J161" s="2">
        <f t="shared" si="68"/>
        <v>64095.416770682321</v>
      </c>
      <c r="K161" s="2">
        <f t="shared" si="61"/>
        <v>122948704.58322932</v>
      </c>
      <c r="L161" s="2">
        <f t="shared" si="66"/>
        <v>33196150.23747192</v>
      </c>
      <c r="M161" s="2">
        <f t="shared" si="65"/>
        <v>89816649.762528077</v>
      </c>
      <c r="N161" s="2">
        <f t="shared" si="58"/>
        <v>744389.24642967794</v>
      </c>
      <c r="P161">
        <v>158</v>
      </c>
      <c r="Q161" s="3">
        <f t="shared" si="56"/>
        <v>335332800</v>
      </c>
      <c r="R161" s="6">
        <f>$C$13+$C$6*$A$18*$C$10+50*'Carbon Tax'!$B$6</f>
        <v>228124447.71138734</v>
      </c>
      <c r="S161" s="3">
        <f t="shared" si="59"/>
        <v>107208352.28861266</v>
      </c>
      <c r="T161" s="7">
        <f t="shared" si="55"/>
        <v>492.38941292420913</v>
      </c>
      <c r="U161" s="7">
        <f t="shared" si="71"/>
        <v>123.09735323105228</v>
      </c>
      <c r="V161" s="7">
        <f t="shared" si="62"/>
        <v>107208229.19125943</v>
      </c>
      <c r="W161" s="7">
        <f t="shared" si="63"/>
        <v>28946221.881640047</v>
      </c>
      <c r="X161" s="11">
        <f t="shared" si="64"/>
        <v>78262130.406972617</v>
      </c>
      <c r="Y161" s="7">
        <f t="shared" si="60"/>
        <v>648626.82399820292</v>
      </c>
    </row>
    <row r="162" spans="5:25">
      <c r="E162">
        <v>159</v>
      </c>
      <c r="F162" s="2">
        <f t="shared" si="69"/>
        <v>142612800</v>
      </c>
      <c r="G162" s="2">
        <f t="shared" si="70"/>
        <v>19600000</v>
      </c>
      <c r="H162" s="2">
        <f t="shared" si="57"/>
        <v>123012800</v>
      </c>
      <c r="I162" s="2">
        <f t="shared" si="67"/>
        <v>149555.97246492543</v>
      </c>
      <c r="J162" s="2">
        <f t="shared" si="68"/>
        <v>44866.79173947763</v>
      </c>
      <c r="K162" s="2">
        <f t="shared" si="61"/>
        <v>122967933.20826052</v>
      </c>
      <c r="L162" s="2">
        <f t="shared" si="66"/>
        <v>33201341.966230344</v>
      </c>
      <c r="M162" s="2">
        <f t="shared" si="65"/>
        <v>89811458.033769652</v>
      </c>
      <c r="N162" s="2">
        <f t="shared" si="58"/>
        <v>722105.37255146867</v>
      </c>
      <c r="P162">
        <v>159</v>
      </c>
      <c r="Q162" s="3">
        <f t="shared" si="56"/>
        <v>335332800</v>
      </c>
      <c r="R162" s="6">
        <f>$C$13+$C$6*$A$18*$C$10+50*'Carbon Tax'!$B$6</f>
        <v>228124447.71138734</v>
      </c>
      <c r="S162" s="3">
        <f t="shared" si="59"/>
        <v>107208352.28861266</v>
      </c>
      <c r="T162" s="7">
        <f t="shared" si="55"/>
        <v>369.29205969315683</v>
      </c>
      <c r="U162" s="7">
        <f t="shared" si="71"/>
        <v>92.323014923289207</v>
      </c>
      <c r="V162" s="7">
        <f t="shared" si="62"/>
        <v>107208259.96559773</v>
      </c>
      <c r="W162" s="7">
        <f t="shared" si="63"/>
        <v>28946230.19071139</v>
      </c>
      <c r="X162" s="11">
        <f t="shared" si="64"/>
        <v>78262122.09790127</v>
      </c>
      <c r="Y162" s="7">
        <f t="shared" si="60"/>
        <v>629245.97898103495</v>
      </c>
    </row>
    <row r="163" spans="5:25">
      <c r="E163">
        <v>160</v>
      </c>
      <c r="F163" s="2">
        <f t="shared" si="69"/>
        <v>142612800</v>
      </c>
      <c r="G163" s="2">
        <f t="shared" si="70"/>
        <v>19600000</v>
      </c>
      <c r="H163" s="2">
        <f t="shared" si="57"/>
        <v>123012800</v>
      </c>
      <c r="I163" s="2">
        <f t="shared" si="67"/>
        <v>104689.1807254478</v>
      </c>
      <c r="J163" s="2">
        <f t="shared" si="68"/>
        <v>31406.754217634341</v>
      </c>
      <c r="K163" s="2">
        <f t="shared" si="61"/>
        <v>122981393.24578236</v>
      </c>
      <c r="L163" s="2">
        <f t="shared" si="66"/>
        <v>33204976.17636124</v>
      </c>
      <c r="M163" s="2">
        <f t="shared" si="65"/>
        <v>89807823.823638767</v>
      </c>
      <c r="N163" s="2">
        <f t="shared" ref="N163:N168" si="72">M163/((1+$B$16)^E163)</f>
        <v>700500.73015341384</v>
      </c>
      <c r="P163">
        <v>160</v>
      </c>
      <c r="Q163" s="3">
        <f t="shared" si="56"/>
        <v>335332800</v>
      </c>
      <c r="R163" s="6">
        <f>$C$13+$C$6*$A$18*$C$10+50*'Carbon Tax'!$B$6</f>
        <v>228124447.71138734</v>
      </c>
      <c r="S163" s="3">
        <f t="shared" si="59"/>
        <v>107208352.28861266</v>
      </c>
      <c r="T163" s="7">
        <f t="shared" si="55"/>
        <v>276.96904476986765</v>
      </c>
      <c r="U163" s="7">
        <f t="shared" si="71"/>
        <v>69.242261192466913</v>
      </c>
      <c r="V163" s="7">
        <f t="shared" si="62"/>
        <v>107208283.04635148</v>
      </c>
      <c r="W163" s="7">
        <f t="shared" si="63"/>
        <v>28946236.422514901</v>
      </c>
      <c r="X163" s="11">
        <f t="shared" si="64"/>
        <v>78262115.866097763</v>
      </c>
      <c r="Y163" s="7">
        <f t="shared" ref="Y163:Y168" si="73">X163/((1+$B$16)^P163)</f>
        <v>610444.24609610019</v>
      </c>
    </row>
    <row r="164" spans="5:25">
      <c r="E164">
        <v>161</v>
      </c>
      <c r="F164" s="2">
        <f t="shared" si="69"/>
        <v>142612800</v>
      </c>
      <c r="G164" s="2">
        <f t="shared" si="70"/>
        <v>19600000</v>
      </c>
      <c r="H164" s="2">
        <f t="shared" si="57"/>
        <v>123012800</v>
      </c>
      <c r="I164" s="2">
        <f t="shared" si="67"/>
        <v>73282.426507813463</v>
      </c>
      <c r="J164" s="2">
        <f t="shared" si="68"/>
        <v>21984.727952344037</v>
      </c>
      <c r="K164" s="2">
        <f t="shared" si="61"/>
        <v>122990815.27204765</v>
      </c>
      <c r="L164" s="2">
        <f t="shared" si="66"/>
        <v>33207520.123452868</v>
      </c>
      <c r="M164" s="2">
        <f t="shared" si="65"/>
        <v>89805279.876547128</v>
      </c>
      <c r="N164" s="2">
        <f t="shared" si="72"/>
        <v>679550.72504314559</v>
      </c>
      <c r="P164">
        <v>161</v>
      </c>
      <c r="Q164" s="3">
        <f t="shared" si="56"/>
        <v>335332800</v>
      </c>
      <c r="R164" s="6">
        <f>$C$13+$C$6*$A$18*$C$10+50*'Carbon Tax'!$B$6</f>
        <v>228124447.71138734</v>
      </c>
      <c r="S164" s="3">
        <f t="shared" si="59"/>
        <v>107208352.28861266</v>
      </c>
      <c r="T164" s="7">
        <f t="shared" si="55"/>
        <v>207.72678357740074</v>
      </c>
      <c r="U164" s="7">
        <f t="shared" si="71"/>
        <v>51.931695894350185</v>
      </c>
      <c r="V164" s="7">
        <f t="shared" si="62"/>
        <v>107208300.35691677</v>
      </c>
      <c r="W164" s="7">
        <f t="shared" si="63"/>
        <v>28946241.096367531</v>
      </c>
      <c r="X164" s="11">
        <f t="shared" si="64"/>
        <v>78262111.192245126</v>
      </c>
      <c r="Y164" s="7">
        <f t="shared" si="73"/>
        <v>592204.31668613222</v>
      </c>
    </row>
    <row r="165" spans="5:25">
      <c r="E165">
        <v>162</v>
      </c>
      <c r="F165" s="2">
        <f t="shared" si="69"/>
        <v>142612800</v>
      </c>
      <c r="G165" s="2">
        <f t="shared" si="70"/>
        <v>19600000</v>
      </c>
      <c r="H165" s="2">
        <f t="shared" si="57"/>
        <v>123012800</v>
      </c>
      <c r="I165" s="2">
        <f t="shared" si="67"/>
        <v>51297.698555469426</v>
      </c>
      <c r="J165" s="2">
        <f t="shared" si="68"/>
        <v>15389.309566640826</v>
      </c>
      <c r="K165" s="2">
        <f t="shared" si="61"/>
        <v>122997410.69043335</v>
      </c>
      <c r="L165" s="2">
        <f t="shared" si="66"/>
        <v>33209300.886417009</v>
      </c>
      <c r="M165" s="2">
        <f t="shared" si="65"/>
        <v>89803499.113582999</v>
      </c>
      <c r="N165" s="2">
        <f t="shared" si="72"/>
        <v>659232.87749840517</v>
      </c>
      <c r="P165">
        <v>162</v>
      </c>
      <c r="Q165" s="3">
        <f t="shared" si="56"/>
        <v>335332800</v>
      </c>
      <c r="R165" s="6">
        <f>$C$13+$C$6*$A$18*$C$10+50*'Carbon Tax'!$B$6</f>
        <v>228124447.71138734</v>
      </c>
      <c r="S165" s="3">
        <f t="shared" si="59"/>
        <v>107208352.28861266</v>
      </c>
      <c r="T165" s="7">
        <f t="shared" si="55"/>
        <v>155.79508768305055</v>
      </c>
      <c r="U165" s="7">
        <f t="shared" si="71"/>
        <v>38.948771920762638</v>
      </c>
      <c r="V165" s="7">
        <f t="shared" si="62"/>
        <v>107208313.33984074</v>
      </c>
      <c r="W165" s="7">
        <f t="shared" ref="W165:W168" si="74">IF(W164&lt;0,V165*$B$15+W164,V165*$B$15)</f>
        <v>28946244.601757001</v>
      </c>
      <c r="X165" s="11">
        <f t="shared" si="64"/>
        <v>78262107.686855659</v>
      </c>
      <c r="Y165" s="7">
        <f t="shared" si="73"/>
        <v>574509.40062192245</v>
      </c>
    </row>
    <row r="166" spans="5:25">
      <c r="E166">
        <v>163</v>
      </c>
      <c r="F166" s="2">
        <f t="shared" si="69"/>
        <v>142612800</v>
      </c>
      <c r="G166" s="2">
        <f t="shared" si="70"/>
        <v>19600000</v>
      </c>
      <c r="H166" s="2">
        <f t="shared" si="57"/>
        <v>123012800</v>
      </c>
      <c r="I166" s="2">
        <f t="shared" si="67"/>
        <v>35908.388988828599</v>
      </c>
      <c r="J166" s="2">
        <f t="shared" si="68"/>
        <v>10772.516696648579</v>
      </c>
      <c r="K166" s="2">
        <f t="shared" si="61"/>
        <v>123002027.48330335</v>
      </c>
      <c r="L166" s="2">
        <f t="shared" si="66"/>
        <v>33210547.420491908</v>
      </c>
      <c r="M166" s="2">
        <f t="shared" si="65"/>
        <v>89802252.579508096</v>
      </c>
      <c r="N166" s="2">
        <f t="shared" si="72"/>
        <v>639526.31635094213</v>
      </c>
      <c r="P166">
        <v>163</v>
      </c>
      <c r="Q166" s="3">
        <f t="shared" si="56"/>
        <v>335332800</v>
      </c>
      <c r="R166" s="6">
        <f>$C$13+$C$6*$A$18*$C$10+50*'Carbon Tax'!$B$6</f>
        <v>228124447.71138734</v>
      </c>
      <c r="S166" s="3">
        <f t="shared" si="59"/>
        <v>107208352.28861266</v>
      </c>
      <c r="T166" s="7">
        <f t="shared" si="55"/>
        <v>116.84631576228792</v>
      </c>
      <c r="U166" s="7">
        <f t="shared" si="71"/>
        <v>29.211578940571979</v>
      </c>
      <c r="V166" s="7">
        <f t="shared" si="62"/>
        <v>107208323.07703373</v>
      </c>
      <c r="W166" s="7">
        <f t="shared" si="74"/>
        <v>28946247.230799109</v>
      </c>
      <c r="X166" s="11">
        <f t="shared" si="64"/>
        <v>78262105.057813555</v>
      </c>
      <c r="Y166" s="7">
        <f t="shared" si="73"/>
        <v>557343.21044097014</v>
      </c>
    </row>
    <row r="167" spans="5:25">
      <c r="E167">
        <v>164</v>
      </c>
      <c r="F167" s="2">
        <f t="shared" si="69"/>
        <v>142612800</v>
      </c>
      <c r="G167" s="2">
        <f t="shared" si="70"/>
        <v>19600000</v>
      </c>
      <c r="H167" s="2">
        <f t="shared" si="57"/>
        <v>123012800</v>
      </c>
      <c r="I167" s="2">
        <f t="shared" si="67"/>
        <v>25135.872292180022</v>
      </c>
      <c r="J167" s="2">
        <f t="shared" si="68"/>
        <v>7540.761687654006</v>
      </c>
      <c r="K167" s="2">
        <f t="shared" si="61"/>
        <v>123005259.23831235</v>
      </c>
      <c r="L167" s="2">
        <f t="shared" si="66"/>
        <v>33211419.994344335</v>
      </c>
      <c r="M167" s="2">
        <f t="shared" si="65"/>
        <v>89801380.005655661</v>
      </c>
      <c r="N167" s="2">
        <f t="shared" si="72"/>
        <v>620411.43026812712</v>
      </c>
      <c r="P167">
        <v>164</v>
      </c>
      <c r="Q167" s="3">
        <f t="shared" si="56"/>
        <v>335332800</v>
      </c>
      <c r="R167" s="6">
        <f>$C$13+$C$6*$A$18*$C$10+50*'Carbon Tax'!$B$6</f>
        <v>228124447.71138734</v>
      </c>
      <c r="S167" s="3">
        <f t="shared" si="59"/>
        <v>107208352.28861266</v>
      </c>
      <c r="T167" s="7">
        <f t="shared" si="55"/>
        <v>87.634736821715933</v>
      </c>
      <c r="U167" s="7">
        <f t="shared" si="71"/>
        <v>21.908684205428983</v>
      </c>
      <c r="V167" s="7">
        <f t="shared" si="62"/>
        <v>107208330.37992845</v>
      </c>
      <c r="W167" s="7">
        <f t="shared" si="74"/>
        <v>28946249.202580683</v>
      </c>
      <c r="X167" s="11">
        <f t="shared" si="64"/>
        <v>78262103.086031973</v>
      </c>
      <c r="Y167" s="7">
        <f t="shared" si="73"/>
        <v>540689.94606028032</v>
      </c>
    </row>
    <row r="168" spans="5:25">
      <c r="E168">
        <v>165</v>
      </c>
      <c r="F168" s="2">
        <f t="shared" si="69"/>
        <v>142612800</v>
      </c>
      <c r="G168" s="2">
        <f t="shared" si="70"/>
        <v>19600000</v>
      </c>
      <c r="H168" s="2">
        <f t="shared" si="57"/>
        <v>123012800</v>
      </c>
      <c r="I168" s="2">
        <f t="shared" si="67"/>
        <v>17595.110604526017</v>
      </c>
      <c r="J168" s="13">
        <v>0</v>
      </c>
      <c r="K168" s="13">
        <f>H168-J168+$B$14</f>
        <v>123012800</v>
      </c>
      <c r="L168" s="2">
        <f t="shared" si="66"/>
        <v>33213456.000000004</v>
      </c>
      <c r="M168" s="13">
        <f>IF(L168&lt;0,H168,H168-L168+$B$14)</f>
        <v>89799344</v>
      </c>
      <c r="N168" s="2">
        <f t="shared" si="72"/>
        <v>601860.07382754085</v>
      </c>
      <c r="P168">
        <v>165</v>
      </c>
      <c r="Q168" s="3">
        <f t="shared" si="56"/>
        <v>335332800</v>
      </c>
      <c r="R168" s="6">
        <f>$C$13+$C$6*$A$18*$C$10+50*'Carbon Tax'!$B$6</f>
        <v>228124447.71138734</v>
      </c>
      <c r="S168" s="3">
        <f t="shared" si="59"/>
        <v>107208352.28861266</v>
      </c>
      <c r="T168" s="7">
        <f t="shared" si="55"/>
        <v>65.72605261628695</v>
      </c>
      <c r="U168" s="15">
        <v>0</v>
      </c>
      <c r="V168" s="15">
        <f>S168-U168+$C$14</f>
        <v>107208352.28861266</v>
      </c>
      <c r="W168" s="7">
        <f t="shared" si="74"/>
        <v>28946255.11792542</v>
      </c>
      <c r="X168" s="16">
        <f>IF(W168&lt;0,S168,S168-W168+$C$14)</f>
        <v>78262097.170687243</v>
      </c>
      <c r="Y168" s="7">
        <f t="shared" si="73"/>
        <v>524534.25028414465</v>
      </c>
    </row>
    <row r="169" spans="5:25">
      <c r="M169"/>
      <c r="N169" s="2">
        <f>SUM(N3:N168)</f>
        <v>1117786700.9384301</v>
      </c>
      <c r="X169" s="2"/>
      <c r="Y169" s="12">
        <f>SUM(Y3:Y168)</f>
        <v>1733807661.2050409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Contributor</cp:lastModifiedBy>
  <cp:revision/>
  <dcterms:created xsi:type="dcterms:W3CDTF">2017-11-04T16:24:14Z</dcterms:created>
  <dcterms:modified xsi:type="dcterms:W3CDTF">2017-11-24T09:34:13Z</dcterms:modified>
  <cp:category/>
  <cp:contentStatus/>
</cp:coreProperties>
</file>