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jones/Documents/gitlab/cervical-cancer-v2/experiments/"/>
    </mc:Choice>
  </mc:AlternateContent>
  <xr:revisionPtr revIDLastSave="0" documentId="13_ncr:1_{BA7C33C2-AA04-924B-9E7E-B5C38A605A8C}" xr6:coauthVersionLast="47" xr6:coauthVersionMax="47" xr10:uidLastSave="{00000000-0000-0000-0000-000000000000}"/>
  <bookViews>
    <workbookView xWindow="0" yWindow="460" windowWidth="35840" windowHeight="20140" xr2:uid="{3F37A474-9770-4B36-B7BC-1D85015EE911}"/>
  </bookViews>
  <sheets>
    <sheet name="Summary sheet" sheetId="2" r:id="rId1"/>
    <sheet name="cin23_canc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F5" i="3"/>
  <c r="E5" i="3"/>
  <c r="D5" i="3"/>
  <c r="C5" i="3"/>
  <c r="B5" i="3"/>
  <c r="G4" i="3"/>
  <c r="F4" i="3"/>
  <c r="E4" i="3"/>
  <c r="D4" i="3"/>
  <c r="C4" i="3"/>
  <c r="B4" i="3"/>
  <c r="G2" i="3"/>
  <c r="F2" i="3"/>
  <c r="E2" i="3"/>
  <c r="G3" i="3"/>
  <c r="F3" i="3"/>
  <c r="E3" i="3"/>
  <c r="D3" i="3"/>
  <c r="C3" i="3"/>
  <c r="B3" i="3"/>
  <c r="D2" i="3"/>
  <c r="C2" i="3"/>
  <c r="B2" i="3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H17" i="2"/>
  <c r="G17" i="2"/>
  <c r="F17" i="2"/>
  <c r="AB64" i="2" l="1"/>
  <c r="AC64" i="2" s="1"/>
  <c r="AB63" i="2"/>
  <c r="AC63" i="2" s="1"/>
  <c r="AC62" i="2"/>
  <c r="AB62" i="2"/>
  <c r="AB61" i="2"/>
  <c r="AC61" i="2" s="1"/>
  <c r="AB60" i="2"/>
  <c r="AC60" i="2" s="1"/>
  <c r="AB59" i="2"/>
  <c r="AC59" i="2" s="1"/>
  <c r="AB58" i="2"/>
  <c r="AC58" i="2" s="1"/>
  <c r="AB57" i="2"/>
  <c r="AC57" i="2" s="1"/>
  <c r="AA56" i="2"/>
  <c r="AB56" i="2" s="1"/>
  <c r="AC56" i="2" s="1"/>
  <c r="AB55" i="2"/>
  <c r="AC55" i="2" s="1"/>
  <c r="AB54" i="2"/>
  <c r="AC54" i="2" s="1"/>
  <c r="AB47" i="2"/>
  <c r="AA47" i="2"/>
  <c r="AB42" i="2"/>
  <c r="AA42" i="2"/>
  <c r="AB37" i="2"/>
  <c r="AA37" i="2"/>
  <c r="AJ10" i="2"/>
  <c r="AK10" i="2" s="1"/>
  <c r="AI10" i="2"/>
  <c r="AH10" i="2"/>
  <c r="AD10" i="2"/>
  <c r="AJ9" i="2"/>
  <c r="AK9" i="2" s="1"/>
  <c r="AI9" i="2"/>
  <c r="AH9" i="2"/>
  <c r="AD9" i="2"/>
  <c r="AJ8" i="2"/>
  <c r="AK8" i="2" s="1"/>
  <c r="AI8" i="2"/>
  <c r="AH8" i="2"/>
  <c r="AD8" i="2"/>
  <c r="AJ7" i="2"/>
  <c r="AK7" i="2" s="1"/>
  <c r="AI7" i="2"/>
  <c r="AH7" i="2"/>
  <c r="AD7" i="2"/>
  <c r="AJ6" i="2"/>
  <c r="AK6" i="2" s="1"/>
  <c r="AI6" i="2"/>
  <c r="AH6" i="2"/>
  <c r="AD6" i="2"/>
  <c r="U23" i="2" l="1"/>
  <c r="U22" i="2"/>
  <c r="U21" i="2"/>
  <c r="U20" i="2"/>
  <c r="V32" i="2"/>
  <c r="U32" i="2"/>
  <c r="T32" i="2"/>
  <c r="S32" i="2"/>
  <c r="R32" i="2"/>
  <c r="W31" i="2"/>
  <c r="W33" i="2" s="1"/>
  <c r="V31" i="2"/>
  <c r="U31" i="2"/>
  <c r="T31" i="2"/>
  <c r="S31" i="2"/>
  <c r="R31" i="2"/>
  <c r="R33" i="2" s="1"/>
  <c r="N46" i="2"/>
  <c r="N45" i="2"/>
  <c r="N44" i="2"/>
  <c r="N43" i="2"/>
  <c r="N42" i="2"/>
  <c r="N41" i="2"/>
  <c r="L32" i="2"/>
  <c r="L31" i="2"/>
  <c r="M25" i="2"/>
  <c r="M24" i="2"/>
  <c r="M23" i="2"/>
  <c r="M22" i="2"/>
  <c r="M21" i="2"/>
  <c r="M20" i="2"/>
  <c r="M19" i="2"/>
  <c r="L33" i="2" l="1"/>
  <c r="S33" i="2"/>
  <c r="T33" i="2"/>
  <c r="U33" i="2"/>
  <c r="V33" i="2"/>
  <c r="D32" i="2"/>
  <c r="D31" i="2"/>
  <c r="D33" i="2" s="1"/>
  <c r="C33" i="2" l="1"/>
  <c r="C25" i="2"/>
  <c r="C24" i="2"/>
  <c r="C23" i="2"/>
  <c r="C22" i="2"/>
  <c r="C21" i="2"/>
  <c r="C20" i="2"/>
  <c r="C19" i="2"/>
  <c r="C18" i="2"/>
  <c r="C17" i="2"/>
  <c r="E44" i="2"/>
  <c r="E43" i="2"/>
  <c r="E42" i="2"/>
  <c r="E41" i="2"/>
  <c r="E40" i="2"/>
  <c r="E39" i="2"/>
</calcChain>
</file>

<file path=xl/sharedStrings.xml><?xml version="1.0" encoding="utf-8"?>
<sst xmlns="http://schemas.openxmlformats.org/spreadsheetml/2006/main" count="323" uniqueCount="209">
  <si>
    <t>Any HPV</t>
  </si>
  <si>
    <t>Age</t>
  </si>
  <si>
    <t>14-19</t>
  </si>
  <si>
    <t>20-24</t>
  </si>
  <si>
    <t>25-29</t>
  </si>
  <si>
    <t>30-29</t>
  </si>
  <si>
    <t>40-49</t>
  </si>
  <si>
    <t>50-59</t>
  </si>
  <si>
    <t>HPV 16</t>
  </si>
  <si>
    <t>HPV 18</t>
  </si>
  <si>
    <t xml:space="preserve"> </t>
  </si>
  <si>
    <t>Markowitz 2013 and adjusted with Wheeler 2013; mimics Golhaber</t>
  </si>
  <si>
    <t>20-29</t>
  </si>
  <si>
    <t>HPV16</t>
  </si>
  <si>
    <t>HPV18</t>
  </si>
  <si>
    <t>Other high risk</t>
  </si>
  <si>
    <t>Low risk</t>
  </si>
  <si>
    <t>HPV Prevalance by age group and HPV type</t>
  </si>
  <si>
    <t>Percentage of CIN2/3 caused by each type of HPV (assume the same distribution across age groups)</t>
  </si>
  <si>
    <t>Death rate for females</t>
  </si>
  <si>
    <t>I presume you have access to this for the US population</t>
  </si>
  <si>
    <t>Whites</t>
  </si>
  <si>
    <t>30-39</t>
  </si>
  <si>
    <t>60-69</t>
  </si>
  <si>
    <t>70+</t>
  </si>
  <si>
    <t>Non-white</t>
  </si>
  <si>
    <t>All</t>
  </si>
  <si>
    <t>1969 US 10</t>
  </si>
  <si>
    <t>Cancer incidence - use ALL</t>
  </si>
  <si>
    <t>Total</t>
  </si>
  <si>
    <t>CIN2</t>
  </si>
  <si>
    <t>15-19</t>
  </si>
  <si>
    <t>70-79</t>
  </si>
  <si>
    <t>80+</t>
  </si>
  <si>
    <t>CIN3</t>
  </si>
  <si>
    <t>CIN23 Prevalance by age (use total)</t>
  </si>
  <si>
    <t xml:space="preserve">5-year survival </t>
  </si>
  <si>
    <t>CIN2/3</t>
  </si>
  <si>
    <t>High risk</t>
  </si>
  <si>
    <t>Local</t>
  </si>
  <si>
    <t>Regional</t>
  </si>
  <si>
    <t>Distant</t>
  </si>
  <si>
    <t xml:space="preserve">Cancer </t>
  </si>
  <si>
    <t>United States</t>
  </si>
  <si>
    <t>All HPV</t>
  </si>
  <si>
    <t>&lt;25</t>
  </si>
  <si>
    <t>30-34</t>
  </si>
  <si>
    <t>35-39</t>
  </si>
  <si>
    <t>40-44</t>
  </si>
  <si>
    <t>45-49</t>
  </si>
  <si>
    <t>&gt;60</t>
  </si>
  <si>
    <t>CIN23 Prevalance by age (use the total)</t>
  </si>
  <si>
    <t>50-54</t>
  </si>
  <si>
    <t>55-59</t>
  </si>
  <si>
    <t>60+</t>
  </si>
  <si>
    <t>Cancer</t>
  </si>
  <si>
    <t>Cancer incidence - use the average</t>
  </si>
  <si>
    <t>Cervical cancer incidence, Dindigul &amp; Chennai, rate per 100.000</t>
  </si>
  <si>
    <t>Dindigul</t>
  </si>
  <si>
    <t>Chennai</t>
  </si>
  <si>
    <t>Average</t>
  </si>
  <si>
    <t>5-year survival - Balasubramanian 2020</t>
  </si>
  <si>
    <t>Female dealth rates per 1000</t>
  </si>
  <si>
    <t>Deaths in 2018</t>
  </si>
  <si>
    <t>0-4'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</si>
  <si>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</si>
  <si>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</si>
  <si>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</si>
  <si>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</si>
  <si>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</si>
  <si>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</si>
  <si>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</si>
  <si>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</si>
  <si>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</si>
  <si>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</si>
  <si>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</si>
  <si>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</si>
  <si>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</si>
  <si>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</si>
  <si>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</si>
  <si>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</si>
  <si>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+</t>
  </si>
  <si>
    <t>India</t>
  </si>
  <si>
    <t>Japan</t>
  </si>
  <si>
    <t>%</t>
  </si>
  <si>
    <t>Other/HR</t>
  </si>
  <si>
    <t>20_29</t>
  </si>
  <si>
    <t>30_39</t>
  </si>
  <si>
    <t>40_49</t>
  </si>
  <si>
    <t>50+</t>
  </si>
  <si>
    <t>LR</t>
  </si>
  <si>
    <t>Any HR</t>
  </si>
  <si>
    <t xml:space="preserve">HPV 16 </t>
  </si>
  <si>
    <t>16-19</t>
  </si>
  <si>
    <t>20_24</t>
  </si>
  <si>
    <t>25_29</t>
  </si>
  <si>
    <t>30_34</t>
  </si>
  <si>
    <t>35_39</t>
  </si>
  <si>
    <t>40_44</t>
  </si>
  <si>
    <t>60-64</t>
  </si>
  <si>
    <t>65-69</t>
  </si>
  <si>
    <t>CIN 2 3</t>
  </si>
  <si>
    <t>All ages</t>
  </si>
  <si>
    <t>total</t>
  </si>
  <si>
    <t>CIN23 Prevalance by age and HPV type</t>
  </si>
  <si>
    <t>Cancer incidence - use 1975-1980</t>
  </si>
  <si>
    <t>Incidence Per 100k: 1975-1980</t>
  </si>
  <si>
    <t>Incidence Per 100k: 2015</t>
  </si>
  <si>
    <t>15-39</t>
  </si>
  <si>
    <t>60-79</t>
  </si>
  <si>
    <t>5-year survival - Simms et al 2020</t>
  </si>
  <si>
    <t>Zambia</t>
  </si>
  <si>
    <t>HIV infected</t>
  </si>
  <si>
    <t>HIV not infected</t>
  </si>
  <si>
    <t xml:space="preserve">hrHPV+ </t>
  </si>
  <si>
    <t xml:space="preserve">HPV 16+ </t>
  </si>
  <si>
    <t xml:space="preserve">HPV 18+ </t>
  </si>
  <si>
    <t xml:space="preserve">HPV 16/18+ </t>
  </si>
  <si>
    <t>Other  hrHPV</t>
  </si>
  <si>
    <t>LrHPV</t>
  </si>
  <si>
    <t>17.0 (10.6 - 23.5)</t>
  </si>
  <si>
    <t>8.0 (3.4 - 12.6)</t>
  </si>
  <si>
    <t>24.0 (16.6 - 31.4)</t>
  </si>
  <si>
    <t>15.1 (10.5 - 19.6)</t>
  </si>
  <si>
    <t>9.7 (5.9 - 13.4)</t>
  </si>
  <si>
    <t>22.0 (16.8 - 27.3)</t>
  </si>
  <si>
    <t>18.0 (13.7 - 22.4)</t>
  </si>
  <si>
    <t>9.9 (6.5 - 13.2)</t>
  </si>
  <si>
    <t>24.5 (19.6 - 29.3)</t>
  </si>
  <si>
    <t>14.0 (9.9 - 18.1)</t>
  </si>
  <si>
    <t>8.4 (5.2 - 11.6)</t>
  </si>
  <si>
    <t>21.4 (16.6 - 26.2)</t>
  </si>
  <si>
    <t>14.1 (9.9 - 18.2)</t>
  </si>
  <si>
    <t>6.3 (3.4 - 9.2)</t>
  </si>
  <si>
    <t>18.5 (13.9 - 23.0)</t>
  </si>
  <si>
    <t>Percentage of CIN2/3 caused by each type of HPV</t>
  </si>
  <si>
    <t>CIN 2/3</t>
  </si>
  <si>
    <t>HP and Cancer - Bateman 2015</t>
  </si>
  <si>
    <t>+</t>
  </si>
  <si>
    <t>-</t>
  </si>
  <si>
    <t>Type 16</t>
  </si>
  <si>
    <t>Age 17-29</t>
  </si>
  <si>
    <t>Type 18</t>
  </si>
  <si>
    <t>HR others</t>
  </si>
  <si>
    <t>Age 30-39</t>
  </si>
  <si>
    <t>Age 40-65</t>
  </si>
  <si>
    <t xml:space="preserve">Cancer incidence </t>
  </si>
  <si>
    <t>Kepambwe et al.</t>
  </si>
  <si>
    <t>Age Group</t>
  </si>
  <si>
    <t xml:space="preserve">Overall (HIV and non-HIV) </t>
  </si>
  <si>
    <t>HIV - Scenatio 1</t>
  </si>
  <si>
    <t>HIV - Scenario 2</t>
  </si>
  <si>
    <t>0-15</t>
  </si>
  <si>
    <t>15-29</t>
  </si>
  <si>
    <t>30-35</t>
  </si>
  <si>
    <t>70-74</t>
  </si>
  <si>
    <t>75+</t>
  </si>
  <si>
    <t>Age_Group</t>
  </si>
  <si>
    <t>CIN 2/3 Prev HIV +</t>
  </si>
  <si>
    <t>CIN 2/3 Prev HIV -</t>
  </si>
  <si>
    <t>16_HIV +</t>
  </si>
  <si>
    <t>18_HIV +</t>
  </si>
  <si>
    <t>Other_HIV +</t>
  </si>
  <si>
    <t>16_HIV -</t>
  </si>
  <si>
    <t>18_HIV -</t>
  </si>
  <si>
    <t>Other_HIV -</t>
  </si>
  <si>
    <t>% 16, HIV +</t>
  </si>
  <si>
    <t>% 18, HIV +</t>
  </si>
  <si>
    <t>% HR, HIV +</t>
  </si>
  <si>
    <t>% 16, HIV -</t>
  </si>
  <si>
    <t>% 18, HIV -</t>
  </si>
  <si>
    <t>% HR, HIV -</t>
  </si>
  <si>
    <t>17-24</t>
  </si>
  <si>
    <t>55-65</t>
  </si>
  <si>
    <t>Rates were taken from the McDonald Paper, Page 4, Image 3</t>
  </si>
  <si>
    <t>The % of Each was taken from the "SA Data CIN by HPV" Sheet found here experiments/zambia/base_documents/target_files/Zambia Parameters overview May 12 2021.xlsx</t>
  </si>
  <si>
    <t>Multiple the Total by the % to get the breakout</t>
  </si>
  <si>
    <t>CIN2,3 - HR</t>
  </si>
  <si>
    <t>CIN2,3 - 16</t>
  </si>
  <si>
    <t>CIN2,3 - 18</t>
  </si>
  <si>
    <t>Country</t>
  </si>
  <si>
    <t>Average_CIN23_HR</t>
  </si>
  <si>
    <t>Average_CIN23_16</t>
  </si>
  <si>
    <t>Average_CIN23_18</t>
  </si>
  <si>
    <t>Cancer_HR</t>
  </si>
  <si>
    <t>Cancer_16</t>
  </si>
  <si>
    <t>Cancer_18</t>
  </si>
  <si>
    <t>zambia</t>
  </si>
  <si>
    <t>japan</t>
  </si>
  <si>
    <t>india</t>
  </si>
  <si>
    <t>usa</t>
  </si>
  <si>
    <t>15_20</t>
  </si>
  <si>
    <t>20_25</t>
  </si>
  <si>
    <t>25_30</t>
  </si>
  <si>
    <t>30_40</t>
  </si>
  <si>
    <t>40_50</t>
  </si>
  <si>
    <t>50_60</t>
  </si>
  <si>
    <t>60_70</t>
  </si>
  <si>
    <t>* Values pulled from page 10 of Goldhaber paper</t>
  </si>
  <si>
    <t>Type</t>
  </si>
  <si>
    <t>Percent</t>
  </si>
  <si>
    <t>CIN1 - HR</t>
  </si>
  <si>
    <t>CIN1 - 16/18</t>
  </si>
  <si>
    <t>CIN23 - HR</t>
  </si>
  <si>
    <t>CIN23 - 16</t>
  </si>
  <si>
    <t>CIN23 - 18</t>
  </si>
  <si>
    <t>Cancer - HR</t>
  </si>
  <si>
    <t>Cancer 16/18</t>
  </si>
  <si>
    <t>* Values pulled from page 11 of Goldhaber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</si>
</sst>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Verdana"/>
      <family val="2"/>
    </font>
    <font>
      <sz val="12"/>
      <name val="Verdana"/>
      <family val="2"/>
    </font>
    <font>
      <sz val="14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quotePrefix="1" applyFont="1" applyAlignment="1">
      <alignment horizontal="center"/>
    </xf>
    <xf numFmtId="9" fontId="0" fillId="0" borderId="0" xfId="1" applyFont="1"/>
    <xf numFmtId="166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/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1C35-E3E9-4840-92FC-42EDFFCC793B}">
  <dimension ref="B2:AV79"/>
  <sheetViews>
    <sheetView tabSelected="1" topLeftCell="A41" workbookViewId="0">
      <selection activeCell="E73" sqref="E73"/>
    </sheetView>
  </sheetViews>
  <sheetFormatPr baseColWidth="10" defaultColWidth="8.83203125" defaultRowHeight="15" x14ac:dyDescent="0.2"/>
  <cols>
    <col min="2" max="2" width="11.1640625" customWidth="1"/>
    <col min="3" max="6" width="12.1640625" bestFit="1" customWidth="1"/>
    <col min="7" max="7" width="14.1640625" customWidth="1"/>
    <col min="26" max="26" width="18.33203125" customWidth="1"/>
    <col min="27" max="27" width="22.83203125" customWidth="1"/>
    <col min="28" max="28" width="26.1640625" customWidth="1"/>
    <col min="29" max="29" width="21.83203125" customWidth="1"/>
    <col min="30" max="30" width="20.5" customWidth="1"/>
    <col min="31" max="31" width="14.1640625" customWidth="1"/>
    <col min="32" max="32" width="8.5" customWidth="1"/>
    <col min="33" max="33" width="21.5" customWidth="1"/>
    <col min="34" max="34" width="19.6640625" customWidth="1"/>
    <col min="35" max="35" width="18.1640625" customWidth="1"/>
    <col min="36" max="36" width="14.33203125" customWidth="1"/>
    <col min="38" max="38" width="10.83203125" customWidth="1"/>
  </cols>
  <sheetData>
    <row r="2" spans="2:38" x14ac:dyDescent="0.2">
      <c r="B2" s="2" t="s">
        <v>43</v>
      </c>
      <c r="J2" s="2" t="s">
        <v>82</v>
      </c>
      <c r="Q2" s="2" t="s">
        <v>83</v>
      </c>
      <c r="Z2" s="2" t="s">
        <v>111</v>
      </c>
    </row>
    <row r="3" spans="2:38" ht="16" x14ac:dyDescent="0.2">
      <c r="B3" s="3" t="s">
        <v>17</v>
      </c>
      <c r="J3" s="3" t="s">
        <v>17</v>
      </c>
      <c r="Q3" s="3" t="s">
        <v>17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2:38" ht="16" x14ac:dyDescent="0.2">
      <c r="Z4" s="22" t="s">
        <v>112</v>
      </c>
      <c r="AA4" s="22"/>
      <c r="AB4" s="22"/>
      <c r="AC4" s="22"/>
      <c r="AD4" s="22"/>
      <c r="AE4" s="22"/>
      <c r="AF4" s="13"/>
      <c r="AG4" s="22" t="s">
        <v>113</v>
      </c>
      <c r="AH4" s="22"/>
      <c r="AI4" s="22"/>
      <c r="AJ4" s="22"/>
      <c r="AK4" s="22"/>
      <c r="AL4" s="22"/>
    </row>
    <row r="5" spans="2:38" ht="34" x14ac:dyDescent="0.2">
      <c r="B5" t="s">
        <v>11</v>
      </c>
      <c r="J5" t="s">
        <v>10</v>
      </c>
      <c r="K5" t="s">
        <v>13</v>
      </c>
      <c r="L5" t="s">
        <v>14</v>
      </c>
      <c r="M5" t="s">
        <v>15</v>
      </c>
      <c r="N5" t="s">
        <v>16</v>
      </c>
      <c r="O5" t="s">
        <v>44</v>
      </c>
      <c r="Q5" s="2"/>
      <c r="R5" s="2" t="s">
        <v>90</v>
      </c>
      <c r="S5" s="2" t="s">
        <v>91</v>
      </c>
      <c r="T5" s="2" t="s">
        <v>92</v>
      </c>
      <c r="U5" s="2" t="s">
        <v>9</v>
      </c>
      <c r="V5" s="2" t="s">
        <v>29</v>
      </c>
      <c r="Z5" s="14" t="s">
        <v>114</v>
      </c>
      <c r="AA5" s="14" t="s">
        <v>115</v>
      </c>
      <c r="AB5" s="14" t="s">
        <v>116</v>
      </c>
      <c r="AC5" s="14" t="s">
        <v>117</v>
      </c>
      <c r="AD5" s="14" t="s">
        <v>118</v>
      </c>
      <c r="AE5" s="14" t="s">
        <v>119</v>
      </c>
      <c r="AF5" s="13"/>
      <c r="AG5" s="14" t="s">
        <v>114</v>
      </c>
      <c r="AH5" s="14" t="s">
        <v>115</v>
      </c>
      <c r="AI5" s="14" t="s">
        <v>116</v>
      </c>
      <c r="AJ5" s="14" t="s">
        <v>117</v>
      </c>
      <c r="AK5" s="14" t="s">
        <v>118</v>
      </c>
      <c r="AL5" s="14" t="s">
        <v>119</v>
      </c>
    </row>
    <row r="6" spans="2:38" ht="25.75" customHeight="1" x14ac:dyDescent="0.2">
      <c r="B6" t="s">
        <v>1</v>
      </c>
      <c r="C6" t="s">
        <v>0</v>
      </c>
      <c r="J6" t="s">
        <v>45</v>
      </c>
      <c r="K6" s="4">
        <v>3.7800000000000002</v>
      </c>
      <c r="L6" s="4">
        <v>0.99119999999999997</v>
      </c>
      <c r="M6" s="4">
        <v>6.5288000000000004</v>
      </c>
      <c r="N6" s="4">
        <v>5.5</v>
      </c>
      <c r="O6" s="4">
        <v>16.8</v>
      </c>
      <c r="Q6" s="2" t="s">
        <v>93</v>
      </c>
      <c r="R6" s="2">
        <v>3.8999999999999986</v>
      </c>
      <c r="S6" s="21">
        <v>20.923076923076923</v>
      </c>
      <c r="T6" s="21">
        <v>10.153846153846153</v>
      </c>
      <c r="U6" s="21">
        <v>0.92307692307692313</v>
      </c>
      <c r="V6" s="2">
        <v>35.9</v>
      </c>
      <c r="Z6" s="14">
        <v>72.7</v>
      </c>
      <c r="AA6" s="14" t="s">
        <v>120</v>
      </c>
      <c r="AB6" s="14" t="s">
        <v>121</v>
      </c>
      <c r="AC6" s="14" t="s">
        <v>122</v>
      </c>
      <c r="AD6" s="15">
        <f>72.7-24</f>
        <v>48.7</v>
      </c>
      <c r="AE6" s="15">
        <v>63.6</v>
      </c>
      <c r="AF6" s="13"/>
      <c r="AG6" s="14">
        <v>34.1</v>
      </c>
      <c r="AH6" s="14">
        <f>17/2</f>
        <v>8.5</v>
      </c>
      <c r="AI6" s="14">
        <f>8/2</f>
        <v>4</v>
      </c>
      <c r="AJ6" s="14">
        <f>24/2</f>
        <v>12</v>
      </c>
      <c r="AK6" s="15">
        <f t="shared" ref="AK6:AK10" si="0">AG6-AJ6</f>
        <v>22.1</v>
      </c>
      <c r="AL6" s="15">
        <v>24.4</v>
      </c>
    </row>
    <row r="7" spans="2:38" ht="22.25" customHeight="1" x14ac:dyDescent="0.2">
      <c r="D7" t="s">
        <v>13</v>
      </c>
      <c r="E7" t="s">
        <v>14</v>
      </c>
      <c r="F7" t="s">
        <v>15</v>
      </c>
      <c r="G7" t="s">
        <v>16</v>
      </c>
      <c r="J7" t="s">
        <v>4</v>
      </c>
      <c r="K7" s="4">
        <v>3.4875000000000003</v>
      </c>
      <c r="L7" s="4">
        <v>0.91449999999999998</v>
      </c>
      <c r="M7" s="4">
        <v>5.597999999999999</v>
      </c>
      <c r="N7" s="4">
        <v>5.5</v>
      </c>
      <c r="O7" s="4">
        <v>15.5</v>
      </c>
      <c r="Q7" s="2" t="s">
        <v>94</v>
      </c>
      <c r="R7" s="2">
        <v>8</v>
      </c>
      <c r="S7" s="2">
        <v>17</v>
      </c>
      <c r="T7" s="21">
        <v>6.4</v>
      </c>
      <c r="U7" s="21">
        <v>1.6</v>
      </c>
      <c r="V7" s="2">
        <v>33</v>
      </c>
      <c r="Z7" s="16">
        <v>62.9</v>
      </c>
      <c r="AA7" s="14" t="s">
        <v>123</v>
      </c>
      <c r="AB7" s="14" t="s">
        <v>124</v>
      </c>
      <c r="AC7" s="14" t="s">
        <v>125</v>
      </c>
      <c r="AD7" s="14">
        <f>62.9-22</f>
        <v>40.9</v>
      </c>
      <c r="AE7" s="15">
        <v>48.1</v>
      </c>
      <c r="AF7" s="13"/>
      <c r="AG7" s="16">
        <v>30.5</v>
      </c>
      <c r="AH7" s="14">
        <f>15.1/2</f>
        <v>7.55</v>
      </c>
      <c r="AI7" s="14">
        <f>9.7/2</f>
        <v>4.8499999999999996</v>
      </c>
      <c r="AJ7" s="14">
        <f>22/2</f>
        <v>11</v>
      </c>
      <c r="AK7" s="15">
        <f t="shared" si="0"/>
        <v>19.5</v>
      </c>
      <c r="AL7" s="15">
        <v>11.9</v>
      </c>
    </row>
    <row r="8" spans="2:38" ht="18.5" customHeight="1" x14ac:dyDescent="0.2">
      <c r="B8" t="s">
        <v>2</v>
      </c>
      <c r="C8">
        <v>32.9</v>
      </c>
      <c r="D8" s="1">
        <v>5.3618399999999999</v>
      </c>
      <c r="E8" s="1">
        <v>1.8381600000000002</v>
      </c>
      <c r="F8">
        <v>25.000000000000004</v>
      </c>
      <c r="G8">
        <v>0.69999999999999574</v>
      </c>
      <c r="J8" t="s">
        <v>46</v>
      </c>
      <c r="K8" s="4">
        <v>3.8475000000000006</v>
      </c>
      <c r="L8" s="4">
        <v>1.0089000000000001</v>
      </c>
      <c r="M8" s="4">
        <v>7.0436000000000014</v>
      </c>
      <c r="N8" s="4">
        <v>5.2</v>
      </c>
      <c r="O8" s="4">
        <v>17.100000000000001</v>
      </c>
      <c r="Q8" s="2" t="s">
        <v>95</v>
      </c>
      <c r="R8" s="2">
        <v>5</v>
      </c>
      <c r="S8" s="2">
        <v>13</v>
      </c>
      <c r="T8" s="21">
        <v>5.384615384615385</v>
      </c>
      <c r="U8" s="21">
        <v>1.6153846153846154</v>
      </c>
      <c r="V8" s="2">
        <v>25</v>
      </c>
      <c r="Z8" s="16">
        <v>62.9</v>
      </c>
      <c r="AA8" s="14" t="s">
        <v>126</v>
      </c>
      <c r="AB8" s="14" t="s">
        <v>127</v>
      </c>
      <c r="AC8" s="14" t="s">
        <v>128</v>
      </c>
      <c r="AD8" s="15">
        <f>62.9-24.5</f>
        <v>38.4</v>
      </c>
      <c r="AE8" s="15">
        <v>48.1</v>
      </c>
      <c r="AF8" s="13"/>
      <c r="AG8" s="16">
        <v>30.5</v>
      </c>
      <c r="AH8" s="14">
        <f>18/2</f>
        <v>9</v>
      </c>
      <c r="AI8" s="14">
        <f>9.9/2</f>
        <v>4.95</v>
      </c>
      <c r="AJ8" s="14">
        <f>24.5/2</f>
        <v>12.25</v>
      </c>
      <c r="AK8" s="15">
        <f t="shared" si="0"/>
        <v>18.25</v>
      </c>
      <c r="AL8" s="15">
        <v>11.9</v>
      </c>
    </row>
    <row r="9" spans="2:38" ht="18.5" customHeight="1" x14ac:dyDescent="0.2">
      <c r="B9" t="s">
        <v>12</v>
      </c>
      <c r="C9">
        <v>46.8</v>
      </c>
      <c r="D9" s="1">
        <v>6.0320699999999992</v>
      </c>
      <c r="E9" s="1">
        <v>2.0679300000000005</v>
      </c>
      <c r="F9">
        <v>28.300000000000004</v>
      </c>
      <c r="G9">
        <v>10.399999999999991</v>
      </c>
      <c r="J9" t="s">
        <v>47</v>
      </c>
      <c r="K9" s="4">
        <v>4.05</v>
      </c>
      <c r="L9" s="4">
        <v>1.0619999999999998</v>
      </c>
      <c r="M9" s="4">
        <v>5.3879999999999999</v>
      </c>
      <c r="N9" s="4">
        <v>7.5</v>
      </c>
      <c r="O9" s="4">
        <v>18</v>
      </c>
      <c r="Q9" s="2" t="s">
        <v>96</v>
      </c>
      <c r="R9" s="2">
        <v>7</v>
      </c>
      <c r="S9" s="2">
        <v>12</v>
      </c>
      <c r="T9" s="21">
        <v>3.8888888888888888</v>
      </c>
      <c r="U9" s="21">
        <v>1.1111111111111112</v>
      </c>
      <c r="V9" s="2">
        <v>24</v>
      </c>
      <c r="Z9" s="14">
        <v>64.8</v>
      </c>
      <c r="AA9" s="14" t="s">
        <v>129</v>
      </c>
      <c r="AB9" s="14" t="s">
        <v>130</v>
      </c>
      <c r="AC9" s="14" t="s">
        <v>131</v>
      </c>
      <c r="AD9" s="14">
        <f>64.8-21.4</f>
        <v>43.4</v>
      </c>
      <c r="AE9" s="15">
        <v>43.7</v>
      </c>
      <c r="AF9" s="13"/>
      <c r="AG9" s="14">
        <v>15.9</v>
      </c>
      <c r="AH9" s="14">
        <f>14/2</f>
        <v>7</v>
      </c>
      <c r="AI9" s="14">
        <f>8.4/2</f>
        <v>4.2</v>
      </c>
      <c r="AJ9" s="14">
        <f>21.4/2</f>
        <v>10.7</v>
      </c>
      <c r="AK9" s="15">
        <f t="shared" si="0"/>
        <v>5.2000000000000011</v>
      </c>
      <c r="AL9" s="15">
        <v>7.9</v>
      </c>
    </row>
    <row r="10" spans="2:38" ht="17.5" customHeight="1" x14ac:dyDescent="0.2">
      <c r="B10" t="s">
        <v>5</v>
      </c>
      <c r="C10">
        <v>44.2</v>
      </c>
      <c r="D10" s="1">
        <v>4.98949</v>
      </c>
      <c r="E10" s="1">
        <v>1.7105100000000002</v>
      </c>
      <c r="F10">
        <v>23.2</v>
      </c>
      <c r="G10">
        <v>14.300000000000004</v>
      </c>
      <c r="J10" t="s">
        <v>48</v>
      </c>
      <c r="K10" s="4">
        <v>3.9149999999999996</v>
      </c>
      <c r="L10" s="4">
        <v>1.0266</v>
      </c>
      <c r="M10" s="4">
        <v>8.4583999999999993</v>
      </c>
      <c r="N10" s="4">
        <v>4</v>
      </c>
      <c r="O10" s="4">
        <v>17.399999999999999</v>
      </c>
      <c r="Q10" s="2" t="s">
        <v>97</v>
      </c>
      <c r="R10" s="2">
        <v>6</v>
      </c>
      <c r="S10" s="2">
        <v>13</v>
      </c>
      <c r="T10" s="21">
        <v>1.6</v>
      </c>
      <c r="U10" s="21">
        <v>0.4</v>
      </c>
      <c r="V10" s="2">
        <v>21</v>
      </c>
      <c r="Z10" s="14">
        <v>64.8</v>
      </c>
      <c r="AA10" s="14" t="s">
        <v>132</v>
      </c>
      <c r="AB10" s="14" t="s">
        <v>133</v>
      </c>
      <c r="AC10" s="14" t="s">
        <v>134</v>
      </c>
      <c r="AD10" s="14">
        <f>64.8-18.5</f>
        <v>46.3</v>
      </c>
      <c r="AE10" s="15">
        <v>43.7</v>
      </c>
      <c r="AF10" s="13"/>
      <c r="AG10" s="14">
        <v>15.9</v>
      </c>
      <c r="AH10" s="14">
        <f>14.1/2</f>
        <v>7.05</v>
      </c>
      <c r="AI10" s="14">
        <f>6.3/2</f>
        <v>3.15</v>
      </c>
      <c r="AJ10" s="14">
        <f>18.5/2</f>
        <v>9.25</v>
      </c>
      <c r="AK10" s="15">
        <f t="shared" si="0"/>
        <v>6.65</v>
      </c>
      <c r="AL10" s="15">
        <v>7.9</v>
      </c>
    </row>
    <row r="11" spans="2:38" x14ac:dyDescent="0.2">
      <c r="B11" t="s">
        <v>6</v>
      </c>
      <c r="C11">
        <v>42.4</v>
      </c>
      <c r="D11" s="1">
        <v>2.5319799999999995</v>
      </c>
      <c r="E11" s="1">
        <v>0.86802000000000046</v>
      </c>
      <c r="F11">
        <v>19.900000000000002</v>
      </c>
      <c r="G11">
        <v>19.099999999999998</v>
      </c>
      <c r="J11" t="s">
        <v>49</v>
      </c>
      <c r="K11" s="4">
        <v>3.42</v>
      </c>
      <c r="L11" s="4">
        <v>0.89679999999999993</v>
      </c>
      <c r="M11" s="4">
        <v>5.7832000000000008</v>
      </c>
      <c r="N11" s="4">
        <v>5.0999999999999996</v>
      </c>
      <c r="O11" s="4">
        <v>15.2</v>
      </c>
      <c r="Q11" s="2" t="s">
        <v>98</v>
      </c>
      <c r="R11" s="2">
        <v>4</v>
      </c>
      <c r="S11" s="2">
        <v>4</v>
      </c>
      <c r="T11" s="21">
        <v>2.5</v>
      </c>
      <c r="U11" s="21">
        <v>0.5</v>
      </c>
      <c r="V11" s="2">
        <v>11</v>
      </c>
    </row>
    <row r="12" spans="2:38" x14ac:dyDescent="0.2">
      <c r="B12" t="s">
        <v>7</v>
      </c>
      <c r="C12">
        <v>38.799999999999997</v>
      </c>
      <c r="D12" s="1">
        <v>2.1596299999999995</v>
      </c>
      <c r="E12" s="1">
        <v>0.74037000000000042</v>
      </c>
      <c r="F12">
        <v>18.100000000000001</v>
      </c>
      <c r="G12">
        <v>17.799999999999997</v>
      </c>
      <c r="J12" t="s">
        <v>7</v>
      </c>
      <c r="K12" s="4">
        <v>4.1625000000000005</v>
      </c>
      <c r="L12" s="4">
        <v>1.0914999999999999</v>
      </c>
      <c r="M12" s="4">
        <v>8.1460000000000008</v>
      </c>
      <c r="N12" s="4">
        <v>5.0999999999999996</v>
      </c>
      <c r="O12" s="4">
        <v>19</v>
      </c>
      <c r="Q12" s="2" t="s">
        <v>49</v>
      </c>
      <c r="R12" s="2">
        <v>2</v>
      </c>
      <c r="S12" s="2">
        <v>8</v>
      </c>
      <c r="T12" s="21">
        <v>2.4</v>
      </c>
      <c r="U12" s="21">
        <v>0.60000000000000009</v>
      </c>
      <c r="V12" s="2">
        <v>13</v>
      </c>
    </row>
    <row r="13" spans="2:38" x14ac:dyDescent="0.2">
      <c r="J13" t="s">
        <v>50</v>
      </c>
      <c r="K13" s="4">
        <v>4.1625000000000005</v>
      </c>
      <c r="L13" s="4">
        <v>1.0914999999999999</v>
      </c>
      <c r="M13" s="4">
        <v>8.1460000000000008</v>
      </c>
      <c r="N13" s="4">
        <v>5.0999999999999996</v>
      </c>
      <c r="O13" s="4">
        <v>19</v>
      </c>
      <c r="Q13" s="2" t="s">
        <v>52</v>
      </c>
      <c r="R13" s="2">
        <v>9</v>
      </c>
      <c r="S13" s="2">
        <v>4</v>
      </c>
      <c r="T13" s="21">
        <v>2.4</v>
      </c>
      <c r="U13" s="21">
        <v>0.6</v>
      </c>
      <c r="V13" s="2">
        <v>16</v>
      </c>
    </row>
    <row r="14" spans="2:38" x14ac:dyDescent="0.2">
      <c r="Q14" s="2" t="s">
        <v>53</v>
      </c>
      <c r="R14" s="2">
        <v>9</v>
      </c>
      <c r="S14" s="2">
        <v>6</v>
      </c>
      <c r="T14" s="21">
        <v>1.5</v>
      </c>
      <c r="U14" s="21">
        <v>0.5</v>
      </c>
      <c r="V14" s="2">
        <v>17</v>
      </c>
    </row>
    <row r="15" spans="2:38" x14ac:dyDescent="0.2">
      <c r="B15" s="26" t="s">
        <v>35</v>
      </c>
      <c r="C15" s="27"/>
      <c r="D15" s="27"/>
      <c r="E15" s="27"/>
      <c r="F15" s="27"/>
      <c r="G15" s="27"/>
      <c r="H15" s="27"/>
      <c r="Q15" s="2" t="s">
        <v>99</v>
      </c>
      <c r="R15" s="2">
        <v>9</v>
      </c>
      <c r="S15" s="2">
        <v>8</v>
      </c>
      <c r="T15" s="21">
        <v>2.4</v>
      </c>
      <c r="U15" s="21">
        <v>0.6</v>
      </c>
      <c r="V15" s="2">
        <v>20</v>
      </c>
    </row>
    <row r="16" spans="2:38" x14ac:dyDescent="0.2">
      <c r="B16" s="27"/>
      <c r="C16" s="27" t="s">
        <v>29</v>
      </c>
      <c r="D16" s="27" t="s">
        <v>30</v>
      </c>
      <c r="E16" s="27" t="s">
        <v>34</v>
      </c>
      <c r="F16" s="27" t="s">
        <v>177</v>
      </c>
      <c r="G16" s="27" t="s">
        <v>178</v>
      </c>
      <c r="H16" s="27" t="s">
        <v>179</v>
      </c>
      <c r="J16" s="3" t="s">
        <v>51</v>
      </c>
      <c r="Q16" s="2" t="s">
        <v>100</v>
      </c>
      <c r="R16" s="2">
        <v>10</v>
      </c>
      <c r="S16" s="2">
        <v>8</v>
      </c>
      <c r="T16" s="21">
        <v>5</v>
      </c>
      <c r="U16" s="21">
        <v>1</v>
      </c>
      <c r="V16" s="2">
        <v>24</v>
      </c>
      <c r="Z16" s="3" t="s">
        <v>104</v>
      </c>
    </row>
    <row r="17" spans="2:48" x14ac:dyDescent="0.2">
      <c r="B17" s="27" t="s">
        <v>31</v>
      </c>
      <c r="C17" s="27">
        <f t="shared" ref="C17:C25" si="1">SUM(D17:E17)</f>
        <v>1.1000000000000001</v>
      </c>
      <c r="D17" s="27">
        <v>0.8</v>
      </c>
      <c r="E17" s="27">
        <v>0.3</v>
      </c>
      <c r="F17" s="27">
        <f>C17*$C$33 / 100</f>
        <v>0.40039999999999998</v>
      </c>
      <c r="G17" s="27">
        <f>C17*$C$31 / 100</f>
        <v>0.6391</v>
      </c>
      <c r="H17" s="27">
        <f>C17*$C$32 / 100</f>
        <v>6.0500000000000005E-2</v>
      </c>
      <c r="Q17" s="3" t="s">
        <v>104</v>
      </c>
      <c r="Z17" t="s">
        <v>157</v>
      </c>
      <c r="AA17" t="s">
        <v>158</v>
      </c>
      <c r="AB17" t="s">
        <v>159</v>
      </c>
      <c r="AC17" t="s">
        <v>160</v>
      </c>
      <c r="AD17" t="s">
        <v>161</v>
      </c>
      <c r="AE17" t="s">
        <v>162</v>
      </c>
      <c r="AF17" t="s">
        <v>163</v>
      </c>
      <c r="AG17" t="s">
        <v>164</v>
      </c>
      <c r="AH17" t="s">
        <v>165</v>
      </c>
      <c r="AJ17" t="s">
        <v>166</v>
      </c>
      <c r="AK17" t="s">
        <v>167</v>
      </c>
      <c r="AL17" t="s">
        <v>168</v>
      </c>
      <c r="AM17" t="s">
        <v>169</v>
      </c>
      <c r="AN17" t="s">
        <v>170</v>
      </c>
      <c r="AO17" t="s">
        <v>171</v>
      </c>
      <c r="AQ17" t="s">
        <v>166</v>
      </c>
      <c r="AR17" t="s">
        <v>167</v>
      </c>
      <c r="AS17" t="s">
        <v>168</v>
      </c>
      <c r="AT17" t="s">
        <v>169</v>
      </c>
      <c r="AU17" t="s">
        <v>170</v>
      </c>
      <c r="AV17" t="s">
        <v>171</v>
      </c>
    </row>
    <row r="18" spans="2:48" x14ac:dyDescent="0.2">
      <c r="B18" s="27" t="s">
        <v>3</v>
      </c>
      <c r="C18" s="27">
        <f t="shared" si="1"/>
        <v>4.5</v>
      </c>
      <c r="D18" s="27">
        <v>3.2</v>
      </c>
      <c r="E18" s="27">
        <v>1.3</v>
      </c>
      <c r="F18" s="27">
        <f t="shared" ref="F18:F25" si="2">C18*$C$33 / 100</f>
        <v>1.6379999999999999</v>
      </c>
      <c r="G18" s="27">
        <f t="shared" ref="G18:G25" si="3">C18*$C$31 / 100</f>
        <v>2.6145</v>
      </c>
      <c r="H18" s="27">
        <f t="shared" ref="H18:H25" si="4">C18*$C$32 / 100</f>
        <v>0.2475</v>
      </c>
      <c r="K18" t="s">
        <v>30</v>
      </c>
      <c r="L18" t="s">
        <v>34</v>
      </c>
      <c r="M18" t="s">
        <v>29</v>
      </c>
      <c r="R18" t="s">
        <v>84</v>
      </c>
      <c r="S18" t="s">
        <v>84</v>
      </c>
      <c r="T18" t="s">
        <v>84</v>
      </c>
      <c r="Z18" t="s">
        <v>172</v>
      </c>
      <c r="AA18">
        <v>8.2100000000000009</v>
      </c>
      <c r="AB18">
        <v>2.2400000000000002</v>
      </c>
      <c r="AC18">
        <v>1.3218099999999999</v>
      </c>
      <c r="AD18">
        <v>0.65680000000000005</v>
      </c>
      <c r="AE18">
        <v>6.2313900000000002</v>
      </c>
      <c r="AF18">
        <v>0.46144000000000002</v>
      </c>
      <c r="AG18">
        <v>0.224</v>
      </c>
      <c r="AH18">
        <v>1.5545599999999999</v>
      </c>
      <c r="AJ18">
        <v>0.161</v>
      </c>
      <c r="AK18">
        <v>0.08</v>
      </c>
      <c r="AL18">
        <v>0.75900000000000001</v>
      </c>
      <c r="AM18">
        <v>0.20599999999999999</v>
      </c>
      <c r="AN18">
        <v>0.1</v>
      </c>
      <c r="AO18">
        <v>0.69399999999999995</v>
      </c>
      <c r="AQ18">
        <v>0.161</v>
      </c>
      <c r="AR18">
        <v>0.08</v>
      </c>
      <c r="AS18">
        <v>0.75900000000000001</v>
      </c>
      <c r="AT18">
        <v>0.20599999999999999</v>
      </c>
      <c r="AU18">
        <v>0.1</v>
      </c>
      <c r="AV18">
        <v>0.69399999999999995</v>
      </c>
    </row>
    <row r="19" spans="2:48" x14ac:dyDescent="0.2">
      <c r="B19" s="27" t="s">
        <v>4</v>
      </c>
      <c r="C19" s="27">
        <f t="shared" si="1"/>
        <v>7.8999999999999995</v>
      </c>
      <c r="D19" s="27">
        <v>3.8</v>
      </c>
      <c r="E19" s="27">
        <v>4.0999999999999996</v>
      </c>
      <c r="F19" s="27">
        <f t="shared" si="2"/>
        <v>2.8755999999999995</v>
      </c>
      <c r="G19" s="27">
        <f t="shared" si="3"/>
        <v>4.5898999999999992</v>
      </c>
      <c r="H19" s="27">
        <f t="shared" si="4"/>
        <v>0.43449999999999994</v>
      </c>
      <c r="J19" t="s">
        <v>46</v>
      </c>
      <c r="K19">
        <v>0.65</v>
      </c>
      <c r="L19">
        <v>0.25</v>
      </c>
      <c r="M19">
        <f t="shared" ref="M19:M25" si="5">SUM(K19:L19)</f>
        <v>0.9</v>
      </c>
      <c r="R19" t="s">
        <v>8</v>
      </c>
      <c r="S19" t="s">
        <v>9</v>
      </c>
      <c r="T19" t="s">
        <v>85</v>
      </c>
      <c r="U19" t="s">
        <v>103</v>
      </c>
      <c r="Z19" t="s">
        <v>4</v>
      </c>
      <c r="AA19">
        <v>12.85</v>
      </c>
      <c r="AB19">
        <v>2.14</v>
      </c>
      <c r="AC19">
        <v>2.0688499999999999</v>
      </c>
      <c r="AD19">
        <v>1.028</v>
      </c>
      <c r="AE19">
        <v>9.7531499999999998</v>
      </c>
      <c r="AF19">
        <v>0.44084000000000001</v>
      </c>
      <c r="AG19">
        <v>0.214</v>
      </c>
      <c r="AH19">
        <v>1.48516</v>
      </c>
      <c r="AJ19">
        <v>0.161</v>
      </c>
      <c r="AK19">
        <v>0.08</v>
      </c>
      <c r="AL19">
        <v>0.75900000000000001</v>
      </c>
      <c r="AM19">
        <v>0.20599999999999999</v>
      </c>
      <c r="AN19">
        <v>0.1</v>
      </c>
      <c r="AO19">
        <v>0.69399999999999995</v>
      </c>
      <c r="AQ19">
        <v>0.161</v>
      </c>
      <c r="AR19">
        <v>0.08</v>
      </c>
      <c r="AS19">
        <v>0.75900000000000001</v>
      </c>
      <c r="AT19">
        <v>0.20599999999999999</v>
      </c>
      <c r="AU19">
        <v>0.1</v>
      </c>
      <c r="AV19">
        <v>0.69399999999999995</v>
      </c>
    </row>
    <row r="20" spans="2:48" x14ac:dyDescent="0.2">
      <c r="B20" s="27" t="s">
        <v>22</v>
      </c>
      <c r="C20" s="27">
        <f t="shared" si="1"/>
        <v>3.2</v>
      </c>
      <c r="D20" s="27">
        <v>1.4</v>
      </c>
      <c r="E20" s="27">
        <v>1.8</v>
      </c>
      <c r="F20" s="27">
        <f t="shared" si="2"/>
        <v>1.1648000000000001</v>
      </c>
      <c r="G20" s="27">
        <f t="shared" si="3"/>
        <v>1.8592000000000002</v>
      </c>
      <c r="H20" s="27">
        <f t="shared" si="4"/>
        <v>0.17600000000000002</v>
      </c>
      <c r="J20" t="s">
        <v>47</v>
      </c>
      <c r="K20">
        <v>0.55000000000000004</v>
      </c>
      <c r="L20">
        <v>0.37</v>
      </c>
      <c r="M20">
        <f t="shared" si="5"/>
        <v>0.92</v>
      </c>
      <c r="Q20" t="s">
        <v>86</v>
      </c>
      <c r="R20" s="6">
        <v>6.2186234817813782E-2</v>
      </c>
      <c r="S20" s="6">
        <v>2.7638326585695011E-2</v>
      </c>
      <c r="T20" s="6">
        <v>7.773279352226721E-2</v>
      </c>
      <c r="U20" s="6">
        <f>SUM(R20:T20)</f>
        <v>0.167557354925776</v>
      </c>
      <c r="Z20" t="s">
        <v>46</v>
      </c>
      <c r="AA20">
        <v>15.35</v>
      </c>
      <c r="AB20">
        <v>3.64</v>
      </c>
      <c r="AC20">
        <v>3.9910000000000001</v>
      </c>
      <c r="AD20">
        <v>1.5196499999999999</v>
      </c>
      <c r="AE20">
        <v>9.8393499999999996</v>
      </c>
      <c r="AF20">
        <v>0.87360000000000004</v>
      </c>
      <c r="AG20">
        <v>0.3276</v>
      </c>
      <c r="AH20">
        <v>2.4388000000000001</v>
      </c>
      <c r="AJ20">
        <v>0.26</v>
      </c>
      <c r="AK20">
        <v>9.9000000000000005E-2</v>
      </c>
      <c r="AL20">
        <v>0.64100000000000001</v>
      </c>
      <c r="AM20">
        <v>0.24</v>
      </c>
      <c r="AN20">
        <v>0.09</v>
      </c>
      <c r="AO20">
        <v>0.67</v>
      </c>
      <c r="AQ20">
        <v>0.26</v>
      </c>
      <c r="AR20">
        <v>9.9000000000000005E-2</v>
      </c>
      <c r="AS20">
        <v>0.64100000000000001</v>
      </c>
      <c r="AT20">
        <v>0.24</v>
      </c>
      <c r="AU20">
        <v>0.09</v>
      </c>
      <c r="AV20">
        <v>0.67</v>
      </c>
    </row>
    <row r="21" spans="2:48" x14ac:dyDescent="0.2">
      <c r="B21" s="27" t="s">
        <v>6</v>
      </c>
      <c r="C21" s="27">
        <f t="shared" si="1"/>
        <v>1</v>
      </c>
      <c r="D21" s="27">
        <v>0.5</v>
      </c>
      <c r="E21" s="27">
        <v>0.5</v>
      </c>
      <c r="F21" s="27">
        <f t="shared" si="2"/>
        <v>0.36399999999999999</v>
      </c>
      <c r="G21" s="27">
        <f t="shared" si="3"/>
        <v>0.58099999999999996</v>
      </c>
      <c r="H21" s="27">
        <f t="shared" si="4"/>
        <v>5.5E-2</v>
      </c>
      <c r="J21" t="s">
        <v>48</v>
      </c>
      <c r="K21">
        <v>0.7</v>
      </c>
      <c r="L21">
        <v>0.45</v>
      </c>
      <c r="M21">
        <f t="shared" si="5"/>
        <v>1.1499999999999999</v>
      </c>
      <c r="Q21" t="s">
        <v>87</v>
      </c>
      <c r="R21" s="6">
        <v>5.7617728531855962E-2</v>
      </c>
      <c r="S21" s="6">
        <v>2.4693312227938271E-2</v>
      </c>
      <c r="T21" s="6">
        <v>0.15309853581321728</v>
      </c>
      <c r="U21" s="6">
        <f t="shared" ref="U21:U23" si="6">SUM(R21:T21)</f>
        <v>0.23540957657301151</v>
      </c>
      <c r="Z21" t="s">
        <v>47</v>
      </c>
      <c r="AA21">
        <v>8.2100000000000009</v>
      </c>
      <c r="AB21">
        <v>2.71</v>
      </c>
      <c r="AC21">
        <v>2.1345999999999998</v>
      </c>
      <c r="AD21">
        <v>0.81279000000000001</v>
      </c>
      <c r="AE21">
        <v>5.2626099999999996</v>
      </c>
      <c r="AF21">
        <v>0.65039999999999998</v>
      </c>
      <c r="AG21">
        <v>0.24390000000000001</v>
      </c>
      <c r="AH21">
        <v>1.8157000000000001</v>
      </c>
      <c r="AJ21">
        <v>0.26</v>
      </c>
      <c r="AK21">
        <v>9.9000000000000005E-2</v>
      </c>
      <c r="AL21">
        <v>0.64100000000000001</v>
      </c>
      <c r="AM21">
        <v>0.24</v>
      </c>
      <c r="AN21">
        <v>0.09</v>
      </c>
      <c r="AO21">
        <v>0.67</v>
      </c>
      <c r="AQ21">
        <v>0.26</v>
      </c>
      <c r="AR21">
        <v>9.9000000000000005E-2</v>
      </c>
      <c r="AS21">
        <v>0.64100000000000001</v>
      </c>
      <c r="AT21">
        <v>0.24</v>
      </c>
      <c r="AU21">
        <v>0.09</v>
      </c>
      <c r="AV21">
        <v>0.67</v>
      </c>
    </row>
    <row r="22" spans="2:48" x14ac:dyDescent="0.2">
      <c r="B22" s="27" t="s">
        <v>7</v>
      </c>
      <c r="C22" s="27">
        <f t="shared" si="1"/>
        <v>0.5</v>
      </c>
      <c r="D22" s="27">
        <v>0.4</v>
      </c>
      <c r="E22" s="27">
        <v>0.1</v>
      </c>
      <c r="F22" s="27">
        <f t="shared" si="2"/>
        <v>0.182</v>
      </c>
      <c r="G22" s="27">
        <f t="shared" si="3"/>
        <v>0.29049999999999998</v>
      </c>
      <c r="H22" s="27">
        <f t="shared" si="4"/>
        <v>2.75E-2</v>
      </c>
      <c r="J22" t="s">
        <v>49</v>
      </c>
      <c r="K22">
        <v>0.6</v>
      </c>
      <c r="L22">
        <v>0.45</v>
      </c>
      <c r="M22">
        <f t="shared" si="5"/>
        <v>1.05</v>
      </c>
      <c r="Q22" t="s">
        <v>88</v>
      </c>
      <c r="R22" s="6">
        <v>7.2842105263157902E-2</v>
      </c>
      <c r="S22" s="6">
        <v>2.648803827751196E-2</v>
      </c>
      <c r="T22" s="6">
        <v>0.29136842105263161</v>
      </c>
      <c r="U22" s="6">
        <f t="shared" si="6"/>
        <v>0.39069856459330149</v>
      </c>
      <c r="Z22" t="s">
        <v>48</v>
      </c>
      <c r="AA22">
        <v>5.35</v>
      </c>
      <c r="AB22">
        <v>2.85</v>
      </c>
      <c r="AC22">
        <v>2.9424999999999999</v>
      </c>
      <c r="AD22">
        <v>0.749</v>
      </c>
      <c r="AE22">
        <v>1.6585000000000001</v>
      </c>
      <c r="AF22">
        <v>1.3109999999999999</v>
      </c>
      <c r="AG22">
        <v>0.3135</v>
      </c>
      <c r="AH22">
        <v>1.2255</v>
      </c>
      <c r="AJ22">
        <v>0.55000000000000004</v>
      </c>
      <c r="AK22">
        <v>0.14000000000000001</v>
      </c>
      <c r="AL22">
        <v>0.31</v>
      </c>
      <c r="AM22">
        <v>0.46</v>
      </c>
      <c r="AN22">
        <v>0.11</v>
      </c>
      <c r="AO22">
        <v>0.43</v>
      </c>
      <c r="AQ22">
        <v>0.55000000000000004</v>
      </c>
      <c r="AR22">
        <v>0.14000000000000001</v>
      </c>
      <c r="AS22">
        <v>0.31</v>
      </c>
      <c r="AT22">
        <v>0.46</v>
      </c>
      <c r="AU22">
        <v>0.11</v>
      </c>
      <c r="AV22">
        <v>0.43</v>
      </c>
    </row>
    <row r="23" spans="2:48" x14ac:dyDescent="0.2">
      <c r="B23" s="27" t="s">
        <v>23</v>
      </c>
      <c r="C23" s="27">
        <f t="shared" si="1"/>
        <v>0.1</v>
      </c>
      <c r="D23" s="27">
        <v>0.1</v>
      </c>
      <c r="E23" s="27">
        <v>0</v>
      </c>
      <c r="F23" s="27">
        <f t="shared" si="2"/>
        <v>3.6400000000000002E-2</v>
      </c>
      <c r="G23" s="27">
        <f t="shared" si="3"/>
        <v>5.8100000000000006E-2</v>
      </c>
      <c r="H23" s="27">
        <f t="shared" si="4"/>
        <v>5.5000000000000005E-3</v>
      </c>
      <c r="J23" t="s">
        <v>52</v>
      </c>
      <c r="K23">
        <v>0.4</v>
      </c>
      <c r="L23">
        <v>0.46</v>
      </c>
      <c r="M23">
        <f t="shared" si="5"/>
        <v>0.8600000000000001</v>
      </c>
      <c r="Q23" t="s">
        <v>89</v>
      </c>
      <c r="R23" s="6">
        <v>3.1228070175438598E-2</v>
      </c>
      <c r="S23" s="6">
        <v>2.498245614035088E-2</v>
      </c>
      <c r="T23" s="6">
        <v>0.14989473684210528</v>
      </c>
      <c r="U23" s="6">
        <f t="shared" si="6"/>
        <v>0.20610526315789474</v>
      </c>
      <c r="Z23" t="s">
        <v>49</v>
      </c>
      <c r="AA23">
        <v>7.93</v>
      </c>
      <c r="AB23">
        <v>1.85</v>
      </c>
      <c r="AC23">
        <v>4.3615000000000004</v>
      </c>
      <c r="AD23">
        <v>1.1102000000000001</v>
      </c>
      <c r="AE23">
        <v>2.4582999999999999</v>
      </c>
      <c r="AF23">
        <v>0.85099999999999998</v>
      </c>
      <c r="AG23">
        <v>0.20349999999999999</v>
      </c>
      <c r="AH23">
        <v>0.79549999999999998</v>
      </c>
      <c r="AJ23">
        <v>0.55000000000000004</v>
      </c>
      <c r="AK23">
        <v>0.14000000000000001</v>
      </c>
      <c r="AL23">
        <v>0.31</v>
      </c>
      <c r="AM23">
        <v>0.46</v>
      </c>
      <c r="AN23">
        <v>0.11</v>
      </c>
      <c r="AO23">
        <v>0.43</v>
      </c>
      <c r="AQ23">
        <v>0.55000000000000004</v>
      </c>
      <c r="AR23">
        <v>0.14000000000000001</v>
      </c>
      <c r="AS23">
        <v>0.31</v>
      </c>
      <c r="AT23">
        <v>0.46</v>
      </c>
      <c r="AU23">
        <v>0.11</v>
      </c>
      <c r="AV23">
        <v>0.43</v>
      </c>
    </row>
    <row r="24" spans="2:48" x14ac:dyDescent="0.2">
      <c r="B24" s="27" t="s">
        <v>32</v>
      </c>
      <c r="C24" s="27">
        <f t="shared" si="1"/>
        <v>0.1</v>
      </c>
      <c r="D24" s="27">
        <v>0</v>
      </c>
      <c r="E24" s="27">
        <v>0.1</v>
      </c>
      <c r="F24" s="27">
        <f t="shared" si="2"/>
        <v>3.6400000000000002E-2</v>
      </c>
      <c r="G24" s="27">
        <f t="shared" si="3"/>
        <v>5.8100000000000006E-2</v>
      </c>
      <c r="H24" s="27">
        <f t="shared" si="4"/>
        <v>5.5000000000000005E-3</v>
      </c>
      <c r="J24" t="s">
        <v>53</v>
      </c>
      <c r="K24">
        <v>0.5</v>
      </c>
      <c r="L24">
        <v>0.48</v>
      </c>
      <c r="M24">
        <f t="shared" si="5"/>
        <v>0.98</v>
      </c>
      <c r="Z24" t="s">
        <v>52</v>
      </c>
      <c r="AA24">
        <v>7.14</v>
      </c>
      <c r="AB24">
        <v>2.14</v>
      </c>
      <c r="AC24">
        <v>3.927</v>
      </c>
      <c r="AD24">
        <v>0.99960000000000004</v>
      </c>
      <c r="AE24">
        <v>2.2134</v>
      </c>
      <c r="AF24">
        <v>0.98440000000000005</v>
      </c>
      <c r="AG24">
        <v>0.2354</v>
      </c>
      <c r="AH24">
        <v>0.92020000000000002</v>
      </c>
      <c r="AJ24">
        <v>0.55000000000000004</v>
      </c>
      <c r="AK24">
        <v>0.14000000000000001</v>
      </c>
      <c r="AL24">
        <v>0.31</v>
      </c>
      <c r="AM24">
        <v>0.46</v>
      </c>
      <c r="AN24">
        <v>0.11</v>
      </c>
      <c r="AO24">
        <v>0.43</v>
      </c>
      <c r="AQ24">
        <v>0.55000000000000004</v>
      </c>
      <c r="AR24">
        <v>0.14000000000000001</v>
      </c>
      <c r="AS24">
        <v>0.31</v>
      </c>
      <c r="AT24">
        <v>0.46</v>
      </c>
      <c r="AU24">
        <v>0.11</v>
      </c>
      <c r="AV24">
        <v>0.43</v>
      </c>
    </row>
    <row r="25" spans="2:48" x14ac:dyDescent="0.2">
      <c r="B25" s="27" t="s">
        <v>33</v>
      </c>
      <c r="C25" s="27">
        <f t="shared" si="1"/>
        <v>0</v>
      </c>
      <c r="D25" s="27">
        <v>0</v>
      </c>
      <c r="E25" s="27">
        <v>0</v>
      </c>
      <c r="F25" s="27">
        <f t="shared" si="2"/>
        <v>0</v>
      </c>
      <c r="G25" s="27">
        <f t="shared" si="3"/>
        <v>0</v>
      </c>
      <c r="H25" s="27">
        <f t="shared" si="4"/>
        <v>0</v>
      </c>
      <c r="J25" t="s">
        <v>54</v>
      </c>
      <c r="K25">
        <v>0.8</v>
      </c>
      <c r="L25">
        <v>0.43</v>
      </c>
      <c r="M25">
        <f t="shared" si="5"/>
        <v>1.23</v>
      </c>
      <c r="Z25" t="s">
        <v>173</v>
      </c>
      <c r="AA25">
        <v>7.85</v>
      </c>
      <c r="AB25">
        <v>1.43</v>
      </c>
      <c r="AC25">
        <v>4.3174999999999999</v>
      </c>
      <c r="AD25">
        <v>1.099</v>
      </c>
      <c r="AE25">
        <v>2.4335</v>
      </c>
      <c r="AF25">
        <v>0.65780000000000005</v>
      </c>
      <c r="AG25">
        <v>0.1573</v>
      </c>
      <c r="AH25">
        <v>0.6149</v>
      </c>
      <c r="AJ25">
        <v>0.55000000000000004</v>
      </c>
      <c r="AK25">
        <v>0.14000000000000001</v>
      </c>
      <c r="AL25">
        <v>0.31</v>
      </c>
      <c r="AM25">
        <v>0.46</v>
      </c>
      <c r="AN25">
        <v>0.11</v>
      </c>
      <c r="AO25">
        <v>0.43</v>
      </c>
      <c r="AQ25">
        <v>0.55000000000000004</v>
      </c>
      <c r="AR25">
        <v>0.14000000000000001</v>
      </c>
      <c r="AS25">
        <v>0.31</v>
      </c>
      <c r="AT25">
        <v>0.46</v>
      </c>
      <c r="AU25">
        <v>0.11</v>
      </c>
      <c r="AV25">
        <v>0.43</v>
      </c>
    </row>
    <row r="27" spans="2:48" x14ac:dyDescent="0.2">
      <c r="B27" s="2" t="s">
        <v>10</v>
      </c>
    </row>
    <row r="28" spans="2:48" ht="45.5" customHeight="1" x14ac:dyDescent="0.2">
      <c r="B28" s="23" t="s">
        <v>18</v>
      </c>
      <c r="C28" s="23"/>
      <c r="D28" s="23"/>
      <c r="E28" s="23"/>
      <c r="J28" s="23" t="s">
        <v>18</v>
      </c>
      <c r="K28" s="23"/>
      <c r="L28" s="23"/>
      <c r="M28" s="23"/>
      <c r="N28" s="23"/>
      <c r="AG28" t="s">
        <v>174</v>
      </c>
    </row>
    <row r="29" spans="2:48" x14ac:dyDescent="0.2">
      <c r="Q29" t="s">
        <v>10</v>
      </c>
      <c r="R29" s="25" t="s">
        <v>101</v>
      </c>
      <c r="S29" s="25"/>
      <c r="T29" s="25"/>
      <c r="U29" s="25"/>
      <c r="V29" s="25"/>
      <c r="W29" t="s">
        <v>55</v>
      </c>
      <c r="AG29" t="s">
        <v>175</v>
      </c>
    </row>
    <row r="30" spans="2:48" x14ac:dyDescent="0.2">
      <c r="C30" t="s">
        <v>37</v>
      </c>
      <c r="D30" t="s">
        <v>42</v>
      </c>
      <c r="E30" t="s">
        <v>10</v>
      </c>
      <c r="K30" t="s">
        <v>37</v>
      </c>
      <c r="L30" t="s">
        <v>55</v>
      </c>
      <c r="R30" t="s">
        <v>12</v>
      </c>
      <c r="S30" t="s">
        <v>22</v>
      </c>
      <c r="T30" t="s">
        <v>6</v>
      </c>
      <c r="U30" t="s">
        <v>7</v>
      </c>
      <c r="V30" t="s">
        <v>102</v>
      </c>
      <c r="W30" t="s">
        <v>102</v>
      </c>
      <c r="Z30" s="23" t="s">
        <v>135</v>
      </c>
      <c r="AA30" s="23"/>
      <c r="AB30" s="23"/>
      <c r="AC30" s="23"/>
      <c r="AD30" s="23"/>
      <c r="AG30" t="s">
        <v>176</v>
      </c>
    </row>
    <row r="31" spans="2:48" x14ac:dyDescent="0.2">
      <c r="B31" t="s">
        <v>8</v>
      </c>
      <c r="C31">
        <v>58.1</v>
      </c>
      <c r="D31" s="1">
        <f>(53.2/91)*100</f>
        <v>58.461538461538467</v>
      </c>
      <c r="J31" t="s">
        <v>8</v>
      </c>
      <c r="K31">
        <v>65</v>
      </c>
      <c r="L31">
        <f>44.4+5.5+1.8+1.8+1.2</f>
        <v>54.699999999999996</v>
      </c>
      <c r="Q31" t="s">
        <v>8</v>
      </c>
      <c r="R31">
        <f>33.3+6.4</f>
        <v>39.699999999999996</v>
      </c>
      <c r="S31">
        <f>22.6+1.9</f>
        <v>24.5</v>
      </c>
      <c r="T31">
        <f>16.4+1.8</f>
        <v>18.2</v>
      </c>
      <c r="U31">
        <f>10+3.3</f>
        <v>13.3</v>
      </c>
      <c r="V31" s="1">
        <f>22.8+3.45</f>
        <v>26.25</v>
      </c>
      <c r="W31">
        <f>37.9+6.4</f>
        <v>44.3</v>
      </c>
    </row>
    <row r="32" spans="2:48" x14ac:dyDescent="0.2">
      <c r="B32" t="s">
        <v>9</v>
      </c>
      <c r="C32">
        <v>5.5</v>
      </c>
      <c r="D32" s="1">
        <f>(13.1/91)*100</f>
        <v>14.395604395604394</v>
      </c>
      <c r="J32" t="s">
        <v>9</v>
      </c>
      <c r="K32">
        <v>5</v>
      </c>
      <c r="L32">
        <f>3.7+5.5+1.2</f>
        <v>10.399999999999999</v>
      </c>
      <c r="Q32" t="s">
        <v>14</v>
      </c>
      <c r="R32">
        <f>7.7+6.4</f>
        <v>14.100000000000001</v>
      </c>
      <c r="S32">
        <f>7.5+1.9</f>
        <v>9.4</v>
      </c>
      <c r="T32">
        <f>3.6+1.8</f>
        <v>5.4</v>
      </c>
      <c r="U32">
        <f>6.7+3.3</f>
        <v>10</v>
      </c>
      <c r="V32" s="1">
        <f>6.5+3.45</f>
        <v>9.9499999999999993</v>
      </c>
      <c r="W32">
        <v>22.9</v>
      </c>
      <c r="AA32" s="24" t="s">
        <v>136</v>
      </c>
      <c r="AB32" s="24"/>
      <c r="AD32" s="3" t="s">
        <v>137</v>
      </c>
      <c r="AE32" s="3"/>
      <c r="AH32" s="3"/>
    </row>
    <row r="33" spans="2:31" ht="19" x14ac:dyDescent="0.25">
      <c r="B33" t="s">
        <v>38</v>
      </c>
      <c r="C33">
        <f>100-(58.1+5.5)</f>
        <v>36.4</v>
      </c>
      <c r="D33" s="1">
        <f>100-SUM(D31:D32)</f>
        <v>27.142857142857139</v>
      </c>
      <c r="J33" t="s">
        <v>38</v>
      </c>
      <c r="K33">
        <v>30</v>
      </c>
      <c r="L33" s="1">
        <f>100-SUM(L31:L32)</f>
        <v>34.900000000000006</v>
      </c>
      <c r="Q33" t="s">
        <v>38</v>
      </c>
      <c r="R33">
        <f t="shared" ref="R33:W33" si="7">100-SUM(R31:R32)</f>
        <v>46.2</v>
      </c>
      <c r="S33">
        <f t="shared" si="7"/>
        <v>66.099999999999994</v>
      </c>
      <c r="T33">
        <f t="shared" si="7"/>
        <v>76.400000000000006</v>
      </c>
      <c r="U33">
        <f t="shared" si="7"/>
        <v>76.7</v>
      </c>
      <c r="V33">
        <f t="shared" si="7"/>
        <v>63.8</v>
      </c>
      <c r="W33">
        <f t="shared" si="7"/>
        <v>32.800000000000011</v>
      </c>
      <c r="AA33" s="17" t="s">
        <v>138</v>
      </c>
      <c r="AB33" s="17" t="s">
        <v>139</v>
      </c>
      <c r="AD33" t="s">
        <v>140</v>
      </c>
      <c r="AE33" s="18">
        <v>0.47256329375601658</v>
      </c>
    </row>
    <row r="34" spans="2:31" x14ac:dyDescent="0.2">
      <c r="D34" s="1" t="s">
        <v>10</v>
      </c>
      <c r="Z34" t="s">
        <v>141</v>
      </c>
      <c r="AA34" s="2"/>
      <c r="AB34" s="2"/>
      <c r="AD34" t="s">
        <v>142</v>
      </c>
      <c r="AE34" s="18">
        <v>0.2264365782580913</v>
      </c>
    </row>
    <row r="35" spans="2:31" x14ac:dyDescent="0.2">
      <c r="Z35" t="s">
        <v>140</v>
      </c>
      <c r="AA35" s="19">
        <v>0.161</v>
      </c>
      <c r="AB35" s="19">
        <v>0.20599999999999999</v>
      </c>
      <c r="AD35" t="s">
        <v>143</v>
      </c>
      <c r="AE35" s="18">
        <v>0.30100012798589215</v>
      </c>
    </row>
    <row r="36" spans="2:31" x14ac:dyDescent="0.2">
      <c r="B36" s="3" t="s">
        <v>28</v>
      </c>
      <c r="J36" s="3" t="s">
        <v>56</v>
      </c>
      <c r="Q36" s="3" t="s">
        <v>105</v>
      </c>
      <c r="Z36" t="s">
        <v>142</v>
      </c>
      <c r="AA36" s="19">
        <v>0.08</v>
      </c>
      <c r="AB36" s="19">
        <v>0.1</v>
      </c>
    </row>
    <row r="37" spans="2:31" ht="16" x14ac:dyDescent="0.2">
      <c r="C37" t="s">
        <v>27</v>
      </c>
      <c r="J37" t="s">
        <v>10</v>
      </c>
      <c r="Q37" s="7" t="s">
        <v>1</v>
      </c>
      <c r="R37" s="7" t="s">
        <v>106</v>
      </c>
      <c r="U37" s="7" t="s">
        <v>107</v>
      </c>
      <c r="Z37" t="s">
        <v>143</v>
      </c>
      <c r="AA37" s="19">
        <f>1-SUM(AA35:AA36)</f>
        <v>0.75900000000000001</v>
      </c>
      <c r="AB37" s="19">
        <f>1-SUM(AB35:AB36)</f>
        <v>0.69399999999999995</v>
      </c>
    </row>
    <row r="38" spans="2:31" ht="16" x14ac:dyDescent="0.2">
      <c r="C38" t="s">
        <v>21</v>
      </c>
      <c r="D38" t="s">
        <v>25</v>
      </c>
      <c r="E38" t="s">
        <v>26</v>
      </c>
      <c r="J38" t="s">
        <v>57</v>
      </c>
      <c r="Q38" s="7" t="s">
        <v>108</v>
      </c>
      <c r="R38" s="9">
        <v>4.6185819349999999</v>
      </c>
      <c r="S38" s="9" t="s">
        <v>10</v>
      </c>
      <c r="T38" s="1"/>
      <c r="U38" s="9">
        <v>12.228106540000001</v>
      </c>
      <c r="AA38" s="2"/>
      <c r="AB38" s="2"/>
    </row>
    <row r="39" spans="2:31" ht="16" x14ac:dyDescent="0.2">
      <c r="B39" t="s">
        <v>12</v>
      </c>
      <c r="C39">
        <v>2.5</v>
      </c>
      <c r="D39">
        <v>5.4</v>
      </c>
      <c r="E39" s="1">
        <f t="shared" ref="E39:E44" si="8">(C39*0.85)+(D39*0.15)</f>
        <v>2.9350000000000001</v>
      </c>
      <c r="L39" t="s">
        <v>58</v>
      </c>
      <c r="M39" t="s">
        <v>59</v>
      </c>
      <c r="N39" t="s">
        <v>60</v>
      </c>
      <c r="Q39" s="7" t="s">
        <v>48</v>
      </c>
      <c r="R39" s="9">
        <v>23.331470230000001</v>
      </c>
      <c r="S39" s="9" t="s">
        <v>10</v>
      </c>
      <c r="T39" s="1"/>
      <c r="U39" s="9">
        <v>28.421948</v>
      </c>
      <c r="Z39" t="s">
        <v>144</v>
      </c>
      <c r="AA39" s="2"/>
      <c r="AB39" s="2"/>
    </row>
    <row r="40" spans="2:31" ht="16" x14ac:dyDescent="0.2">
      <c r="B40" t="s">
        <v>22</v>
      </c>
      <c r="C40">
        <v>16.399999999999999</v>
      </c>
      <c r="D40">
        <v>33.700000000000003</v>
      </c>
      <c r="E40" s="1">
        <f t="shared" si="8"/>
        <v>18.994999999999997</v>
      </c>
      <c r="Q40" s="7" t="s">
        <v>49</v>
      </c>
      <c r="R40" s="9">
        <v>31.504596549999999</v>
      </c>
      <c r="S40" s="9" t="s">
        <v>10</v>
      </c>
      <c r="T40" s="1"/>
      <c r="U40" s="9">
        <v>29.189660050000001</v>
      </c>
      <c r="Z40" t="s">
        <v>140</v>
      </c>
      <c r="AA40" s="19">
        <v>0.26</v>
      </c>
      <c r="AB40" s="19">
        <v>0.24</v>
      </c>
    </row>
    <row r="41" spans="2:31" ht="16" x14ac:dyDescent="0.2">
      <c r="B41" t="s">
        <v>6</v>
      </c>
      <c r="C41">
        <v>26</v>
      </c>
      <c r="D41">
        <v>63.1</v>
      </c>
      <c r="E41" s="1">
        <f t="shared" si="8"/>
        <v>31.564999999999998</v>
      </c>
      <c r="J41" t="s">
        <v>12</v>
      </c>
      <c r="L41">
        <v>2.5</v>
      </c>
      <c r="M41">
        <v>1.5</v>
      </c>
      <c r="N41">
        <f>AVERAGE(L41:M41)</f>
        <v>2</v>
      </c>
      <c r="Q41" s="7" t="s">
        <v>52</v>
      </c>
      <c r="R41" s="9">
        <v>40.047227069999998</v>
      </c>
      <c r="S41" s="9" t="s">
        <v>10</v>
      </c>
      <c r="T41" s="1"/>
      <c r="U41" s="9">
        <v>25.13234533</v>
      </c>
      <c r="Z41" t="s">
        <v>142</v>
      </c>
      <c r="AA41" s="19">
        <v>9.9000000000000005E-2</v>
      </c>
      <c r="AB41" s="19">
        <v>0.09</v>
      </c>
    </row>
    <row r="42" spans="2:31" ht="16" x14ac:dyDescent="0.2">
      <c r="B42" t="s">
        <v>7</v>
      </c>
      <c r="C42">
        <v>32.799999999999997</v>
      </c>
      <c r="D42">
        <v>60.9</v>
      </c>
      <c r="E42" s="1">
        <f t="shared" si="8"/>
        <v>37.014999999999993</v>
      </c>
      <c r="J42" t="s">
        <v>22</v>
      </c>
      <c r="L42">
        <v>18</v>
      </c>
      <c r="M42">
        <v>12</v>
      </c>
      <c r="N42">
        <f>AVERAGE(L42:M42)</f>
        <v>15</v>
      </c>
      <c r="Q42" s="7" t="s">
        <v>53</v>
      </c>
      <c r="R42" s="9">
        <v>42.932070809999999</v>
      </c>
      <c r="S42" s="9" t="s">
        <v>10</v>
      </c>
      <c r="T42" s="1"/>
      <c r="U42" s="9">
        <v>20.539868429999999</v>
      </c>
      <c r="Z42" t="s">
        <v>143</v>
      </c>
      <c r="AA42" s="19">
        <f>1-SUM(AA40:AA41)</f>
        <v>0.64100000000000001</v>
      </c>
      <c r="AB42" s="19">
        <f>1-SUM(AB40:AB41)</f>
        <v>0.67</v>
      </c>
    </row>
    <row r="43" spans="2:31" ht="16" x14ac:dyDescent="0.2">
      <c r="B43" t="s">
        <v>23</v>
      </c>
      <c r="C43">
        <v>34.6</v>
      </c>
      <c r="D43">
        <v>80.7</v>
      </c>
      <c r="E43" s="1">
        <f t="shared" si="8"/>
        <v>41.515000000000001</v>
      </c>
      <c r="J43" t="s">
        <v>6</v>
      </c>
      <c r="L43">
        <v>55</v>
      </c>
      <c r="M43">
        <v>35</v>
      </c>
      <c r="N43">
        <f t="shared" ref="N43:N46" si="9">AVERAGE(L43:M43)</f>
        <v>45</v>
      </c>
      <c r="Q43" s="7" t="s">
        <v>109</v>
      </c>
      <c r="R43" s="9">
        <v>53.162165819999998</v>
      </c>
      <c r="S43" s="9" t="s">
        <v>10</v>
      </c>
      <c r="T43" s="1"/>
      <c r="U43" s="9">
        <v>18.516112209999999</v>
      </c>
      <c r="AA43" s="2"/>
      <c r="AB43" s="2"/>
    </row>
    <row r="44" spans="2:31" x14ac:dyDescent="0.2">
      <c r="B44" t="s">
        <v>24</v>
      </c>
      <c r="C44">
        <v>37</v>
      </c>
      <c r="D44">
        <v>79.3</v>
      </c>
      <c r="E44" s="1">
        <f t="shared" si="8"/>
        <v>43.344999999999999</v>
      </c>
      <c r="J44" t="s">
        <v>7</v>
      </c>
      <c r="L44">
        <v>70</v>
      </c>
      <c r="M44">
        <v>60</v>
      </c>
      <c r="N44">
        <f t="shared" si="9"/>
        <v>65</v>
      </c>
      <c r="Z44" t="s">
        <v>145</v>
      </c>
      <c r="AA44" s="2"/>
      <c r="AB44" s="2"/>
    </row>
    <row r="45" spans="2:31" x14ac:dyDescent="0.2">
      <c r="J45" t="s">
        <v>23</v>
      </c>
      <c r="L45">
        <v>65</v>
      </c>
      <c r="M45">
        <v>75</v>
      </c>
      <c r="N45">
        <f t="shared" si="9"/>
        <v>70</v>
      </c>
      <c r="Z45" t="s">
        <v>140</v>
      </c>
      <c r="AA45" s="19">
        <v>0.55000000000000004</v>
      </c>
      <c r="AB45" s="19">
        <v>0.46</v>
      </c>
    </row>
    <row r="46" spans="2:31" x14ac:dyDescent="0.2">
      <c r="J46" t="s">
        <v>24</v>
      </c>
      <c r="L46">
        <v>25</v>
      </c>
      <c r="M46">
        <v>47</v>
      </c>
      <c r="N46">
        <f t="shared" si="9"/>
        <v>36</v>
      </c>
      <c r="Z46" t="s">
        <v>142</v>
      </c>
      <c r="AA46" s="19">
        <v>0.14000000000000001</v>
      </c>
      <c r="AB46" s="19">
        <v>0.11</v>
      </c>
    </row>
    <row r="47" spans="2:31" x14ac:dyDescent="0.2">
      <c r="Z47" t="s">
        <v>143</v>
      </c>
      <c r="AA47" s="19">
        <f>1-SUM(AA45:AA46)</f>
        <v>0.30999999999999994</v>
      </c>
      <c r="AB47" s="19">
        <f>1-SUM(AB45:AB46)</f>
        <v>0.42999999999999994</v>
      </c>
    </row>
    <row r="49" spans="2:30" x14ac:dyDescent="0.2">
      <c r="B49" s="3" t="s">
        <v>36</v>
      </c>
      <c r="J49" s="3" t="s">
        <v>61</v>
      </c>
      <c r="Q49" s="3" t="s">
        <v>110</v>
      </c>
    </row>
    <row r="50" spans="2:30" x14ac:dyDescent="0.2">
      <c r="B50" t="s">
        <v>39</v>
      </c>
      <c r="C50">
        <v>91.9</v>
      </c>
      <c r="J50" t="s">
        <v>39</v>
      </c>
      <c r="K50">
        <v>83.5</v>
      </c>
      <c r="Q50" t="s">
        <v>39</v>
      </c>
      <c r="R50">
        <v>94</v>
      </c>
      <c r="Z50" s="3" t="s">
        <v>146</v>
      </c>
    </row>
    <row r="51" spans="2:30" ht="16" x14ac:dyDescent="0.2">
      <c r="B51" t="s">
        <v>40</v>
      </c>
      <c r="C51" s="1">
        <v>58.2</v>
      </c>
      <c r="J51" s="10" t="s">
        <v>40</v>
      </c>
      <c r="K51" s="11">
        <v>66</v>
      </c>
      <c r="L51" s="10"/>
      <c r="Q51" t="s">
        <v>40</v>
      </c>
      <c r="R51" s="1">
        <v>65</v>
      </c>
      <c r="AB51" t="s">
        <v>147</v>
      </c>
      <c r="AD51" s="7"/>
    </row>
    <row r="52" spans="2:30" ht="16" x14ac:dyDescent="0.2">
      <c r="B52" t="s">
        <v>41</v>
      </c>
      <c r="C52">
        <v>17.600000000000001</v>
      </c>
      <c r="J52" s="10" t="s">
        <v>41</v>
      </c>
      <c r="K52" s="10">
        <v>37.5</v>
      </c>
      <c r="L52" s="10"/>
      <c r="Q52" t="s">
        <v>41</v>
      </c>
      <c r="R52">
        <v>24</v>
      </c>
      <c r="Z52" t="s">
        <v>148</v>
      </c>
      <c r="AA52" s="12" t="s">
        <v>149</v>
      </c>
      <c r="AB52" t="s">
        <v>150</v>
      </c>
      <c r="AC52" t="s">
        <v>151</v>
      </c>
      <c r="AD52" s="8"/>
    </row>
    <row r="53" spans="2:30" ht="16" x14ac:dyDescent="0.2">
      <c r="J53" s="10"/>
      <c r="K53" s="10"/>
      <c r="L53" s="10"/>
      <c r="Z53" s="20" t="s">
        <v>152</v>
      </c>
      <c r="AA53">
        <v>0</v>
      </c>
      <c r="AB53">
        <v>0</v>
      </c>
      <c r="AC53">
        <v>0</v>
      </c>
      <c r="AD53" s="8"/>
    </row>
    <row r="54" spans="2:30" ht="16" x14ac:dyDescent="0.2">
      <c r="Z54" s="20" t="s">
        <v>153</v>
      </c>
      <c r="AA54">
        <v>10</v>
      </c>
      <c r="AB54">
        <f>3*AA54</f>
        <v>30</v>
      </c>
      <c r="AC54">
        <f>AB54/1.5</f>
        <v>20</v>
      </c>
      <c r="AD54" s="8"/>
    </row>
    <row r="55" spans="2:30" ht="16" x14ac:dyDescent="0.2">
      <c r="Z55" s="20" t="s">
        <v>154</v>
      </c>
      <c r="AA55">
        <v>31.3</v>
      </c>
      <c r="AB55">
        <f>3*31.3</f>
        <v>93.9</v>
      </c>
      <c r="AC55">
        <f>AB55/1.5</f>
        <v>62.6</v>
      </c>
      <c r="AD55" s="8"/>
    </row>
    <row r="56" spans="2:30" ht="16" x14ac:dyDescent="0.2">
      <c r="B56" s="3" t="s">
        <v>19</v>
      </c>
      <c r="J56" s="3" t="s">
        <v>19</v>
      </c>
      <c r="Z56" s="20" t="s">
        <v>47</v>
      </c>
      <c r="AA56">
        <f>AVERAGE(AA55,AA57)</f>
        <v>70.850000000000009</v>
      </c>
      <c r="AB56">
        <f>4*AA56</f>
        <v>283.40000000000003</v>
      </c>
      <c r="AC56">
        <f>AB56/2</f>
        <v>141.70000000000002</v>
      </c>
      <c r="AD56" s="8"/>
    </row>
    <row r="57" spans="2:30" ht="16" x14ac:dyDescent="0.2">
      <c r="B57" t="s">
        <v>20</v>
      </c>
      <c r="Z57" s="20" t="s">
        <v>48</v>
      </c>
      <c r="AA57">
        <v>110.4</v>
      </c>
      <c r="AB57">
        <f>3*AA57</f>
        <v>331.20000000000005</v>
      </c>
      <c r="AC57">
        <f>AB57/1.5</f>
        <v>220.80000000000004</v>
      </c>
      <c r="AD57" s="8"/>
    </row>
    <row r="58" spans="2:30" x14ac:dyDescent="0.2">
      <c r="K58" t="s">
        <v>62</v>
      </c>
      <c r="Z58" s="20" t="s">
        <v>49</v>
      </c>
      <c r="AA58">
        <v>127</v>
      </c>
      <c r="AB58">
        <f>2.5*AA58</f>
        <v>317.5</v>
      </c>
      <c r="AC58" s="1">
        <f>AB58/1.5</f>
        <v>211.66666666666666</v>
      </c>
    </row>
    <row r="59" spans="2:30" x14ac:dyDescent="0.2">
      <c r="B59" t="s">
        <v>198</v>
      </c>
      <c r="J59" t="s">
        <v>1</v>
      </c>
      <c r="K59" t="s">
        <v>63</v>
      </c>
      <c r="Z59" s="20" t="s">
        <v>52</v>
      </c>
      <c r="AA59">
        <v>139</v>
      </c>
      <c r="AB59">
        <f>2*AA59</f>
        <v>278</v>
      </c>
      <c r="AC59" s="1">
        <f>AB59/1.5</f>
        <v>185.33333333333334</v>
      </c>
    </row>
    <row r="60" spans="2:30" x14ac:dyDescent="0.2">
      <c r="C60" t="s">
        <v>29</v>
      </c>
      <c r="D60" t="s">
        <v>177</v>
      </c>
      <c r="E60" t="s">
        <v>178</v>
      </c>
      <c r="F60" t="s">
        <v>179</v>
      </c>
      <c r="J60" s="5" t="s">
        <v>64</v>
      </c>
      <c r="K60">
        <v>9</v>
      </c>
      <c r="Z60" s="20" t="s">
        <v>53</v>
      </c>
      <c r="AA60">
        <v>147.80000000000001</v>
      </c>
      <c r="AB60">
        <f>1*AA60</f>
        <v>147.80000000000001</v>
      </c>
      <c r="AC60">
        <f>1*AB60</f>
        <v>147.80000000000001</v>
      </c>
    </row>
    <row r="61" spans="2:30" x14ac:dyDescent="0.2">
      <c r="B61" t="s">
        <v>191</v>
      </c>
      <c r="C61">
        <v>0.51585623678646897</v>
      </c>
      <c r="D61">
        <v>0.253274776051088</v>
      </c>
      <c r="E61">
        <v>0.229343301148623</v>
      </c>
      <c r="F61">
        <v>3.2573396395021902E-2</v>
      </c>
      <c r="J61" t="s">
        <v>65</v>
      </c>
      <c r="K61">
        <v>0.6</v>
      </c>
      <c r="Z61" s="20" t="s">
        <v>99</v>
      </c>
      <c r="AA61">
        <v>146.4</v>
      </c>
      <c r="AB61">
        <f>0.75*AA61</f>
        <v>109.80000000000001</v>
      </c>
      <c r="AC61">
        <f>AB61</f>
        <v>109.80000000000001</v>
      </c>
    </row>
    <row r="62" spans="2:30" x14ac:dyDescent="0.2">
      <c r="B62" t="s">
        <v>192</v>
      </c>
      <c r="C62">
        <v>0.82029598308667995</v>
      </c>
      <c r="D62">
        <v>0.40274841437632097</v>
      </c>
      <c r="E62">
        <v>0.364693446088794</v>
      </c>
      <c r="F62">
        <v>5.1797040169133099E-2</v>
      </c>
      <c r="J62" t="s">
        <v>66</v>
      </c>
      <c r="K62">
        <v>0.5</v>
      </c>
      <c r="Z62" s="20" t="s">
        <v>100</v>
      </c>
      <c r="AA62">
        <v>162.30000000000001</v>
      </c>
      <c r="AB62">
        <f>0.6*AA62</f>
        <v>97.38000000000001</v>
      </c>
      <c r="AC62">
        <f>AB62</f>
        <v>97.38000000000001</v>
      </c>
    </row>
    <row r="63" spans="2:30" x14ac:dyDescent="0.2">
      <c r="B63" t="s">
        <v>193</v>
      </c>
      <c r="C63">
        <v>1.2093023255813899</v>
      </c>
      <c r="D63">
        <v>0.59374250779189597</v>
      </c>
      <c r="E63">
        <v>0.53764085351234703</v>
      </c>
      <c r="F63">
        <v>7.6360584991608693E-2</v>
      </c>
      <c r="J63" t="s">
        <v>67</v>
      </c>
      <c r="K63">
        <v>0.7</v>
      </c>
      <c r="Z63" s="20" t="s">
        <v>155</v>
      </c>
      <c r="AA63">
        <v>192.8</v>
      </c>
      <c r="AB63">
        <f>0.4*AA63</f>
        <v>77.12</v>
      </c>
      <c r="AC63">
        <f>AB63</f>
        <v>77.12</v>
      </c>
    </row>
    <row r="64" spans="2:30" x14ac:dyDescent="0.2">
      <c r="B64" t="s">
        <v>194</v>
      </c>
      <c r="C64">
        <v>0.98942917547568654</v>
      </c>
      <c r="D64">
        <v>0.48578932455700552</v>
      </c>
      <c r="E64">
        <v>0.43988797105555599</v>
      </c>
      <c r="F64">
        <v>6.247684226586165E-2</v>
      </c>
      <c r="J64" t="s">
        <v>68</v>
      </c>
      <c r="K64">
        <v>0.9</v>
      </c>
      <c r="Z64" s="20" t="s">
        <v>156</v>
      </c>
      <c r="AA64">
        <v>236.7</v>
      </c>
      <c r="AB64">
        <f>0.2*AA64</f>
        <v>47.34</v>
      </c>
      <c r="AC64">
        <f>AB64</f>
        <v>47.34</v>
      </c>
    </row>
    <row r="65" spans="2:11" x14ac:dyDescent="0.2">
      <c r="B65" t="s">
        <v>195</v>
      </c>
      <c r="C65">
        <v>0.60887949260042196</v>
      </c>
      <c r="D65">
        <v>0.298947276650465</v>
      </c>
      <c r="E65">
        <v>0.270700289880342</v>
      </c>
      <c r="F65">
        <v>3.8447287548222499E-2</v>
      </c>
      <c r="J65" t="s">
        <v>69</v>
      </c>
      <c r="K65">
        <v>1</v>
      </c>
    </row>
    <row r="66" spans="2:11" x14ac:dyDescent="0.2">
      <c r="B66" t="s">
        <v>196</v>
      </c>
      <c r="C66">
        <v>0.35517970401691301</v>
      </c>
      <c r="D66">
        <v>0.17438591137943801</v>
      </c>
      <c r="E66">
        <v>0.15790850243019899</v>
      </c>
      <c r="F66">
        <v>2.2427584403129801E-2</v>
      </c>
      <c r="J66" t="s">
        <v>70</v>
      </c>
      <c r="K66">
        <v>1.3</v>
      </c>
    </row>
    <row r="67" spans="2:11" x14ac:dyDescent="0.2">
      <c r="B67" t="s">
        <v>197</v>
      </c>
      <c r="C67">
        <v>0.36786469344608852</v>
      </c>
      <c r="D67">
        <v>0.180613979642989</v>
      </c>
      <c r="E67">
        <v>0.16354809180270649</v>
      </c>
      <c r="F67">
        <v>2.3228569560384452E-2</v>
      </c>
      <c r="J67" t="s">
        <v>71</v>
      </c>
      <c r="K67">
        <v>1.6</v>
      </c>
    </row>
    <row r="68" spans="2:11" x14ac:dyDescent="0.2">
      <c r="J68" t="s">
        <v>72</v>
      </c>
      <c r="K68">
        <v>2.7</v>
      </c>
    </row>
    <row r="69" spans="2:11" x14ac:dyDescent="0.2">
      <c r="B69" t="s">
        <v>208</v>
      </c>
      <c r="J69" t="s">
        <v>73</v>
      </c>
      <c r="K69">
        <v>3.7</v>
      </c>
    </row>
    <row r="70" spans="2:11" x14ac:dyDescent="0.2">
      <c r="B70" t="s">
        <v>199</v>
      </c>
      <c r="C70" t="s">
        <v>200</v>
      </c>
      <c r="J70" t="s">
        <v>74</v>
      </c>
      <c r="K70">
        <v>6.7</v>
      </c>
    </row>
    <row r="71" spans="2:11" x14ac:dyDescent="0.2">
      <c r="B71" t="s">
        <v>201</v>
      </c>
      <c r="C71">
        <v>35.567010309278302</v>
      </c>
      <c r="J71" t="s">
        <v>75</v>
      </c>
      <c r="K71">
        <v>11.5</v>
      </c>
    </row>
    <row r="72" spans="2:11" x14ac:dyDescent="0.2">
      <c r="B72" t="s">
        <v>202</v>
      </c>
      <c r="C72">
        <v>24.097938144329898</v>
      </c>
      <c r="J72" t="s">
        <v>76</v>
      </c>
      <c r="K72">
        <v>16.7</v>
      </c>
    </row>
    <row r="73" spans="2:11" x14ac:dyDescent="0.2">
      <c r="J73" t="s">
        <v>77</v>
      </c>
      <c r="K73">
        <v>27.4</v>
      </c>
    </row>
    <row r="74" spans="2:11" x14ac:dyDescent="0.2">
      <c r="B74" t="s">
        <v>203</v>
      </c>
      <c r="C74">
        <v>49.097938144329802</v>
      </c>
      <c r="J74" t="s">
        <v>78</v>
      </c>
      <c r="K74">
        <v>42.7</v>
      </c>
    </row>
    <row r="75" spans="2:11" x14ac:dyDescent="0.2">
      <c r="B75" t="s">
        <v>204</v>
      </c>
      <c r="C75">
        <v>44.458762886597903</v>
      </c>
      <c r="J75" t="s">
        <v>79</v>
      </c>
      <c r="K75">
        <v>61.7</v>
      </c>
    </row>
    <row r="76" spans="2:11" x14ac:dyDescent="0.2">
      <c r="B76" t="s">
        <v>205</v>
      </c>
      <c r="C76">
        <v>6.3144329896907196</v>
      </c>
      <c r="J76" t="s">
        <v>80</v>
      </c>
      <c r="K76">
        <v>101.5</v>
      </c>
    </row>
    <row r="77" spans="2:11" x14ac:dyDescent="0.2">
      <c r="J77" t="s">
        <v>81</v>
      </c>
      <c r="K77">
        <v>163.30000000000001</v>
      </c>
    </row>
    <row r="78" spans="2:11" x14ac:dyDescent="0.2">
      <c r="B78" t="s">
        <v>206</v>
      </c>
      <c r="C78">
        <v>61.597938144329902</v>
      </c>
    </row>
    <row r="79" spans="2:11" x14ac:dyDescent="0.2">
      <c r="B79" t="s">
        <v>207</v>
      </c>
      <c r="C79">
        <v>18.943298969072099</v>
      </c>
    </row>
  </sheetData>
  <mergeCells count="7">
    <mergeCell ref="Z4:AE4"/>
    <mergeCell ref="AG4:AL4"/>
    <mergeCell ref="Z30:AD30"/>
    <mergeCell ref="AA32:AB32"/>
    <mergeCell ref="B28:E28"/>
    <mergeCell ref="R29:V29"/>
    <mergeCell ref="J28:N2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98DC-7083-6E46-928B-EC98DF7582B4}">
  <dimension ref="A1:G5"/>
  <sheetViews>
    <sheetView workbookViewId="0">
      <selection sqref="A1:G5"/>
    </sheetView>
  </sheetViews>
  <sheetFormatPr baseColWidth="10" defaultRowHeight="15" x14ac:dyDescent="0.2"/>
  <cols>
    <col min="1" max="1" width="7.33203125" bestFit="1" customWidth="1"/>
    <col min="2" max="2" width="15.5" bestFit="1" customWidth="1"/>
    <col min="3" max="4" width="15.33203125" bestFit="1" customWidth="1"/>
    <col min="5" max="6" width="12.1640625" bestFit="1" customWidth="1"/>
    <col min="7" max="7" width="11.1640625" bestFit="1" customWidth="1"/>
  </cols>
  <sheetData>
    <row r="1" spans="1:7" x14ac:dyDescent="0.2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</row>
    <row r="2" spans="1:7" x14ac:dyDescent="0.2">
      <c r="A2" t="s">
        <v>187</v>
      </c>
      <c r="B2">
        <f>AVERAGE('Summary sheet'!AE18:AE25,'Summary sheet'!AH18:AH25)</f>
        <v>3.1687824999999998</v>
      </c>
      <c r="C2">
        <f>AVERAGE('Summary sheet'!AC18:AC24,'Summary sheet'!AF18:AF25)</f>
        <v>1.798516</v>
      </c>
      <c r="D2">
        <f>AVERAGE('Summary sheet'!AD18:AD25,'Summary sheet'!AG18:AG25)</f>
        <v>0.61839</v>
      </c>
      <c r="E2" s="6">
        <f>'Summary sheet'!AE35*100</f>
        <v>30.100012798589216</v>
      </c>
      <c r="F2" s="6">
        <f>'Summary sheet'!AE33*100</f>
        <v>47.256329375601659</v>
      </c>
      <c r="G2" s="6">
        <f>'Summary sheet'!AE34*100</f>
        <v>22.643657825809129</v>
      </c>
    </row>
    <row r="3" spans="1:7" x14ac:dyDescent="0.2">
      <c r="A3" t="s">
        <v>188</v>
      </c>
      <c r="B3">
        <f>AVERAGE('Summary sheet'!T20:T23)</f>
        <v>0.16802362180755537</v>
      </c>
      <c r="C3">
        <f>AVERAGE('Summary sheet'!R20:R23)</f>
        <v>5.5968534697066565E-2</v>
      </c>
      <c r="D3">
        <f>AVERAGE('Summary sheet'!S20:S23)</f>
        <v>2.5950533307874033E-2</v>
      </c>
      <c r="E3" s="6">
        <f>'Summary sheet'!W33</f>
        <v>32.800000000000011</v>
      </c>
      <c r="F3" s="6">
        <f>'Summary sheet'!W31</f>
        <v>44.3</v>
      </c>
      <c r="G3" s="6">
        <f>'Summary sheet'!W32</f>
        <v>22.9</v>
      </c>
    </row>
    <row r="4" spans="1:7" x14ac:dyDescent="0.2">
      <c r="A4" t="s">
        <v>189</v>
      </c>
      <c r="B4">
        <f>AVERAGE('Summary sheet'!M19:M25)*'Summary sheet'!K33 / 100</f>
        <v>0.30385714285714288</v>
      </c>
      <c r="C4">
        <f>AVERAGE('Summary sheet'!M19:M25)*'Summary sheet'!K31 / 100</f>
        <v>0.65835714285714286</v>
      </c>
      <c r="D4">
        <f>AVERAGE('Summary sheet'!M19:M25) * 'Summary sheet'!K32 / 100</f>
        <v>5.0642857142857149E-2</v>
      </c>
      <c r="E4">
        <f>'Summary sheet'!L33</f>
        <v>34.900000000000006</v>
      </c>
      <c r="F4">
        <f>'Summary sheet'!L31</f>
        <v>54.699999999999996</v>
      </c>
      <c r="G4">
        <f>'Summary sheet'!L32</f>
        <v>10.399999999999999</v>
      </c>
    </row>
    <row r="5" spans="1:7" x14ac:dyDescent="0.2">
      <c r="A5" t="s">
        <v>190</v>
      </c>
      <c r="B5">
        <f>AVERAGE('Summary sheet'!F17:F24)</f>
        <v>0.83720000000000006</v>
      </c>
      <c r="C5">
        <f>AVERAGE('Summary sheet'!G17:G24)</f>
        <v>1.3362999999999996</v>
      </c>
      <c r="D5">
        <f>AVERAGE('Summary sheet'!H17:H24)</f>
        <v>0.12650000000000003</v>
      </c>
      <c r="E5">
        <f>'Summary sheet'!D33</f>
        <v>27.142857142857139</v>
      </c>
      <c r="F5">
        <f>'Summary sheet'!D31</f>
        <v>58.461538461538467</v>
      </c>
      <c r="G5">
        <f>'Summary sheet'!D32</f>
        <v>14.395604395604394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7A3C9123BDE44C8AD50F808F186529" ma:contentTypeVersion="12" ma:contentTypeDescription="Create a new document." ma:contentTypeScope="" ma:versionID="1d2d398471649a6c69548af9f8ebd479">
  <xsd:schema xmlns:xsd="http://www.w3.org/2001/XMLSchema" xmlns:xs="http://www.w3.org/2001/XMLSchema" xmlns:p="http://schemas.microsoft.com/office/2006/metadata/properties" xmlns:ns3="dcda1828-1d71-4e9b-9798-841a3c408bcb" xmlns:ns4="4f5febe0-14ac-4f16-963b-fc17ffa2fe2a" targetNamespace="http://schemas.microsoft.com/office/2006/metadata/properties" ma:root="true" ma:fieldsID="75ee2b0d67db06edf6c8960df87112f3" ns3:_="" ns4:_="">
    <xsd:import namespace="dcda1828-1d71-4e9b-9798-841a3c408bcb"/>
    <xsd:import namespace="4f5febe0-14ac-4f16-963b-fc17ffa2fe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a1828-1d71-4e9b-9798-841a3c408b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febe0-14ac-4f16-963b-fc17ffa2f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80D9B1-433F-456D-AB8C-0F9CB50EA4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56FF2E-E271-4604-AC78-4BCD2414EDB5}">
  <ds:schemaRefs>
    <ds:schemaRef ds:uri="4f5febe0-14ac-4f16-963b-fc17ffa2fe2a"/>
    <ds:schemaRef ds:uri="http://purl.org/dc/elements/1.1/"/>
    <ds:schemaRef ds:uri="http://schemas.microsoft.com/office/2006/metadata/properties"/>
    <ds:schemaRef ds:uri="dcda1828-1d71-4e9b-9798-841a3c408bcb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B529011-3CB4-4CED-BBAA-5D5EF7DD2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a1828-1d71-4e9b-9798-841a3c408bcb"/>
    <ds:schemaRef ds:uri="4f5febe0-14ac-4f16-963b-fc17ffa2f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sheet</vt:lpstr>
      <vt:lpstr>cin23_cancer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Sujha</dc:creator>
  <cp:lastModifiedBy>Kasey Jones</cp:lastModifiedBy>
  <dcterms:created xsi:type="dcterms:W3CDTF">2021-05-11T06:04:12Z</dcterms:created>
  <dcterms:modified xsi:type="dcterms:W3CDTF">2021-07-28T16:51:28Z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0x010100037A3C9123BDE44C8AD50F808F186529</vt:lpwstr>
  </property>
</Properties>
</file>