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jones/Documents/gitlab/cervical-cancer-v2/experiments/india/base_documents/data/"/>
    </mc:Choice>
  </mc:AlternateContent>
  <xr:revisionPtr revIDLastSave="0" documentId="13_ncr:1_{1B689EBA-D4F3-8A47-A6CA-B2D531C464A1}" xr6:coauthVersionLast="46" xr6:coauthVersionMax="46" xr10:uidLastSave="{00000000-0000-0000-0000-000000000000}"/>
  <bookViews>
    <workbookView xWindow="-4140" yWindow="480" windowWidth="27740" windowHeight="20180" activeTab="5" xr2:uid="{3D409EB6-4F96-440B-9C0C-460AAD5798B5}"/>
  </bookViews>
  <sheets>
    <sheet name="Input for model" sheetId="7" r:id="rId1"/>
    <sheet name="mortality census " sheetId="9" r:id="rId2"/>
    <sheet name="HPV prevalance by age" sheetId="1" r:id="rId3"/>
    <sheet name="CareHPV Campos" sheetId="4" r:id="rId4"/>
    <sheet name="CIN prevalance by age " sheetId="2" r:id="rId5"/>
    <sheet name="CIN by HPV type " sheetId="6" r:id="rId6"/>
    <sheet name="cancer incidence by age group" sheetId="3" r:id="rId7"/>
    <sheet name="vaccines" sheetId="5" r:id="rId8"/>
    <sheet name="Cancer incidence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4" i="6" l="1"/>
  <c r="AD14" i="6"/>
  <c r="AE14" i="6"/>
  <c r="AC15" i="6"/>
  <c r="AD15" i="6"/>
  <c r="AE15" i="6"/>
  <c r="AC16" i="6"/>
  <c r="AD16" i="6"/>
  <c r="AE16" i="6"/>
  <c r="AC17" i="6"/>
  <c r="AD17" i="6"/>
  <c r="AE17" i="6"/>
  <c r="AC18" i="6"/>
  <c r="AD18" i="6"/>
  <c r="AE18" i="6"/>
  <c r="AC19" i="6"/>
  <c r="AD19" i="6"/>
  <c r="AE19" i="6"/>
  <c r="AE13" i="6"/>
  <c r="AD13" i="6"/>
  <c r="AC13" i="6"/>
  <c r="AB19" i="6"/>
  <c r="AB18" i="6"/>
  <c r="AB17" i="6"/>
  <c r="AB16" i="6"/>
  <c r="AB15" i="6"/>
  <c r="AB14" i="6"/>
  <c r="AB13" i="6"/>
  <c r="W73" i="1" l="1"/>
  <c r="W72" i="1"/>
  <c r="W71" i="1"/>
  <c r="W70" i="1"/>
  <c r="W69" i="1"/>
  <c r="W68" i="1"/>
  <c r="W67" i="1"/>
  <c r="W66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U66" i="1"/>
  <c r="T67" i="1"/>
  <c r="T66" i="1"/>
  <c r="E25" i="7"/>
  <c r="E24" i="7"/>
  <c r="E23" i="7"/>
  <c r="E22" i="7"/>
  <c r="E21" i="7"/>
  <c r="E20" i="7"/>
  <c r="E19" i="7"/>
  <c r="F46" i="7"/>
  <c r="F45" i="7"/>
  <c r="F44" i="7"/>
  <c r="F43" i="7"/>
  <c r="F42" i="7"/>
  <c r="F41" i="7"/>
  <c r="AH19" i="8"/>
  <c r="AH18" i="8"/>
  <c r="AH17" i="8"/>
  <c r="AH16" i="8"/>
  <c r="AH14" i="8"/>
  <c r="AH15" i="8"/>
  <c r="S36" i="2"/>
  <c r="S35" i="2"/>
  <c r="S34" i="2"/>
  <c r="S33" i="2"/>
  <c r="S32" i="2"/>
  <c r="S31" i="2"/>
  <c r="S30" i="2"/>
  <c r="T42" i="1"/>
  <c r="T59" i="1"/>
  <c r="T58" i="1"/>
  <c r="T57" i="1"/>
  <c r="T56" i="1"/>
  <c r="U42" i="1"/>
  <c r="W48" i="1"/>
  <c r="W47" i="1"/>
  <c r="W46" i="1"/>
  <c r="W45" i="1"/>
  <c r="W44" i="1"/>
  <c r="W42" i="1" l="1"/>
  <c r="W52" i="1"/>
  <c r="T52" i="1"/>
  <c r="U52" i="1"/>
  <c r="W43" i="1"/>
  <c r="Z28" i="1"/>
  <c r="Z27" i="1"/>
  <c r="Z26" i="1"/>
  <c r="Z25" i="1"/>
</calcChain>
</file>

<file path=xl/sharedStrings.xml><?xml version="1.0" encoding="utf-8"?>
<sst xmlns="http://schemas.openxmlformats.org/spreadsheetml/2006/main" count="244" uniqueCount="132">
  <si>
    <t xml:space="preserve">CIN </t>
  </si>
  <si>
    <t>HC 2, which detects 13 carcinogenic HPV types (HPV</t>
  </si>
  <si>
    <t>16, 18, 31, 33, 35, 39, 45, 51, 52, 56, 58, 59 and 68).</t>
  </si>
  <si>
    <t>Sankar 2009, NEJM</t>
  </si>
  <si>
    <t>careHPV™ Test technology is an in vitro nucleic acid hybridization assay with signal</t>
  </si>
  <si>
    <t>amplification using microplate chemiluminescence for the qualitative detection of 14 highrisk</t>
  </si>
  <si>
    <t>HPV types 16, 18, 31, 33, 35, 39, 45, 51, 52, 56, 58, ,59, 66 and 68. A volume of 50μl of</t>
  </si>
  <si>
    <t>specimen is needed to perform the assay. This type of assay requires additional laboratory</t>
  </si>
  <si>
    <t>equipment and can be performed in laboratories with limited facilities.</t>
  </si>
  <si>
    <t>Campos 2015</t>
  </si>
  <si>
    <t>HPV16</t>
  </si>
  <si>
    <t>HPV18</t>
  </si>
  <si>
    <t>Low risk</t>
  </si>
  <si>
    <t>High risk all</t>
  </si>
  <si>
    <t>Muwongo 2020</t>
  </si>
  <si>
    <t>18-23</t>
  </si>
  <si>
    <t>HPV16-18</t>
  </si>
  <si>
    <t>Basu 2013</t>
  </si>
  <si>
    <r>
      <t xml:space="preserve">Three vaccines that prevent infection with disease-causing HPV types are licensed for use in the United States: </t>
    </r>
    <r>
      <rPr>
        <sz val="11"/>
        <color rgb="FF2B7BBA"/>
        <rFont val="Inherit"/>
      </rPr>
      <t>Gardasil</t>
    </r>
    <r>
      <rPr>
        <sz val="11"/>
        <color rgb="FF2E2E2E"/>
        <rFont val="Inherit"/>
      </rPr>
      <t xml:space="preserve">®, </t>
    </r>
    <r>
      <rPr>
        <sz val="11"/>
        <color rgb="FF2B7BBA"/>
        <rFont val="Inherit"/>
      </rPr>
      <t>Gardasil® 9</t>
    </r>
    <r>
      <rPr>
        <sz val="11"/>
        <color rgb="FF2E2E2E"/>
        <rFont val="Inherit"/>
      </rPr>
      <t xml:space="preserve">, and </t>
    </r>
    <r>
      <rPr>
        <sz val="11"/>
        <color rgb="FF2B7BBA"/>
        <rFont val="Inherit"/>
      </rPr>
      <t>Cervarix</t>
    </r>
    <r>
      <rPr>
        <sz val="11"/>
        <color rgb="FF2E2E2E"/>
        <rFont val="Inherit"/>
      </rPr>
      <t xml:space="preserve">®. All three vaccines prevent infection with HPV types 16 and 18, two </t>
    </r>
    <r>
      <rPr>
        <sz val="11"/>
        <color rgb="FF2B7BBA"/>
        <rFont val="Inherit"/>
      </rPr>
      <t>high-risk HPVs</t>
    </r>
    <r>
      <rPr>
        <sz val="11"/>
        <color rgb="FF2E2E2E"/>
        <rFont val="Inherit"/>
      </rPr>
      <t xml:space="preserve"> that cause about 70% of cervical cancers and an even higher percentage of some of the other HPV-caused cancers (</t>
    </r>
    <r>
      <rPr>
        <sz val="11"/>
        <color rgb="FF2B7BBA"/>
        <rFont val="Inherit"/>
      </rPr>
      <t>1</t>
    </r>
    <r>
      <rPr>
        <sz val="11"/>
        <color rgb="FF2E2E2E"/>
        <rFont val="Inherit"/>
      </rPr>
      <t xml:space="preserve">, </t>
    </r>
    <r>
      <rPr>
        <sz val="11"/>
        <color rgb="FF2B7BBA"/>
        <rFont val="Inherit"/>
      </rPr>
      <t>2</t>
    </r>
    <r>
      <rPr>
        <sz val="11"/>
        <color rgb="FF2E2E2E"/>
        <rFont val="Inherit"/>
      </rPr>
      <t>). Gardasil also prevents infection with HPV types 6 and 11, which cause 90% of genital warts (</t>
    </r>
    <r>
      <rPr>
        <sz val="11"/>
        <color rgb="FF2B7BBA"/>
        <rFont val="Inherit"/>
      </rPr>
      <t>3</t>
    </r>
    <r>
      <rPr>
        <sz val="11"/>
        <color rgb="FF2E2E2E"/>
        <rFont val="Inherit"/>
      </rPr>
      <t>). Gardasil 9 prevents infection with the same four HPV types plus five additional cancer-causing types (31, 33, 45, 52, and 58) that together account for 10 to 20% of cervical cancers.</t>
    </r>
  </si>
  <si>
    <t>India - Hyderabad, Campos 2015</t>
  </si>
  <si>
    <t>30-34</t>
  </si>
  <si>
    <t>35-39</t>
  </si>
  <si>
    <t>40-44</t>
  </si>
  <si>
    <t>45-49</t>
  </si>
  <si>
    <t>Muwongo</t>
  </si>
  <si>
    <r>
      <t>other high risk</t>
    </r>
    <r>
      <rPr>
        <vertAlign val="superscript"/>
        <sz val="11"/>
        <color theme="1"/>
        <rFont val="Calibri"/>
        <family val="2"/>
        <scheme val="minor"/>
      </rPr>
      <t>c</t>
    </r>
  </si>
  <si>
    <r>
      <t>all HPV</t>
    </r>
    <r>
      <rPr>
        <vertAlign val="superscript"/>
        <sz val="11"/>
        <color theme="1"/>
        <rFont val="Calibri"/>
        <family val="2"/>
        <scheme val="minor"/>
      </rPr>
      <t>e</t>
    </r>
  </si>
  <si>
    <t>Percentages of Prevalance</t>
  </si>
  <si>
    <t>Campos</t>
  </si>
  <si>
    <t>c HPV 31,33 and 44                                          d HPV types 26, 35, 39, 51, 52, 53, 56, 58, 59, 66, 68, 70, 73 and/or 82.
e HPV types 6, 11, 16, 18, 26, 31, 33, 35, 39, 45, 51, 52, 53, 56, 58, 59, 66, 68, 70, 73 and/or 82.</t>
  </si>
  <si>
    <t>Basu</t>
  </si>
  <si>
    <t>50-54</t>
  </si>
  <si>
    <t>55-59</t>
  </si>
  <si>
    <t>60+</t>
  </si>
  <si>
    <t>Sankar</t>
  </si>
  <si>
    <t>13 high-risk HPV types (16, 18, 31, 33, 35, 39,</t>
  </si>
  <si>
    <t>45, 51, 52, 56, 58, 59, and 68)</t>
  </si>
  <si>
    <t>30-39</t>
  </si>
  <si>
    <t>40-49</t>
  </si>
  <si>
    <t>50-59</t>
  </si>
  <si>
    <r>
      <t>Other potential high risk</t>
    </r>
    <r>
      <rPr>
        <vertAlign val="superscript"/>
        <sz val="11"/>
        <color theme="1"/>
        <rFont val="Calibri"/>
        <family val="2"/>
        <scheme val="minor"/>
      </rPr>
      <t>d</t>
    </r>
  </si>
  <si>
    <t>Sauvaget 2011</t>
  </si>
  <si>
    <t>Franceschi 2005</t>
  </si>
  <si>
    <t>HPV positivity was assessed by</t>
  </si>
  <si>
    <t>general primer-mediated GP5þ/GP6þ-PCR and by hybridisation</t>
  </si>
  <si>
    <t>of PCR products in an enzyme immunoassay (EIA) using two HPV</t>
  </si>
  <si>
    <t>oligoprobe cocktails that, together, detect the following 44 HPV</t>
  </si>
  <si>
    <t>types: HPV 6, 11, 16, 18, 26, 30, 31, 32, 33, 34, 35, 39, 40, 42, 43, 44,</t>
  </si>
  <si>
    <t>45, 51, 52, 53, 54, 55, 56, 57, 58, 59, 61, 64, 66, 67, 68, 69, 70, 71</t>
  </si>
  <si>
    <t>(equivalent to CP8061), 72, 73, 81 (equivalent to CP8304), 82</t>
  </si>
  <si>
    <t>(IS39 and MM4 subtypes), 83 (equivalent to MM7), 84 (equivalent</t>
  </si>
  <si>
    <t>to MM8), cand85, 86, cand89 (equivalent to CP6108) and</t>
  </si>
  <si>
    <t>JC9710. PCR products that were positive in the EIA were</t>
  </si>
  <si>
    <t>subsequently subjected to further typing by reverse line blot</t>
  </si>
  <si>
    <t>hybridisation, as described previously (van den Brule et al,</t>
  </si>
  <si>
    <t>2002).</t>
  </si>
  <si>
    <t>High-risk HPV types for this analysis included HPV 16, 18, 26,</t>
  </si>
  <si>
    <t>31, 33, 35, 39, 45, 51, 52, 53, 56, 58, 59, 66, 68, 73 and 82 (Mun˜oz</t>
  </si>
  <si>
    <t>et al, 2003). The group of low-risk types included all other HPV</t>
  </si>
  <si>
    <t>types.</t>
  </si>
  <si>
    <t>&lt;25</t>
  </si>
  <si>
    <t>25-29</t>
  </si>
  <si>
    <t>&gt;50</t>
  </si>
  <si>
    <t>pooled over time?</t>
  </si>
  <si>
    <t>Negi 2020</t>
  </si>
  <si>
    <r>
      <t>Analysis of genotypes distribution in ICC cases showed that HPV 16(83.78%) and 18(21.08%) were the most predominant genotypes which is quite similar to the studies reported from India and worldwide. In Kolkata, 59–74% of ICC cases are infected with HPV 16 and 2–13.9% cases infected with HPV 18 [</t>
    </r>
    <r>
      <rPr>
        <u/>
        <sz val="19.8"/>
        <color rgb="FF004B83"/>
        <rFont val="Calibri"/>
        <family val="2"/>
        <scheme val="minor"/>
      </rPr>
      <t>7</t>
    </r>
    <r>
      <rPr>
        <sz val="19.8"/>
        <color theme="1"/>
        <rFont val="Calibri"/>
        <family val="2"/>
        <scheme val="minor"/>
      </rPr>
      <t xml:space="preserve">, </t>
    </r>
    <r>
      <rPr>
        <u/>
        <sz val="19.8"/>
        <color rgb="FF004B83"/>
        <rFont val="Calibri"/>
        <family val="2"/>
        <scheme val="minor"/>
      </rPr>
      <t>18</t>
    </r>
    <r>
      <rPr>
        <sz val="19.8"/>
        <color theme="1"/>
        <rFont val="Calibri"/>
        <family val="2"/>
        <scheme val="minor"/>
      </rPr>
      <t>]. Reports from south India showed HPV 16 and HPV18 accounts for 58–69% and 5–19.4% of ICC cases respectively [</t>
    </r>
    <r>
      <rPr>
        <u/>
        <sz val="19.8"/>
        <color rgb="FF004B83"/>
        <rFont val="Calibri"/>
        <family val="2"/>
        <scheme val="minor"/>
      </rPr>
      <t>16</t>
    </r>
    <r>
      <rPr>
        <sz val="19.8"/>
        <color theme="1"/>
        <rFont val="Calibri"/>
        <family val="2"/>
        <scheme val="minor"/>
      </rPr>
      <t xml:space="preserve">, </t>
    </r>
    <r>
      <rPr>
        <u/>
        <sz val="19.8"/>
        <color rgb="FF004B83"/>
        <rFont val="Calibri"/>
        <family val="2"/>
        <scheme val="minor"/>
      </rPr>
      <t>18</t>
    </r>
    <r>
      <rPr>
        <sz val="19.8"/>
        <color theme="1"/>
        <rFont val="Calibri"/>
        <family val="2"/>
        <scheme val="minor"/>
      </rPr>
      <t>]. In a similar study from Delhi (north India) reported that HPV 16 and 18 contributing 73.6 and 14.2% cases of cervical carcinoma [</t>
    </r>
    <r>
      <rPr>
        <u/>
        <sz val="19.8"/>
        <color rgb="FF004B83"/>
        <rFont val="Calibri"/>
        <family val="2"/>
        <scheme val="minor"/>
      </rPr>
      <t>19</t>
    </r>
    <r>
      <rPr>
        <sz val="19.8"/>
        <color theme="1"/>
        <rFont val="Calibri"/>
        <family val="2"/>
        <scheme val="minor"/>
      </rPr>
      <t>]. Other parts of Central and west India also have similar reports showing HPV 16(72–73.6%) as the most predominant genotype followed by HPV18 (5–11.9%) in cervical carcinoma cases [</t>
    </r>
    <r>
      <rPr>
        <u/>
        <sz val="19.8"/>
        <color rgb="FF004B83"/>
        <rFont val="Calibri"/>
        <family val="2"/>
        <scheme val="minor"/>
      </rPr>
      <t>18</t>
    </r>
    <r>
      <rPr>
        <sz val="19.8"/>
        <color theme="1"/>
        <rFont val="Calibri"/>
        <family val="2"/>
        <scheme val="minor"/>
      </rPr>
      <t xml:space="preserve">, </t>
    </r>
    <r>
      <rPr>
        <u/>
        <sz val="19.8"/>
        <color rgb="FF004B83"/>
        <rFont val="Calibri"/>
        <family val="2"/>
        <scheme val="minor"/>
      </rPr>
      <t>20</t>
    </r>
    <r>
      <rPr>
        <sz val="19.8"/>
        <color theme="1"/>
        <rFont val="Calibri"/>
        <family val="2"/>
        <scheme val="minor"/>
      </rPr>
      <t>].</t>
    </r>
  </si>
  <si>
    <t>Senapati 2017</t>
  </si>
  <si>
    <t xml:space="preserve"> </t>
  </si>
  <si>
    <t>16-24</t>
  </si>
  <si>
    <t>Srivatasava 2012</t>
  </si>
  <si>
    <t>26-35</t>
  </si>
  <si>
    <t>36-45</t>
  </si>
  <si>
    <t>&gt;46</t>
  </si>
  <si>
    <t>HPV Prevalance by age group and HPV type</t>
  </si>
  <si>
    <t>CIN2/3 distribution</t>
  </si>
  <si>
    <t>CIN2</t>
  </si>
  <si>
    <t>CIN3</t>
  </si>
  <si>
    <t>Total</t>
  </si>
  <si>
    <t>HPV 16</t>
  </si>
  <si>
    <t>CIN2/3</t>
  </si>
  <si>
    <t>HPV 18</t>
  </si>
  <si>
    <t>High risk</t>
  </si>
  <si>
    <t>Percentage of CIN2/3 caused by each type of HPV (assume the same distribution across age groups)</t>
  </si>
  <si>
    <t>Overall cancer in 5 continents all Indian registries</t>
  </si>
  <si>
    <t>Dindigul</t>
  </si>
  <si>
    <t>Chennai</t>
  </si>
  <si>
    <t>Average</t>
  </si>
  <si>
    <t>20-29</t>
  </si>
  <si>
    <t>60-69</t>
  </si>
  <si>
    <t>70+</t>
  </si>
  <si>
    <t>Cervical cancer incidence, Dindigul &amp; Chennai, rate per 100.000</t>
  </si>
  <si>
    <t>Cancer incidence - use the average</t>
  </si>
  <si>
    <t>CIN23 Prevalance by age (use the total)</t>
  </si>
  <si>
    <t>Final distribution</t>
  </si>
  <si>
    <t>&gt;60</t>
  </si>
  <si>
    <t>Local</t>
  </si>
  <si>
    <t>Distant</t>
  </si>
  <si>
    <t>Regional</t>
  </si>
  <si>
    <t>5-year survival - Balasubramanian 2020</t>
  </si>
  <si>
    <t>Age</t>
  </si>
  <si>
    <t>Deaths in 2018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</si>
  <si>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</si>
  <si>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</si>
  <si>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</si>
  <si>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</si>
  <si>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</si>
  <si>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</si>
  <si>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</si>
  <si>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</si>
  <si>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</si>
  <si>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</si>
  <si>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</si>
  <si>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</si>
  <si>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</si>
  <si>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</si>
  <si>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</si>
  <si>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</si>
  <si>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+</t>
  </si>
  <si>
    <t>Female dealth rates</t>
  </si>
  <si>
    <t>0-4'</t>
  </si>
  <si>
    <t>Death rate for females</t>
  </si>
  <si>
    <t>per 1000 population</t>
  </si>
  <si>
    <t>Female dealth rates per 1000</t>
  </si>
  <si>
    <t>Battacharya, 2018</t>
  </si>
  <si>
    <t>Datta 2010</t>
  </si>
  <si>
    <t>Other high risk</t>
  </si>
  <si>
    <t>All HPV</t>
  </si>
  <si>
    <t>Distribition based on Franceschi proportion of HPV16/18 compared to all HPV</t>
  </si>
  <si>
    <t>16.9 average</t>
  </si>
  <si>
    <t>22.5% HPV 16</t>
  </si>
  <si>
    <t>5.9 % HPV 18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</si>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</sst>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E2E2E"/>
      <name val="Inherit"/>
    </font>
    <font>
      <sz val="11"/>
      <color rgb="FF2B7BBA"/>
      <name val="Inherit"/>
    </font>
    <font>
      <vertAlign val="superscript"/>
      <sz val="11"/>
      <color theme="1"/>
      <name val="Calibri"/>
      <family val="2"/>
      <scheme val="minor"/>
    </font>
    <font>
      <sz val="19.8"/>
      <color theme="1"/>
      <name val="Calibri"/>
      <family val="2"/>
      <scheme val="minor"/>
    </font>
    <font>
      <u/>
      <sz val="19.8"/>
      <color rgb="FF004B8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0" fontId="5" fillId="0" borderId="0" xfId="0" applyFont="1"/>
    <xf numFmtId="0" fontId="1" fillId="0" borderId="0" xfId="0" applyFont="1"/>
    <xf numFmtId="16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13</xdr:col>
      <xdr:colOff>456305</xdr:colOff>
      <xdr:row>33</xdr:row>
      <xdr:rowOff>29813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741F82-9E1E-4115-8ABB-1B7E1B05B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31520"/>
          <a:ext cx="7161905" cy="5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380114</xdr:colOff>
      <xdr:row>24</xdr:row>
      <xdr:rowOff>100326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F6B0B6-B122-46B6-A135-DAA5145BC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7085714" cy="5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16</xdr:col>
      <xdr:colOff>106680</xdr:colOff>
      <xdr:row>83</xdr:row>
      <xdr:rowOff>65607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16312E-DC69-4C20-81E7-E4A260358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035040"/>
          <a:ext cx="9250680" cy="9231801"/>
        </a:xfrm>
        <a:prstGeom prst="rect">
          <a:avLst/>
        </a:prstGeom>
      </xdr:spPr>
    </xdr:pic>
    <xdr:clientData/>
  </xdr:twoCellAnchor>
  <xdr:twoCellAnchor editAs="oneCell">
    <xdr:from>
      <xdr:col>16</xdr:col>
      <xdr:colOff>556260</xdr:colOff>
      <xdr:row>10</xdr:row>
      <xdr:rowOff>160020</xdr:rowOff>
    </xdr:from>
    <xdr:to>
      <xdr:col>21</xdr:col>
      <xdr:colOff>73907</xdr:colOff>
      <xdr:row>14</xdr:row>
      <xdr:rowOff>77091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7115D8-E631-4D0B-9F08-615D6DB08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09860" y="1988820"/>
          <a:ext cx="3817620" cy="1616331"/>
        </a:xfrm>
        <a:prstGeom prst="rect">
          <a:avLst/>
        </a:prstGeom>
      </xdr:spPr>
    </xdr:pic>
    <xdr:clientData/>
  </xdr:twoCellAnchor>
  <xdr:twoCellAnchor editAs="oneCell">
    <xdr:from>
      <xdr:col>28</xdr:col>
      <xdr:colOff>414291</xdr:colOff>
      <xdr:row>28</xdr:row>
      <xdr:rowOff>147960</xdr:rowOff>
    </xdr:from>
    <xdr:to>
      <xdr:col>38</xdr:col>
      <xdr:colOff>271692</xdr:colOff>
      <xdr:row>48</xdr:row>
      <xdr:rowOff>153693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CA1098-0553-4C93-945A-E2C7FF503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08932" y="6317941"/>
          <a:ext cx="5923809" cy="3704762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62</xdr:row>
      <xdr:rowOff>0</xdr:rowOff>
    </xdr:from>
    <xdr:to>
      <xdr:col>51</xdr:col>
      <xdr:colOff>146258</xdr:colOff>
      <xdr:row>82</xdr:row>
      <xdr:rowOff>40682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8186751-7F11-4D71-9A3B-617E48461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85476" y="12458330"/>
          <a:ext cx="12885714" cy="37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12</xdr:col>
      <xdr:colOff>380114</xdr:colOff>
      <xdr:row>27</xdr:row>
      <xdr:rowOff>73920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3D9F9C-E4E1-4569-B615-63FB916B4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11680"/>
          <a:ext cx="7085714" cy="30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11</xdr:col>
      <xdr:colOff>396241</xdr:colOff>
      <xdr:row>25</xdr:row>
      <xdr:rowOff>104397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1F3238-59A8-491E-A04A-00D229497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365760"/>
          <a:ext cx="6492240" cy="431063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12</xdr:col>
      <xdr:colOff>275429</xdr:colOff>
      <xdr:row>36</xdr:row>
      <xdr:rowOff>11223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A75C25-152B-4354-9225-8B8A199E1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937760"/>
          <a:ext cx="6371429" cy="16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24</xdr:col>
      <xdr:colOff>441960</xdr:colOff>
      <xdr:row>22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14FC70-5DFE-49E5-82CB-3DED2F952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4400" y="548640"/>
          <a:ext cx="6537960" cy="35890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18</xdr:col>
      <xdr:colOff>465524</xdr:colOff>
      <xdr:row>29</xdr:row>
      <xdr:rowOff>104190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A27F54-4FAB-4CD6-87B5-EE079B06C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731520"/>
          <a:ext cx="9609524" cy="46761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456305</xdr:colOff>
      <xdr:row>37</xdr:row>
      <xdr:rowOff>94438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BDF9E0-6740-461A-9FC7-72A8C3C44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7161905" cy="64952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12</xdr:col>
      <xdr:colOff>332571</xdr:colOff>
      <xdr:row>45</xdr:row>
      <xdr:rowOff>42849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FC8985-BA62-4929-ACF3-FEE864711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48640"/>
          <a:ext cx="6428571" cy="772380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28</xdr:col>
      <xdr:colOff>208457</xdr:colOff>
      <xdr:row>44</xdr:row>
      <xdr:rowOff>178110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818C63-5066-4E00-BAA9-898E051F8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548640"/>
          <a:ext cx="8742857" cy="7676190"/>
        </a:xfrm>
        <a:prstGeom prst="rect">
          <a:avLst/>
        </a:prstGeom>
      </xdr:spPr>
    </xdr:pic>
    <xdr:clientData/>
  </xdr:twoCellAnchor>
  <xdr:twoCellAnchor editAs="oneCell">
    <xdr:from>
      <xdr:col>36</xdr:col>
      <xdr:colOff>205740</xdr:colOff>
      <xdr:row>8</xdr:row>
      <xdr:rowOff>60960</xdr:rowOff>
    </xdr:from>
    <xdr:to>
      <xdr:col>46</xdr:col>
      <xdr:colOff>481169</xdr:colOff>
      <xdr:row>31</xdr:row>
      <xdr:rowOff>111863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9064FD-056F-4CD6-935C-9DB1FCD1A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151340" y="1524000"/>
          <a:ext cx="6371429" cy="4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00B4-CB14-4EEA-AB50-B4595D038F82}">
  <dimension ref="B3:G77"/>
  <sheetViews>
    <sheetView topLeftCell="A56" workbookViewId="0">
      <selection activeCell="E84" sqref="E84"/>
    </sheetView>
  </sheetViews>
  <sheetFormatPr baseColWidth="10" defaultColWidth="8.83203125" defaultRowHeight="15"/>
  <cols>
    <col min="5" max="5" width="12.5" customWidth="1"/>
    <col min="6" max="6" width="13.83203125" customWidth="1"/>
  </cols>
  <sheetData>
    <row r="3" spans="2:7">
      <c r="B3" s="4" t="s">
        <v>73</v>
      </c>
    </row>
    <row r="5" spans="2:7">
      <c r="B5" t="s">
        <v>67</v>
      </c>
      <c r="C5" t="s">
        <v>10</v>
      </c>
      <c r="D5" t="s">
        <v>11</v>
      </c>
      <c r="E5" t="s">
        <v>125</v>
      </c>
      <c r="F5" t="s">
        <v>12</v>
      </c>
      <c r="G5" t="s">
        <v>126</v>
      </c>
    </row>
    <row r="6" spans="2:7">
      <c r="B6" t="s">
        <v>60</v>
      </c>
      <c r="C6" s="7">
        <v>3.7800000000000002</v>
      </c>
      <c r="D6" s="7">
        <v>0.99119999999999997</v>
      </c>
      <c r="E6" s="7">
        <v>6.5288000000000004</v>
      </c>
      <c r="F6" s="7">
        <v>5.5</v>
      </c>
      <c r="G6" s="7">
        <v>16.8</v>
      </c>
    </row>
    <row r="7" spans="2:7">
      <c r="B7" t="s">
        <v>61</v>
      </c>
      <c r="C7" s="7">
        <v>3.4875000000000003</v>
      </c>
      <c r="D7" s="7">
        <v>0.91449999999999998</v>
      </c>
      <c r="E7" s="7">
        <v>5.597999999999999</v>
      </c>
      <c r="F7" s="7">
        <v>5.5</v>
      </c>
      <c r="G7" s="7">
        <v>15.5</v>
      </c>
    </row>
    <row r="8" spans="2:7">
      <c r="B8" t="s">
        <v>20</v>
      </c>
      <c r="C8" s="7">
        <v>3.8475000000000006</v>
      </c>
      <c r="D8" s="7">
        <v>1.0089000000000001</v>
      </c>
      <c r="E8" s="7">
        <v>7.0436000000000014</v>
      </c>
      <c r="F8" s="7">
        <v>5.2</v>
      </c>
      <c r="G8" s="7">
        <v>17.100000000000001</v>
      </c>
    </row>
    <row r="9" spans="2:7">
      <c r="B9" t="s">
        <v>21</v>
      </c>
      <c r="C9" s="7">
        <v>4.05</v>
      </c>
      <c r="D9" s="7">
        <v>1.0619999999999998</v>
      </c>
      <c r="E9" s="7">
        <v>5.3879999999999999</v>
      </c>
      <c r="F9" s="7">
        <v>7.5</v>
      </c>
      <c r="G9" s="7">
        <v>18</v>
      </c>
    </row>
    <row r="10" spans="2:7">
      <c r="B10" t="s">
        <v>22</v>
      </c>
      <c r="C10" s="7">
        <v>3.9149999999999996</v>
      </c>
      <c r="D10" s="7">
        <v>1.0266</v>
      </c>
      <c r="E10" s="7">
        <v>8.4583999999999993</v>
      </c>
      <c r="F10" s="7">
        <v>4</v>
      </c>
      <c r="G10" s="7">
        <v>17.399999999999999</v>
      </c>
    </row>
    <row r="11" spans="2:7">
      <c r="B11" t="s">
        <v>23</v>
      </c>
      <c r="C11" s="7">
        <v>3.42</v>
      </c>
      <c r="D11" s="7">
        <v>0.89679999999999993</v>
      </c>
      <c r="E11" s="7">
        <v>5.7832000000000008</v>
      </c>
      <c r="F11" s="7">
        <v>5.0999999999999996</v>
      </c>
      <c r="G11" s="7">
        <v>15.2</v>
      </c>
    </row>
    <row r="12" spans="2:7">
      <c r="B12" t="s">
        <v>39</v>
      </c>
      <c r="C12" s="7">
        <v>4.1625000000000005</v>
      </c>
      <c r="D12" s="7">
        <v>1.0914999999999999</v>
      </c>
      <c r="E12" s="7">
        <v>8.1460000000000008</v>
      </c>
      <c r="F12" s="7">
        <v>5.0999999999999996</v>
      </c>
      <c r="G12" s="7">
        <v>19</v>
      </c>
    </row>
    <row r="13" spans="2:7">
      <c r="B13" t="s">
        <v>94</v>
      </c>
      <c r="C13" s="7">
        <v>4.1625000000000005</v>
      </c>
      <c r="D13" s="7">
        <v>1.0914999999999999</v>
      </c>
      <c r="E13" s="7">
        <v>8.1460000000000008</v>
      </c>
      <c r="F13" s="7">
        <v>5.0999999999999996</v>
      </c>
      <c r="G13" s="7">
        <v>19</v>
      </c>
    </row>
    <row r="16" spans="2:7">
      <c r="B16" s="4" t="s">
        <v>92</v>
      </c>
    </row>
    <row r="18" spans="2:5">
      <c r="C18" t="s">
        <v>75</v>
      </c>
      <c r="D18" t="s">
        <v>76</v>
      </c>
      <c r="E18" t="s">
        <v>77</v>
      </c>
    </row>
    <row r="19" spans="2:5">
      <c r="B19" t="s">
        <v>20</v>
      </c>
      <c r="C19">
        <v>0.65</v>
      </c>
      <c r="D19">
        <v>0.25</v>
      </c>
      <c r="E19">
        <f t="shared" ref="E19:E25" si="0">SUM(C19:D19)</f>
        <v>0.9</v>
      </c>
    </row>
    <row r="20" spans="2:5">
      <c r="B20" t="s">
        <v>21</v>
      </c>
      <c r="C20">
        <v>0.55000000000000004</v>
      </c>
      <c r="D20">
        <v>0.37</v>
      </c>
      <c r="E20">
        <f t="shared" si="0"/>
        <v>0.92</v>
      </c>
    </row>
    <row r="21" spans="2:5">
      <c r="B21" t="s">
        <v>22</v>
      </c>
      <c r="C21">
        <v>0.7</v>
      </c>
      <c r="D21">
        <v>0.45</v>
      </c>
      <c r="E21">
        <f t="shared" si="0"/>
        <v>1.1499999999999999</v>
      </c>
    </row>
    <row r="22" spans="2:5">
      <c r="B22" t="s">
        <v>23</v>
      </c>
      <c r="C22">
        <v>0.6</v>
      </c>
      <c r="D22">
        <v>0.45</v>
      </c>
      <c r="E22">
        <f t="shared" si="0"/>
        <v>1.05</v>
      </c>
    </row>
    <row r="23" spans="2:5">
      <c r="B23" t="s">
        <v>31</v>
      </c>
      <c r="C23">
        <v>0.4</v>
      </c>
      <c r="D23">
        <v>0.46</v>
      </c>
      <c r="E23">
        <f t="shared" si="0"/>
        <v>0.8600000000000001</v>
      </c>
    </row>
    <row r="24" spans="2:5">
      <c r="B24" t="s">
        <v>32</v>
      </c>
      <c r="C24">
        <v>0.5</v>
      </c>
      <c r="D24">
        <v>0.48</v>
      </c>
      <c r="E24">
        <f t="shared" si="0"/>
        <v>0.98</v>
      </c>
    </row>
    <row r="25" spans="2:5">
      <c r="B25" t="s">
        <v>33</v>
      </c>
      <c r="C25">
        <v>0.8</v>
      </c>
      <c r="D25">
        <v>0.43</v>
      </c>
      <c r="E25">
        <f t="shared" si="0"/>
        <v>1.23</v>
      </c>
    </row>
    <row r="30" spans="2:5">
      <c r="B30" s="4" t="s">
        <v>82</v>
      </c>
    </row>
    <row r="31" spans="2:5">
      <c r="C31" t="s">
        <v>79</v>
      </c>
    </row>
    <row r="32" spans="2:5">
      <c r="B32" t="s">
        <v>78</v>
      </c>
      <c r="C32">
        <v>65</v>
      </c>
    </row>
    <row r="33" spans="2:6">
      <c r="B33" t="s">
        <v>80</v>
      </c>
      <c r="C33">
        <v>5</v>
      </c>
    </row>
    <row r="34" spans="2:6">
      <c r="B34" t="s">
        <v>81</v>
      </c>
      <c r="C34">
        <v>30</v>
      </c>
    </row>
    <row r="36" spans="2:6">
      <c r="B36" s="4" t="s">
        <v>91</v>
      </c>
    </row>
    <row r="37" spans="2:6">
      <c r="B37" t="s">
        <v>67</v>
      </c>
    </row>
    <row r="38" spans="2:6">
      <c r="B38" t="s">
        <v>90</v>
      </c>
    </row>
    <row r="39" spans="2:6">
      <c r="D39" t="s">
        <v>84</v>
      </c>
      <c r="E39" t="s">
        <v>85</v>
      </c>
      <c r="F39" t="s">
        <v>86</v>
      </c>
    </row>
    <row r="41" spans="2:6">
      <c r="B41" t="s">
        <v>87</v>
      </c>
      <c r="D41">
        <v>2.5</v>
      </c>
      <c r="E41">
        <v>1.5</v>
      </c>
      <c r="F41">
        <f>AVERAGE(D41:E41)</f>
        <v>2</v>
      </c>
    </row>
    <row r="42" spans="2:6">
      <c r="B42" t="s">
        <v>37</v>
      </c>
      <c r="D42">
        <v>18</v>
      </c>
      <c r="E42">
        <v>12</v>
      </c>
      <c r="F42">
        <f>AVERAGE(D42:E42)</f>
        <v>15</v>
      </c>
    </row>
    <row r="43" spans="2:6">
      <c r="B43" t="s">
        <v>38</v>
      </c>
      <c r="D43">
        <v>55</v>
      </c>
      <c r="E43">
        <v>35</v>
      </c>
      <c r="F43">
        <f t="shared" ref="F43:F46" si="1">AVERAGE(D43:E43)</f>
        <v>45</v>
      </c>
    </row>
    <row r="44" spans="2:6">
      <c r="B44" t="s">
        <v>39</v>
      </c>
      <c r="D44">
        <v>70</v>
      </c>
      <c r="E44">
        <v>60</v>
      </c>
      <c r="F44">
        <f t="shared" si="1"/>
        <v>65</v>
      </c>
    </row>
    <row r="45" spans="2:6">
      <c r="B45" t="s">
        <v>88</v>
      </c>
      <c r="D45">
        <v>65</v>
      </c>
      <c r="E45">
        <v>75</v>
      </c>
      <c r="F45">
        <f t="shared" si="1"/>
        <v>70</v>
      </c>
    </row>
    <row r="46" spans="2:6">
      <c r="B46" t="s">
        <v>89</v>
      </c>
      <c r="D46">
        <v>25</v>
      </c>
      <c r="E46">
        <v>47</v>
      </c>
      <c r="F46">
        <f t="shared" si="1"/>
        <v>36</v>
      </c>
    </row>
    <row r="49" spans="2:3">
      <c r="B49" s="4" t="s">
        <v>98</v>
      </c>
    </row>
    <row r="51" spans="2:3">
      <c r="B51" t="s">
        <v>95</v>
      </c>
      <c r="C51">
        <v>83.5</v>
      </c>
    </row>
    <row r="52" spans="2:3">
      <c r="B52" t="s">
        <v>97</v>
      </c>
      <c r="C52" s="2">
        <v>66</v>
      </c>
    </row>
    <row r="53" spans="2:3">
      <c r="B53" t="s">
        <v>96</v>
      </c>
      <c r="C53">
        <v>37.5</v>
      </c>
    </row>
    <row r="56" spans="2:3">
      <c r="B56" s="4" t="s">
        <v>120</v>
      </c>
    </row>
    <row r="58" spans="2:3">
      <c r="C58" t="s">
        <v>122</v>
      </c>
    </row>
    <row r="59" spans="2:3">
      <c r="B59" t="s">
        <v>99</v>
      </c>
      <c r="C59" t="s">
        <v>100</v>
      </c>
    </row>
    <row r="60" spans="2:3">
      <c r="B60" s="5" t="s">
        <v>119</v>
      </c>
      <c r="C60">
        <v>9</v>
      </c>
    </row>
    <row r="61" spans="2:3">
      <c r="B61" t="s">
        <v>101</v>
      </c>
      <c r="C61">
        <v>0.6</v>
      </c>
    </row>
    <row r="62" spans="2:3">
      <c r="B62" t="s">
        <v>102</v>
      </c>
      <c r="C62">
        <v>0.5</v>
      </c>
    </row>
    <row r="63" spans="2:3">
      <c r="B63" t="s">
        <v>103</v>
      </c>
      <c r="C63">
        <v>0.7</v>
      </c>
    </row>
    <row r="64" spans="2:3">
      <c r="B64" t="s">
        <v>104</v>
      </c>
      <c r="C64">
        <v>0.9</v>
      </c>
    </row>
    <row r="65" spans="2:3">
      <c r="B65" t="s">
        <v>105</v>
      </c>
      <c r="C65">
        <v>1</v>
      </c>
    </row>
    <row r="66" spans="2:3">
      <c r="B66" t="s">
        <v>106</v>
      </c>
      <c r="C66">
        <v>1.3</v>
      </c>
    </row>
    <row r="67" spans="2:3">
      <c r="B67" t="s">
        <v>107</v>
      </c>
      <c r="C67">
        <v>1.6</v>
      </c>
    </row>
    <row r="68" spans="2:3">
      <c r="B68" t="s">
        <v>108</v>
      </c>
      <c r="C68">
        <v>2.7</v>
      </c>
    </row>
    <row r="69" spans="2:3">
      <c r="B69" t="s">
        <v>109</v>
      </c>
      <c r="C69">
        <v>3.7</v>
      </c>
    </row>
    <row r="70" spans="2:3">
      <c r="B70" t="s">
        <v>110</v>
      </c>
      <c r="C70">
        <v>6.7</v>
      </c>
    </row>
    <row r="71" spans="2:3">
      <c r="B71" t="s">
        <v>111</v>
      </c>
      <c r="C71">
        <v>11.5</v>
      </c>
    </row>
    <row r="72" spans="2:3">
      <c r="B72" t="s">
        <v>112</v>
      </c>
      <c r="C72">
        <v>16.7</v>
      </c>
    </row>
    <row r="73" spans="2:3">
      <c r="B73" t="s">
        <v>113</v>
      </c>
      <c r="C73">
        <v>27.4</v>
      </c>
    </row>
    <row r="74" spans="2:3">
      <c r="B74" t="s">
        <v>114</v>
      </c>
      <c r="C74">
        <v>42.7</v>
      </c>
    </row>
    <row r="75" spans="2:3">
      <c r="B75" t="s">
        <v>115</v>
      </c>
      <c r="C75">
        <v>61.7</v>
      </c>
    </row>
    <row r="76" spans="2:3">
      <c r="B76" t="s">
        <v>116</v>
      </c>
      <c r="C76">
        <v>101.5</v>
      </c>
    </row>
    <row r="77" spans="2:3">
      <c r="B77" t="s">
        <v>117</v>
      </c>
      <c r="C77">
        <v>163.30000000000001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E720-E471-449E-BFC3-362083CD1894}">
  <dimension ref="Q8:R28"/>
  <sheetViews>
    <sheetView topLeftCell="A3" workbookViewId="0">
      <selection activeCell="R8" sqref="R8"/>
    </sheetView>
  </sheetViews>
  <sheetFormatPr baseColWidth="10" defaultColWidth="8.83203125" defaultRowHeight="15"/>
  <sheetData>
    <row r="8" spans="17:18">
      <c r="R8" t="s">
        <v>121</v>
      </c>
    </row>
    <row r="9" spans="17:18">
      <c r="R9" t="s">
        <v>118</v>
      </c>
    </row>
    <row r="10" spans="17:18">
      <c r="Q10" t="s">
        <v>99</v>
      </c>
      <c r="R10" t="s">
        <v>100</v>
      </c>
    </row>
    <row r="11" spans="17:18">
      <c r="Q11" s="5" t="s">
        <v>119</v>
      </c>
      <c r="R11">
        <v>9</v>
      </c>
    </row>
    <row r="12" spans="17:18">
      <c r="Q12" t="s">
        <v>101</v>
      </c>
      <c r="R12">
        <v>0.6</v>
      </c>
    </row>
    <row r="13" spans="17:18">
      <c r="Q13" t="s">
        <v>102</v>
      </c>
      <c r="R13">
        <v>0.5</v>
      </c>
    </row>
    <row r="14" spans="17:18">
      <c r="Q14" t="s">
        <v>103</v>
      </c>
      <c r="R14">
        <v>0.7</v>
      </c>
    </row>
    <row r="15" spans="17:18">
      <c r="Q15" t="s">
        <v>104</v>
      </c>
      <c r="R15">
        <v>0.9</v>
      </c>
    </row>
    <row r="16" spans="17:18">
      <c r="Q16" t="s">
        <v>105</v>
      </c>
      <c r="R16">
        <v>1</v>
      </c>
    </row>
    <row r="17" spans="17:18">
      <c r="Q17" t="s">
        <v>106</v>
      </c>
      <c r="R17">
        <v>1.3</v>
      </c>
    </row>
    <row r="18" spans="17:18">
      <c r="Q18" t="s">
        <v>107</v>
      </c>
      <c r="R18">
        <v>1.6</v>
      </c>
    </row>
    <row r="19" spans="17:18">
      <c r="Q19" t="s">
        <v>108</v>
      </c>
      <c r="R19">
        <v>2.7</v>
      </c>
    </row>
    <row r="20" spans="17:18">
      <c r="Q20" t="s">
        <v>109</v>
      </c>
      <c r="R20">
        <v>3.7</v>
      </c>
    </row>
    <row r="21" spans="17:18">
      <c r="Q21" t="s">
        <v>110</v>
      </c>
      <c r="R21">
        <v>6.7</v>
      </c>
    </row>
    <row r="22" spans="17:18">
      <c r="Q22" t="s">
        <v>111</v>
      </c>
      <c r="R22">
        <v>11.5</v>
      </c>
    </row>
    <row r="23" spans="17:18">
      <c r="Q23" t="s">
        <v>112</v>
      </c>
      <c r="R23">
        <v>16.7</v>
      </c>
    </row>
    <row r="24" spans="17:18">
      <c r="Q24" t="s">
        <v>113</v>
      </c>
      <c r="R24">
        <v>27.4</v>
      </c>
    </row>
    <row r="25" spans="17:18">
      <c r="Q25" t="s">
        <v>114</v>
      </c>
      <c r="R25">
        <v>42.7</v>
      </c>
    </row>
    <row r="26" spans="17:18">
      <c r="Q26" t="s">
        <v>115</v>
      </c>
      <c r="R26">
        <v>61.7</v>
      </c>
    </row>
    <row r="27" spans="17:18">
      <c r="Q27" t="s">
        <v>116</v>
      </c>
      <c r="R27">
        <v>101.5</v>
      </c>
    </row>
    <row r="28" spans="17:18">
      <c r="Q28" t="s">
        <v>117</v>
      </c>
      <c r="R28">
        <v>163.30000000000001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466F-BBE9-4B0C-815B-18DC87628E0D}">
  <dimension ref="C2:AE80"/>
  <sheetViews>
    <sheetView topLeftCell="H39" zoomScale="103" workbookViewId="0">
      <selection activeCell="T66" sqref="T66:W66"/>
    </sheetView>
  </sheetViews>
  <sheetFormatPr baseColWidth="10" defaultColWidth="8.83203125" defaultRowHeight="15"/>
  <cols>
    <col min="18" max="18" width="21.5" customWidth="1"/>
    <col min="19" max="19" width="12" customWidth="1"/>
    <col min="20" max="21" width="10.1640625" bestFit="1" customWidth="1"/>
    <col min="23" max="24" width="14.1640625" customWidth="1"/>
    <col min="26" max="26" width="10.6640625" customWidth="1"/>
    <col min="27" max="27" width="8.33203125" customWidth="1"/>
  </cols>
  <sheetData>
    <row r="2" spans="3:30">
      <c r="C2" t="s">
        <v>17</v>
      </c>
    </row>
    <row r="8" spans="3:30">
      <c r="O8" t="s">
        <v>1</v>
      </c>
    </row>
    <row r="9" spans="3:30">
      <c r="O9" t="s">
        <v>2</v>
      </c>
    </row>
    <row r="10" spans="3:30">
      <c r="AA10" t="s">
        <v>34</v>
      </c>
      <c r="AB10" t="s">
        <v>35</v>
      </c>
    </row>
    <row r="11" spans="3:30">
      <c r="AB11" t="s">
        <v>36</v>
      </c>
    </row>
    <row r="12" spans="3:30">
      <c r="AA12" t="s">
        <v>24</v>
      </c>
    </row>
    <row r="13" spans="3:30" ht="90.5" customHeight="1">
      <c r="AA13" s="8" t="s">
        <v>29</v>
      </c>
      <c r="AB13" s="8"/>
      <c r="AC13" s="8"/>
      <c r="AD13" s="8"/>
    </row>
    <row r="15" spans="3:30">
      <c r="AA15" t="s">
        <v>28</v>
      </c>
    </row>
    <row r="16" spans="3:30">
      <c r="AA16" t="s">
        <v>6</v>
      </c>
    </row>
    <row r="17" spans="18:31">
      <c r="AA17" t="s">
        <v>7</v>
      </c>
    </row>
    <row r="18" spans="18:31">
      <c r="AA18" t="s">
        <v>8</v>
      </c>
    </row>
    <row r="20" spans="18:31">
      <c r="R20" t="s">
        <v>27</v>
      </c>
    </row>
    <row r="21" spans="18:31" ht="17">
      <c r="T21" t="s">
        <v>10</v>
      </c>
      <c r="U21" t="s">
        <v>11</v>
      </c>
      <c r="V21" t="s">
        <v>16</v>
      </c>
      <c r="W21" t="s">
        <v>25</v>
      </c>
      <c r="X21" t="s">
        <v>40</v>
      </c>
      <c r="Y21" t="s">
        <v>12</v>
      </c>
      <c r="Z21" t="s">
        <v>13</v>
      </c>
      <c r="AA21" t="s">
        <v>26</v>
      </c>
    </row>
    <row r="22" spans="18:31">
      <c r="R22" t="s">
        <v>14</v>
      </c>
      <c r="S22" t="s">
        <v>15</v>
      </c>
      <c r="T22">
        <v>6.5</v>
      </c>
      <c r="U22">
        <v>3.4</v>
      </c>
      <c r="V22">
        <v>9.3000000000000007</v>
      </c>
      <c r="W22">
        <v>9.8000000000000007</v>
      </c>
      <c r="X22">
        <v>26</v>
      </c>
      <c r="AA22">
        <v>36.4</v>
      </c>
      <c r="AB22" t="s">
        <v>63</v>
      </c>
    </row>
    <row r="24" spans="18:31">
      <c r="R24" t="s">
        <v>19</v>
      </c>
    </row>
    <row r="25" spans="18:31">
      <c r="S25" t="s">
        <v>20</v>
      </c>
      <c r="Z25" s="2">
        <f>(214/1949)*100</f>
        <v>10.979989738327347</v>
      </c>
    </row>
    <row r="26" spans="18:31">
      <c r="S26" t="s">
        <v>21</v>
      </c>
      <c r="Z26" s="2">
        <f>(99/1158)*100</f>
        <v>8.5492227979274613</v>
      </c>
    </row>
    <row r="27" spans="18:31">
      <c r="S27" t="s">
        <v>22</v>
      </c>
      <c r="Z27" s="2">
        <f>(76/708)*100</f>
        <v>10.734463276836157</v>
      </c>
      <c r="AE27" t="s">
        <v>42</v>
      </c>
    </row>
    <row r="28" spans="18:31">
      <c r="S28" t="s">
        <v>23</v>
      </c>
      <c r="Z28" s="2">
        <f>(85/687)*100</f>
        <v>12.372634643377003</v>
      </c>
      <c r="AE28" t="s">
        <v>43</v>
      </c>
    </row>
    <row r="29" spans="18:31">
      <c r="AE29" t="s">
        <v>44</v>
      </c>
    </row>
    <row r="30" spans="18:31">
      <c r="R30" t="s">
        <v>30</v>
      </c>
      <c r="S30" t="s">
        <v>20</v>
      </c>
      <c r="Z30">
        <v>5.7</v>
      </c>
      <c r="AE30" t="s">
        <v>45</v>
      </c>
    </row>
    <row r="31" spans="18:31">
      <c r="S31" t="s">
        <v>21</v>
      </c>
      <c r="Z31">
        <v>5.9</v>
      </c>
      <c r="AE31" t="s">
        <v>46</v>
      </c>
    </row>
    <row r="32" spans="18:31">
      <c r="S32" t="s">
        <v>22</v>
      </c>
      <c r="Z32">
        <v>5.4</v>
      </c>
      <c r="AE32" t="s">
        <v>47</v>
      </c>
    </row>
    <row r="33" spans="3:31">
      <c r="C33" t="s">
        <v>3</v>
      </c>
      <c r="S33" t="s">
        <v>23</v>
      </c>
      <c r="Z33">
        <v>6.2</v>
      </c>
      <c r="AE33" t="s">
        <v>48</v>
      </c>
    </row>
    <row r="34" spans="3:31">
      <c r="S34" t="s">
        <v>31</v>
      </c>
      <c r="Z34">
        <v>6.1</v>
      </c>
      <c r="AE34" t="s">
        <v>49</v>
      </c>
    </row>
    <row r="35" spans="3:31">
      <c r="S35" t="s">
        <v>32</v>
      </c>
      <c r="Z35">
        <v>6</v>
      </c>
      <c r="AE35" t="s">
        <v>50</v>
      </c>
    </row>
    <row r="36" spans="3:31">
      <c r="S36" t="s">
        <v>33</v>
      </c>
      <c r="Z36">
        <v>7.2</v>
      </c>
      <c r="AE36" t="s">
        <v>51</v>
      </c>
    </row>
    <row r="37" spans="3:31">
      <c r="AE37" t="s">
        <v>52</v>
      </c>
    </row>
    <row r="38" spans="3:31">
      <c r="R38" t="s">
        <v>34</v>
      </c>
      <c r="S38" t="s">
        <v>37</v>
      </c>
      <c r="Z38">
        <v>9.8000000000000007</v>
      </c>
      <c r="AE38" t="s">
        <v>53</v>
      </c>
    </row>
    <row r="39" spans="3:31">
      <c r="R39" t="s">
        <v>41</v>
      </c>
      <c r="S39" t="s">
        <v>38</v>
      </c>
      <c r="Z39">
        <v>10.4</v>
      </c>
      <c r="AE39" t="s">
        <v>54</v>
      </c>
    </row>
    <row r="40" spans="3:31">
      <c r="S40" t="s">
        <v>39</v>
      </c>
      <c r="Z40">
        <v>12.2</v>
      </c>
      <c r="AE40" t="s">
        <v>55</v>
      </c>
    </row>
    <row r="41" spans="3:31">
      <c r="AE41" t="s">
        <v>56</v>
      </c>
    </row>
    <row r="42" spans="3:31">
      <c r="R42" t="s">
        <v>42</v>
      </c>
      <c r="S42" t="s">
        <v>60</v>
      </c>
      <c r="T42" s="2">
        <f>AVERAGE(T52,T56)</f>
        <v>4.368650217706822</v>
      </c>
      <c r="U42" s="2">
        <f>U52</f>
        <v>0.53846153846153844</v>
      </c>
      <c r="V42" s="2"/>
      <c r="W42" s="2">
        <f t="shared" ref="W42:W48" si="0">Z42-SUM(T42:U42)</f>
        <v>6.0928882438316396</v>
      </c>
      <c r="Y42">
        <v>5.5</v>
      </c>
      <c r="Z42">
        <v>11</v>
      </c>
      <c r="AA42">
        <v>16.8</v>
      </c>
      <c r="AE42" t="s">
        <v>57</v>
      </c>
    </row>
    <row r="43" spans="3:31">
      <c r="S43" t="s">
        <v>61</v>
      </c>
      <c r="T43">
        <v>3.8</v>
      </c>
      <c r="U43" s="2">
        <v>1</v>
      </c>
      <c r="V43" t="s">
        <v>67</v>
      </c>
      <c r="W43">
        <f t="shared" si="0"/>
        <v>7.2</v>
      </c>
      <c r="Y43">
        <v>5.5</v>
      </c>
      <c r="Z43">
        <v>12</v>
      </c>
      <c r="AA43">
        <v>15.5</v>
      </c>
      <c r="AC43" t="s">
        <v>67</v>
      </c>
      <c r="AE43" t="s">
        <v>58</v>
      </c>
    </row>
    <row r="44" spans="3:31">
      <c r="S44" t="s">
        <v>20</v>
      </c>
      <c r="W44">
        <f t="shared" si="0"/>
        <v>13.5</v>
      </c>
      <c r="Y44">
        <v>5.2</v>
      </c>
      <c r="Z44">
        <v>13.5</v>
      </c>
      <c r="AA44">
        <v>17.100000000000001</v>
      </c>
      <c r="AE44" t="s">
        <v>59</v>
      </c>
    </row>
    <row r="45" spans="3:31">
      <c r="S45" t="s">
        <v>21</v>
      </c>
      <c r="W45">
        <f t="shared" si="0"/>
        <v>14.5</v>
      </c>
      <c r="Y45">
        <v>7.5</v>
      </c>
      <c r="Z45">
        <v>14.5</v>
      </c>
      <c r="AA45">
        <v>18</v>
      </c>
    </row>
    <row r="46" spans="3:31">
      <c r="S46" t="s">
        <v>22</v>
      </c>
      <c r="W46">
        <f t="shared" si="0"/>
        <v>15</v>
      </c>
      <c r="Y46">
        <v>4</v>
      </c>
      <c r="Z46">
        <v>15</v>
      </c>
      <c r="AA46">
        <v>17.399999999999999</v>
      </c>
    </row>
    <row r="47" spans="3:31">
      <c r="S47" t="s">
        <v>23</v>
      </c>
      <c r="W47">
        <f t="shared" si="0"/>
        <v>11.5</v>
      </c>
      <c r="Y47">
        <v>5.0999999999999996</v>
      </c>
      <c r="Z47">
        <v>11.5</v>
      </c>
      <c r="AA47">
        <v>15.2</v>
      </c>
    </row>
    <row r="48" spans="3:31">
      <c r="S48" t="s">
        <v>62</v>
      </c>
      <c r="W48">
        <f t="shared" si="0"/>
        <v>14</v>
      </c>
      <c r="Y48">
        <v>5.0999999999999996</v>
      </c>
      <c r="Z48">
        <v>14</v>
      </c>
      <c r="AA48" s="2">
        <v>19</v>
      </c>
    </row>
    <row r="51" spans="19:31">
      <c r="S51" t="s">
        <v>124</v>
      </c>
    </row>
    <row r="52" spans="19:31">
      <c r="S52" t="s">
        <v>68</v>
      </c>
      <c r="T52">
        <f>(SUM(22+18)/1300)*100</f>
        <v>3.0769230769230771</v>
      </c>
      <c r="U52">
        <f>(7/1300)*100</f>
        <v>0.53846153846153844</v>
      </c>
      <c r="W52">
        <f>11.2- SUM(T52, U52, Y52)</f>
        <v>5.5846153846153843</v>
      </c>
      <c r="Y52">
        <v>2</v>
      </c>
      <c r="Z52">
        <v>11.2</v>
      </c>
    </row>
    <row r="55" spans="19:31">
      <c r="S55" t="s">
        <v>69</v>
      </c>
    </row>
    <row r="56" spans="19:31">
      <c r="S56" t="s">
        <v>60</v>
      </c>
      <c r="T56">
        <f>(42/742)*100</f>
        <v>5.6603773584905666</v>
      </c>
    </row>
    <row r="57" spans="19:31">
      <c r="S57" t="s">
        <v>70</v>
      </c>
      <c r="T57">
        <f>(72/1298)*100</f>
        <v>5.5469953775038521</v>
      </c>
    </row>
    <row r="58" spans="19:31">
      <c r="S58" t="s">
        <v>71</v>
      </c>
      <c r="T58">
        <f>(24/249)*100</f>
        <v>9.6385542168674707</v>
      </c>
    </row>
    <row r="59" spans="19:31">
      <c r="S59" t="s">
        <v>72</v>
      </c>
      <c r="T59">
        <f>(14/109)*100</f>
        <v>12.844036697247708</v>
      </c>
    </row>
    <row r="60" spans="19:31">
      <c r="T60" t="s">
        <v>67</v>
      </c>
    </row>
    <row r="61" spans="19:31">
      <c r="AE61" t="s">
        <v>123</v>
      </c>
    </row>
    <row r="64" spans="19:31">
      <c r="S64" t="s">
        <v>93</v>
      </c>
    </row>
    <row r="65" spans="19:27" ht="17">
      <c r="S65" t="s">
        <v>67</v>
      </c>
      <c r="T65" t="s">
        <v>10</v>
      </c>
      <c r="U65" t="s">
        <v>11</v>
      </c>
      <c r="V65" t="s">
        <v>16</v>
      </c>
      <c r="W65" t="s">
        <v>125</v>
      </c>
      <c r="X65" t="s">
        <v>40</v>
      </c>
      <c r="Y65" t="s">
        <v>12</v>
      </c>
      <c r="Z65" t="s">
        <v>13</v>
      </c>
      <c r="AA65" t="s">
        <v>126</v>
      </c>
    </row>
    <row r="66" spans="19:27">
      <c r="S66" t="s">
        <v>60</v>
      </c>
      <c r="T66" s="6">
        <f t="shared" ref="T66:T73" si="1">0.225*AA66</f>
        <v>3.7800000000000002</v>
      </c>
      <c r="U66" s="6">
        <f t="shared" ref="U66:U73" si="2">0.059*AA66</f>
        <v>0.99119999999999997</v>
      </c>
      <c r="V66" s="2"/>
      <c r="W66" s="6">
        <f t="shared" ref="W66:W73" si="3">AA66-SUM(T66:U66, Y66)</f>
        <v>6.5288000000000004</v>
      </c>
      <c r="Y66" s="6">
        <v>5.5</v>
      </c>
      <c r="Z66">
        <v>11</v>
      </c>
      <c r="AA66" s="6">
        <v>16.8</v>
      </c>
    </row>
    <row r="67" spans="19:27">
      <c r="S67" t="s">
        <v>61</v>
      </c>
      <c r="T67" s="6">
        <f t="shared" si="1"/>
        <v>3.4875000000000003</v>
      </c>
      <c r="U67" s="6">
        <f t="shared" si="2"/>
        <v>0.91449999999999998</v>
      </c>
      <c r="V67" t="s">
        <v>67</v>
      </c>
      <c r="W67" s="6">
        <f t="shared" si="3"/>
        <v>5.597999999999999</v>
      </c>
      <c r="Y67" s="6">
        <v>5.5</v>
      </c>
      <c r="Z67">
        <v>12</v>
      </c>
      <c r="AA67" s="6">
        <v>15.5</v>
      </c>
    </row>
    <row r="68" spans="19:27">
      <c r="S68" t="s">
        <v>20</v>
      </c>
      <c r="T68" s="6">
        <f t="shared" si="1"/>
        <v>3.8475000000000006</v>
      </c>
      <c r="U68" s="6">
        <f t="shared" si="2"/>
        <v>1.0089000000000001</v>
      </c>
      <c r="W68" s="6">
        <f t="shared" si="3"/>
        <v>7.0436000000000014</v>
      </c>
      <c r="Y68" s="6">
        <v>5.2</v>
      </c>
      <c r="Z68">
        <v>13.5</v>
      </c>
      <c r="AA68" s="6">
        <v>17.100000000000001</v>
      </c>
    </row>
    <row r="69" spans="19:27">
      <c r="S69" t="s">
        <v>21</v>
      </c>
      <c r="T69" s="6">
        <f t="shared" si="1"/>
        <v>4.05</v>
      </c>
      <c r="U69" s="6">
        <f t="shared" si="2"/>
        <v>1.0619999999999998</v>
      </c>
      <c r="W69" s="6">
        <f t="shared" si="3"/>
        <v>5.3879999999999999</v>
      </c>
      <c r="Y69" s="6">
        <v>7.5</v>
      </c>
      <c r="Z69">
        <v>14.5</v>
      </c>
      <c r="AA69" s="6">
        <v>18</v>
      </c>
    </row>
    <row r="70" spans="19:27">
      <c r="S70" t="s">
        <v>22</v>
      </c>
      <c r="T70" s="6">
        <f t="shared" si="1"/>
        <v>3.9149999999999996</v>
      </c>
      <c r="U70" s="6">
        <f t="shared" si="2"/>
        <v>1.0266</v>
      </c>
      <c r="W70" s="6">
        <f t="shared" si="3"/>
        <v>8.4583999999999993</v>
      </c>
      <c r="Y70" s="6">
        <v>4</v>
      </c>
      <c r="Z70">
        <v>15</v>
      </c>
      <c r="AA70" s="6">
        <v>17.399999999999999</v>
      </c>
    </row>
    <row r="71" spans="19:27">
      <c r="S71" t="s">
        <v>23</v>
      </c>
      <c r="T71" s="6">
        <f t="shared" si="1"/>
        <v>3.42</v>
      </c>
      <c r="U71" s="6">
        <f t="shared" si="2"/>
        <v>0.89679999999999993</v>
      </c>
      <c r="W71" s="6">
        <f t="shared" si="3"/>
        <v>5.7832000000000008</v>
      </c>
      <c r="Y71" s="6">
        <v>5.0999999999999996</v>
      </c>
      <c r="Z71">
        <v>11.5</v>
      </c>
      <c r="AA71" s="6">
        <v>15.2</v>
      </c>
    </row>
    <row r="72" spans="19:27">
      <c r="S72" t="s">
        <v>39</v>
      </c>
      <c r="T72" s="6">
        <f t="shared" si="1"/>
        <v>4.1625000000000005</v>
      </c>
      <c r="U72" s="6">
        <f t="shared" si="2"/>
        <v>1.0914999999999999</v>
      </c>
      <c r="W72" s="6">
        <f t="shared" si="3"/>
        <v>8.1460000000000008</v>
      </c>
      <c r="Y72" s="6">
        <v>5.0999999999999996</v>
      </c>
      <c r="Z72">
        <v>13.5</v>
      </c>
      <c r="AA72" s="6">
        <v>18.5</v>
      </c>
    </row>
    <row r="73" spans="19:27">
      <c r="S73" t="s">
        <v>94</v>
      </c>
      <c r="T73" s="6">
        <f t="shared" si="1"/>
        <v>4.1625000000000005</v>
      </c>
      <c r="U73" s="6">
        <f t="shared" si="2"/>
        <v>1.0914999999999999</v>
      </c>
      <c r="W73" s="6">
        <f t="shared" si="3"/>
        <v>8.1460000000000008</v>
      </c>
      <c r="Y73" s="6">
        <v>5.0999999999999996</v>
      </c>
      <c r="Z73">
        <v>13.5</v>
      </c>
      <c r="AA73" s="6">
        <v>18.5</v>
      </c>
    </row>
    <row r="77" spans="19:27">
      <c r="T77" t="s">
        <v>127</v>
      </c>
    </row>
    <row r="78" spans="19:27">
      <c r="T78" t="s">
        <v>128</v>
      </c>
    </row>
    <row r="79" spans="19:27">
      <c r="S79">
        <v>3.9</v>
      </c>
      <c r="T79" t="s">
        <v>129</v>
      </c>
    </row>
    <row r="80" spans="19:27">
      <c r="S80">
        <v>1</v>
      </c>
      <c r="T80" t="s">
        <v>130</v>
      </c>
    </row>
  </sheetData>
  <mergeCells count="1">
    <mergeCell ref="AA13:AD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F2D6A-87C4-4AE9-B316-18292C6F061E}">
  <dimension ref="B3:B10"/>
  <sheetViews>
    <sheetView workbookViewId="0">
      <selection activeCell="C32" sqref="C32:C34"/>
    </sheetView>
  </sheetViews>
  <sheetFormatPr baseColWidth="10" defaultColWidth="8.83203125" defaultRowHeight="15"/>
  <sheetData>
    <row r="3" spans="2:2">
      <c r="B3" t="s">
        <v>4</v>
      </c>
    </row>
    <row r="4" spans="2:2">
      <c r="B4" t="s">
        <v>5</v>
      </c>
    </row>
    <row r="5" spans="2:2">
      <c r="B5" t="s">
        <v>6</v>
      </c>
    </row>
    <row r="6" spans="2:2">
      <c r="B6" t="s">
        <v>7</v>
      </c>
    </row>
    <row r="7" spans="2:2">
      <c r="B7" t="s">
        <v>8</v>
      </c>
    </row>
    <row r="10" spans="2:2">
      <c r="B10" t="s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96E1-14CE-4136-A740-9AA3DE4EC3F5}">
  <dimension ref="A1:S36"/>
  <sheetViews>
    <sheetView workbookViewId="0">
      <selection activeCell="P27" sqref="P27:S36"/>
    </sheetView>
  </sheetViews>
  <sheetFormatPr baseColWidth="10" defaultColWidth="8.83203125" defaultRowHeight="15"/>
  <sheetData>
    <row r="1" spans="1:3">
      <c r="A1" t="s">
        <v>0</v>
      </c>
      <c r="C1" t="s">
        <v>17</v>
      </c>
    </row>
    <row r="27" spans="16:19">
      <c r="R27" t="s">
        <v>74</v>
      </c>
    </row>
    <row r="29" spans="16:19">
      <c r="Q29" t="s">
        <v>75</v>
      </c>
      <c r="R29" t="s">
        <v>76</v>
      </c>
      <c r="S29" t="s">
        <v>77</v>
      </c>
    </row>
    <row r="30" spans="16:19">
      <c r="P30" t="s">
        <v>20</v>
      </c>
      <c r="Q30">
        <v>0.65</v>
      </c>
      <c r="R30">
        <v>0.25</v>
      </c>
      <c r="S30">
        <f t="shared" ref="S30:S36" si="0">SUM(Q30:R30)</f>
        <v>0.9</v>
      </c>
    </row>
    <row r="31" spans="16:19">
      <c r="P31" t="s">
        <v>21</v>
      </c>
      <c r="Q31">
        <v>0.55000000000000004</v>
      </c>
      <c r="R31">
        <v>0.37</v>
      </c>
      <c r="S31">
        <f t="shared" si="0"/>
        <v>0.92</v>
      </c>
    </row>
    <row r="32" spans="16:19">
      <c r="P32" t="s">
        <v>22</v>
      </c>
      <c r="Q32">
        <v>0.7</v>
      </c>
      <c r="R32">
        <v>0.45</v>
      </c>
      <c r="S32">
        <f t="shared" si="0"/>
        <v>1.1499999999999999</v>
      </c>
    </row>
    <row r="33" spans="16:19">
      <c r="P33" t="s">
        <v>23</v>
      </c>
      <c r="Q33">
        <v>0.6</v>
      </c>
      <c r="R33">
        <v>0.45</v>
      </c>
      <c r="S33">
        <f t="shared" si="0"/>
        <v>1.05</v>
      </c>
    </row>
    <row r="34" spans="16:19">
      <c r="P34" t="s">
        <v>31</v>
      </c>
      <c r="Q34">
        <v>0.4</v>
      </c>
      <c r="R34">
        <v>0.46</v>
      </c>
      <c r="S34">
        <f t="shared" si="0"/>
        <v>0.8600000000000001</v>
      </c>
    </row>
    <row r="35" spans="16:19">
      <c r="P35" t="s">
        <v>32</v>
      </c>
      <c r="Q35">
        <v>0.5</v>
      </c>
      <c r="R35">
        <v>0.48</v>
      </c>
      <c r="S35">
        <f t="shared" si="0"/>
        <v>0.98</v>
      </c>
    </row>
    <row r="36" spans="16:19">
      <c r="P36" t="s">
        <v>33</v>
      </c>
      <c r="Q36">
        <v>0.8</v>
      </c>
      <c r="R36">
        <v>0.43</v>
      </c>
      <c r="S36">
        <f t="shared" si="0"/>
        <v>1.23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166A-A68B-429B-AB0E-BEB179902946}">
  <dimension ref="E3:AE19"/>
  <sheetViews>
    <sheetView tabSelected="1" topLeftCell="I8" workbookViewId="0">
      <selection activeCell="AA21" sqref="AA21"/>
    </sheetView>
  </sheetViews>
  <sheetFormatPr baseColWidth="10" defaultColWidth="8.83203125" defaultRowHeight="15"/>
  <sheetData>
    <row r="3" spans="5:31">
      <c r="E3" t="s">
        <v>64</v>
      </c>
    </row>
    <row r="10" spans="5:31">
      <c r="W10" t="s">
        <v>79</v>
      </c>
      <c r="AA10" t="s">
        <v>74</v>
      </c>
    </row>
    <row r="11" spans="5:31">
      <c r="V11" t="s">
        <v>78</v>
      </c>
      <c r="W11">
        <v>65</v>
      </c>
    </row>
    <row r="12" spans="5:31">
      <c r="V12" t="s">
        <v>80</v>
      </c>
      <c r="W12">
        <v>5</v>
      </c>
      <c r="Z12" t="s">
        <v>75</v>
      </c>
      <c r="AA12" t="s">
        <v>76</v>
      </c>
      <c r="AB12" t="s">
        <v>77</v>
      </c>
      <c r="AC12">
        <v>16</v>
      </c>
      <c r="AD12">
        <v>18</v>
      </c>
      <c r="AE12" t="s">
        <v>131</v>
      </c>
    </row>
    <row r="13" spans="5:31">
      <c r="V13" t="s">
        <v>81</v>
      </c>
      <c r="W13">
        <v>30</v>
      </c>
      <c r="Y13" t="s">
        <v>20</v>
      </c>
      <c r="Z13">
        <v>0.65</v>
      </c>
      <c r="AA13">
        <v>0.25</v>
      </c>
      <c r="AB13">
        <f t="shared" ref="AB13:AB19" si="0">SUM(Z13:AA13)</f>
        <v>0.9</v>
      </c>
      <c r="AC13">
        <f>AB13*$W$11/100</f>
        <v>0.58499999999999996</v>
      </c>
      <c r="AD13">
        <f>AB13*$W$12/100</f>
        <v>4.4999999999999998E-2</v>
      </c>
      <c r="AE13">
        <f>AB13*$W$13/100</f>
        <v>0.27</v>
      </c>
    </row>
    <row r="14" spans="5:31">
      <c r="Y14" t="s">
        <v>21</v>
      </c>
      <c r="Z14">
        <v>0.55000000000000004</v>
      </c>
      <c r="AA14">
        <v>0.37</v>
      </c>
      <c r="AB14">
        <f t="shared" si="0"/>
        <v>0.92</v>
      </c>
      <c r="AC14">
        <f t="shared" ref="AC14:AC19" si="1">AB14*$W$11/100</f>
        <v>0.59800000000000009</v>
      </c>
      <c r="AD14">
        <f t="shared" ref="AD14:AD19" si="2">AB14*$W$12/100</f>
        <v>4.6000000000000006E-2</v>
      </c>
      <c r="AE14">
        <f t="shared" ref="AE14:AE19" si="3">AB14*$W$13/100</f>
        <v>0.27600000000000002</v>
      </c>
    </row>
    <row r="15" spans="5:31">
      <c r="Y15" t="s">
        <v>22</v>
      </c>
      <c r="Z15">
        <v>0.7</v>
      </c>
      <c r="AA15">
        <v>0.45</v>
      </c>
      <c r="AB15">
        <f t="shared" si="0"/>
        <v>1.1499999999999999</v>
      </c>
      <c r="AC15">
        <f t="shared" si="1"/>
        <v>0.74750000000000005</v>
      </c>
      <c r="AD15">
        <f t="shared" si="2"/>
        <v>5.7500000000000002E-2</v>
      </c>
      <c r="AE15">
        <f t="shared" si="3"/>
        <v>0.34499999999999997</v>
      </c>
    </row>
    <row r="16" spans="5:31">
      <c r="Y16" t="s">
        <v>23</v>
      </c>
      <c r="Z16">
        <v>0.6</v>
      </c>
      <c r="AA16">
        <v>0.45</v>
      </c>
      <c r="AB16">
        <f t="shared" si="0"/>
        <v>1.05</v>
      </c>
      <c r="AC16">
        <f t="shared" si="1"/>
        <v>0.6825</v>
      </c>
      <c r="AD16">
        <f t="shared" si="2"/>
        <v>5.2499999999999998E-2</v>
      </c>
      <c r="AE16">
        <f t="shared" si="3"/>
        <v>0.315</v>
      </c>
    </row>
    <row r="17" spans="25:31">
      <c r="Y17" t="s">
        <v>31</v>
      </c>
      <c r="Z17">
        <v>0.4</v>
      </c>
      <c r="AA17">
        <v>0.46</v>
      </c>
      <c r="AB17">
        <f t="shared" si="0"/>
        <v>0.8600000000000001</v>
      </c>
      <c r="AC17">
        <f t="shared" si="1"/>
        <v>0.55900000000000005</v>
      </c>
      <c r="AD17">
        <f t="shared" si="2"/>
        <v>4.300000000000001E-2</v>
      </c>
      <c r="AE17">
        <f t="shared" si="3"/>
        <v>0.25800000000000006</v>
      </c>
    </row>
    <row r="18" spans="25:31">
      <c r="Y18" t="s">
        <v>32</v>
      </c>
      <c r="Z18">
        <v>0.5</v>
      </c>
      <c r="AA18">
        <v>0.48</v>
      </c>
      <c r="AB18">
        <f t="shared" si="0"/>
        <v>0.98</v>
      </c>
      <c r="AC18">
        <f t="shared" si="1"/>
        <v>0.63700000000000001</v>
      </c>
      <c r="AD18">
        <f t="shared" si="2"/>
        <v>4.9000000000000002E-2</v>
      </c>
      <c r="AE18">
        <f t="shared" si="3"/>
        <v>0.29399999999999998</v>
      </c>
    </row>
    <row r="19" spans="25:31">
      <c r="Y19" t="s">
        <v>33</v>
      </c>
      <c r="Z19">
        <v>0.8</v>
      </c>
      <c r="AA19">
        <v>0.43</v>
      </c>
      <c r="AB19">
        <f t="shared" si="0"/>
        <v>1.23</v>
      </c>
      <c r="AC19">
        <f t="shared" si="1"/>
        <v>0.79949999999999999</v>
      </c>
      <c r="AD19">
        <f t="shared" si="2"/>
        <v>6.1500000000000006E-2</v>
      </c>
      <c r="AE19">
        <f t="shared" si="3"/>
        <v>0.36899999999999999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5DF2-90AF-409F-A52A-E400332D9E8E}">
  <dimension ref="A1"/>
  <sheetViews>
    <sheetView topLeftCell="A6" workbookViewId="0">
      <selection activeCell="B3" sqref="B3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38BD-3467-439F-8295-4E672B952F72}">
  <dimension ref="D3:D9"/>
  <sheetViews>
    <sheetView workbookViewId="0">
      <selection activeCell="G19" sqref="G19"/>
    </sheetView>
  </sheetViews>
  <sheetFormatPr baseColWidth="10" defaultColWidth="8.83203125" defaultRowHeight="15"/>
  <sheetData>
    <row r="3" spans="4:4">
      <c r="D3" s="1" t="s">
        <v>18</v>
      </c>
    </row>
    <row r="8" spans="4:4">
      <c r="D8" t="s">
        <v>66</v>
      </c>
    </row>
    <row r="9" spans="4:4" ht="26">
      <c r="D9" s="3" t="s">
        <v>65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7070-B1C8-46FE-9CE4-4BB7D4079EB8}">
  <dimension ref="C3:AH19"/>
  <sheetViews>
    <sheetView topLeftCell="X1" zoomScale="90" zoomScaleNormal="90" workbookViewId="0">
      <selection activeCell="AD11" sqref="AD11:AI19"/>
    </sheetView>
  </sheetViews>
  <sheetFormatPr baseColWidth="10" defaultColWidth="8.83203125" defaultRowHeight="15"/>
  <sheetData>
    <row r="3" spans="3:34">
      <c r="C3" t="s">
        <v>83</v>
      </c>
    </row>
    <row r="11" spans="3:34">
      <c r="AD11" t="s">
        <v>90</v>
      </c>
    </row>
    <row r="12" spans="3:34">
      <c r="AF12" t="s">
        <v>84</v>
      </c>
      <c r="AG12" t="s">
        <v>85</v>
      </c>
      <c r="AH12" t="s">
        <v>86</v>
      </c>
    </row>
    <row r="14" spans="3:34">
      <c r="AD14" t="s">
        <v>87</v>
      </c>
      <c r="AF14">
        <v>2.5</v>
      </c>
      <c r="AG14">
        <v>1.5</v>
      </c>
      <c r="AH14">
        <f>AVERAGE(AF14:AG14)</f>
        <v>2</v>
      </c>
    </row>
    <row r="15" spans="3:34">
      <c r="AD15" t="s">
        <v>37</v>
      </c>
      <c r="AF15">
        <v>18</v>
      </c>
      <c r="AG15">
        <v>12</v>
      </c>
      <c r="AH15">
        <f>AVERAGE(AF15:AG15)</f>
        <v>15</v>
      </c>
    </row>
    <row r="16" spans="3:34">
      <c r="AD16" t="s">
        <v>38</v>
      </c>
      <c r="AF16">
        <v>55</v>
      </c>
      <c r="AG16">
        <v>35</v>
      </c>
      <c r="AH16">
        <f t="shared" ref="AH16:AH19" si="0">AVERAGE(AF16:AG16)</f>
        <v>45</v>
      </c>
    </row>
    <row r="17" spans="30:34">
      <c r="AD17" t="s">
        <v>39</v>
      </c>
      <c r="AF17">
        <v>70</v>
      </c>
      <c r="AG17">
        <v>60</v>
      </c>
      <c r="AH17">
        <f t="shared" si="0"/>
        <v>65</v>
      </c>
    </row>
    <row r="18" spans="30:34">
      <c r="AD18" t="s">
        <v>88</v>
      </c>
      <c r="AF18">
        <v>65</v>
      </c>
      <c r="AG18">
        <v>75</v>
      </c>
      <c r="AH18">
        <f t="shared" si="0"/>
        <v>70</v>
      </c>
    </row>
    <row r="19" spans="30:34">
      <c r="AD19" t="s">
        <v>89</v>
      </c>
      <c r="AF19">
        <v>25</v>
      </c>
      <c r="AG19">
        <v>47</v>
      </c>
      <c r="AH19">
        <f t="shared" si="0"/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 for model</vt:lpstr>
      <vt:lpstr>mortality census </vt:lpstr>
      <vt:lpstr>HPV prevalance by age</vt:lpstr>
      <vt:lpstr>CareHPV Campos</vt:lpstr>
      <vt:lpstr>CIN prevalance by age </vt:lpstr>
      <vt:lpstr>CIN by HPV type </vt:lpstr>
      <vt:lpstr>cancer incidence by age group</vt:lpstr>
      <vt:lpstr>vaccines</vt:lpstr>
      <vt:lpstr>Cancer incidence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Sujha</dc:creator>
  <cp:lastModifiedBy>Kasey Jones</cp:lastModifiedBy>
  <dcterms:created xsi:type="dcterms:W3CDTF">2021-04-21T12:25:58Z</dcterms:created>
  <dcterms:modified xsi:type="dcterms:W3CDTF">2021-04-26T14:12:10Z</dcterms:modified>
</cp:coreProperties>
</file>