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researchtriangleinstitute-my.sharepoint.com/personal/ssubramanian_rti_org/Documents/M Drive/My files/Grant Submissions/Implementation Science/Model development/"/>
    </mc:Choice>
  </mc:AlternateContent>
  <xr:revisionPtr revIDLastSave="0" documentId="8_{F50019C2-8056-4252-84A1-6867C807F3C3}" xr6:coauthVersionLast="46" xr6:coauthVersionMax="46" xr10:uidLastSave="{00000000-0000-0000-0000-000000000000}"/>
  <bookViews>
    <workbookView xWindow="-108" yWindow="-108" windowWidth="23256" windowHeight="12576" firstSheet="3" activeTab="4" xr2:uid="{00000000-000D-0000-FFFF-FFFF00000000}"/>
  </bookViews>
  <sheets>
    <sheet name="Overall parameters - Goldhaber" sheetId="1" r:id="rId1"/>
    <sheet name="After calibration - Goldhaber" sheetId="2" r:id="rId2"/>
    <sheet name="Calibration - HPV by type" sheetId="3" r:id="rId3"/>
    <sheet name="Calibration --HPV age specific" sheetId="9" r:id="rId4"/>
    <sheet name="SA Data CIN by HPV" sheetId="18" r:id="rId5"/>
    <sheet name="Zambia CIN &amp; Cancer HPV type" sheetId="20" r:id="rId6"/>
    <sheet name="Calibration - multiple HPV " sheetId="5" r:id="rId7"/>
    <sheet name="Calibration incidence" sheetId="4" r:id="rId8"/>
    <sheet name="Age specific incidence overall" sheetId="6" r:id="rId9"/>
    <sheet name="Age specific incidence age" sheetId="17" r:id="rId10"/>
    <sheet name="Age specific numbers" sheetId="12" r:id="rId11"/>
    <sheet name="HIV prevalance women" sheetId="8" r:id="rId12"/>
    <sheet name="HPV vaccination" sheetId="7" r:id="rId13"/>
    <sheet name="Cervical Cancer Screening" sheetId="11" r:id="rId14"/>
    <sheet name="Cancer mortality stage" sheetId="13" r:id="rId15"/>
    <sheet name="Cost parameters" sheetId="16" r:id="rId16"/>
    <sheet name="Test performance" sheetId="19" r:id="rId17"/>
    <sheet name="Intervention -- first set" sheetId="14" r:id="rId18"/>
    <sheet name="Interventions HIV EMOD"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 i="18" l="1"/>
  <c r="J45" i="18"/>
  <c r="I46" i="18"/>
  <c r="J42" i="18"/>
  <c r="I42" i="18"/>
  <c r="J37" i="18"/>
  <c r="I37" i="18"/>
  <c r="J32" i="18"/>
  <c r="I32" i="18"/>
  <c r="O52" i="18"/>
  <c r="N52" i="18"/>
  <c r="J52" i="18"/>
  <c r="I52" i="18"/>
  <c r="O51" i="18"/>
  <c r="N51" i="18"/>
  <c r="J51" i="18"/>
  <c r="I51" i="18"/>
  <c r="I45" i="18"/>
  <c r="L68" i="18"/>
  <c r="K68" i="18"/>
  <c r="Q68" i="18"/>
  <c r="P68" i="18"/>
  <c r="P67" i="18" l="1"/>
  <c r="K67" i="18"/>
  <c r="Q67" i="18"/>
  <c r="L67" i="18"/>
  <c r="G42" i="18"/>
  <c r="F42" i="18"/>
  <c r="E42" i="18"/>
  <c r="D42" i="18"/>
  <c r="G37" i="18"/>
  <c r="F37" i="18"/>
  <c r="E37" i="18"/>
  <c r="D37" i="18"/>
  <c r="D32" i="18"/>
  <c r="F32" i="18"/>
  <c r="G32" i="18"/>
  <c r="E32" i="18"/>
  <c r="N4" i="18"/>
  <c r="R4" i="18" s="1"/>
  <c r="N5" i="18"/>
  <c r="R5" i="18" s="1"/>
  <c r="N6" i="18"/>
  <c r="N7" i="18"/>
  <c r="N8" i="18"/>
  <c r="R8" i="18" s="1"/>
  <c r="N9" i="18"/>
  <c r="R9" i="18" s="1"/>
  <c r="N10" i="18"/>
  <c r="R10" i="18" s="1"/>
  <c r="N11" i="18"/>
  <c r="R11" i="18" s="1"/>
  <c r="N12" i="18"/>
  <c r="R12" i="18" s="1"/>
  <c r="N13" i="18"/>
  <c r="R13" i="18" s="1"/>
  <c r="N14" i="18"/>
  <c r="N15" i="18"/>
  <c r="R15" i="18" s="1"/>
  <c r="N16" i="18"/>
  <c r="R16" i="18" s="1"/>
  <c r="N17" i="18"/>
  <c r="R17" i="18" s="1"/>
  <c r="M4" i="18"/>
  <c r="Q4" i="18" s="1"/>
  <c r="M5" i="18"/>
  <c r="Q5" i="18" s="1"/>
  <c r="M6" i="18"/>
  <c r="Q6" i="18" s="1"/>
  <c r="M7" i="18"/>
  <c r="Q7" i="18" s="1"/>
  <c r="M8" i="18"/>
  <c r="M9" i="18"/>
  <c r="Q9" i="18" s="1"/>
  <c r="M10" i="18"/>
  <c r="Q10" i="18" s="1"/>
  <c r="M11" i="18"/>
  <c r="Q11" i="18" s="1"/>
  <c r="M12" i="18"/>
  <c r="Q12" i="18" s="1"/>
  <c r="M13" i="18"/>
  <c r="Q13" i="18" s="1"/>
  <c r="M14" i="18"/>
  <c r="Q14" i="18" s="1"/>
  <c r="M15" i="18"/>
  <c r="Q15" i="18" s="1"/>
  <c r="M16" i="18"/>
  <c r="Q16" i="18" s="1"/>
  <c r="M17" i="18"/>
  <c r="R14" i="18"/>
  <c r="R6" i="18"/>
  <c r="Q17" i="18"/>
  <c r="Q8" i="18"/>
  <c r="S34" i="17"/>
  <c r="T34" i="17"/>
  <c r="S33" i="17"/>
  <c r="T33" i="17"/>
  <c r="S32" i="17"/>
  <c r="T32" i="17"/>
  <c r="S31" i="17"/>
  <c r="T31" i="17"/>
  <c r="S30" i="17"/>
  <c r="T30" i="17"/>
  <c r="S29" i="17"/>
  <c r="T29" i="17"/>
  <c r="S28" i="17"/>
  <c r="T28" i="17"/>
  <c r="S27" i="17"/>
  <c r="T27" i="17"/>
  <c r="R26" i="17"/>
  <c r="S26" i="17"/>
  <c r="T26" i="17" s="1"/>
  <c r="S25" i="17"/>
  <c r="T25" i="17" s="1"/>
  <c r="S24" i="17"/>
  <c r="T24" i="17"/>
  <c r="S28" i="6"/>
  <c r="T28" i="6" s="1"/>
  <c r="S27" i="6"/>
  <c r="T27" i="6"/>
  <c r="S34" i="6"/>
  <c r="T34" i="6" s="1"/>
  <c r="S33" i="6"/>
  <c r="T33" i="6"/>
  <c r="S32" i="6"/>
  <c r="T32" i="6" s="1"/>
  <c r="S31" i="6"/>
  <c r="T31" i="6" s="1"/>
  <c r="S30" i="6"/>
  <c r="T30" i="6" s="1"/>
  <c r="S29" i="6"/>
  <c r="T29" i="6"/>
  <c r="S25" i="6"/>
  <c r="T25" i="6" s="1"/>
  <c r="S24" i="6"/>
  <c r="T24" i="6" s="1"/>
  <c r="R26" i="6"/>
  <c r="S26" i="6" s="1"/>
  <c r="T26" i="6" s="1"/>
  <c r="T151" i="3"/>
  <c r="R140" i="3"/>
  <c r="R145" i="3" s="1"/>
  <c r="B12" i="16"/>
  <c r="B11" i="16"/>
  <c r="B10" i="16"/>
  <c r="M112" i="3"/>
  <c r="L112" i="3"/>
  <c r="M111" i="3"/>
  <c r="L111" i="3"/>
  <c r="Q135" i="3"/>
  <c r="Q136" i="3"/>
  <c r="H11" i="9"/>
  <c r="H10" i="9"/>
  <c r="H9" i="9"/>
  <c r="H8" i="9"/>
  <c r="H7" i="9"/>
  <c r="H6" i="9"/>
  <c r="H5" i="9"/>
  <c r="W11" i="9"/>
  <c r="X11" i="9"/>
  <c r="W10" i="9"/>
  <c r="X10" i="9" s="1"/>
  <c r="W9" i="9"/>
  <c r="X9" i="9" s="1"/>
  <c r="W8" i="9"/>
  <c r="X8" i="9" s="1"/>
  <c r="W7" i="9"/>
  <c r="X7" i="9" s="1"/>
  <c r="W6" i="9"/>
  <c r="X6" i="9" s="1"/>
  <c r="W5" i="9"/>
  <c r="X5" i="9" s="1"/>
  <c r="V11" i="9"/>
  <c r="V10" i="9"/>
  <c r="V9" i="9"/>
  <c r="V8" i="9"/>
  <c r="V7" i="9"/>
  <c r="V6" i="9"/>
  <c r="V5" i="9"/>
  <c r="U11" i="9"/>
  <c r="U10" i="9"/>
  <c r="U9" i="9"/>
  <c r="U8" i="9"/>
  <c r="U7" i="9"/>
  <c r="U6" i="9"/>
  <c r="U5" i="9"/>
  <c r="W4" i="9"/>
  <c r="X4" i="9" s="1"/>
  <c r="V4" i="9"/>
  <c r="U4" i="9"/>
  <c r="P11" i="9"/>
  <c r="P10" i="9"/>
  <c r="P9" i="9"/>
  <c r="P8" i="9"/>
  <c r="P7" i="9"/>
  <c r="P6" i="9"/>
  <c r="P5" i="9"/>
  <c r="P4" i="9"/>
  <c r="H4" i="9"/>
  <c r="N18" i="18" l="1"/>
  <c r="N23" i="18" s="1"/>
  <c r="R7" i="18"/>
  <c r="M18" i="18"/>
  <c r="M23" i="18" s="1"/>
</calcChain>
</file>

<file path=xl/sharedStrings.xml><?xml version="1.0" encoding="utf-8"?>
<sst xmlns="http://schemas.openxmlformats.org/spreadsheetml/2006/main" count="1049" uniqueCount="554">
  <si>
    <t>Sub-Saharan Africa (South Africa example)</t>
  </si>
  <si>
    <t>Interventions</t>
  </si>
  <si>
    <t>Pre-Calibration</t>
  </si>
  <si>
    <t>Post-Calibration</t>
  </si>
  <si>
    <t>Africa Model</t>
  </si>
  <si>
    <t>notes</t>
  </si>
  <si>
    <t xml:space="preserve"> Not HIV infected</t>
  </si>
  <si>
    <t>HIV infected</t>
  </si>
  <si>
    <t>Vaccination</t>
  </si>
  <si>
    <t>Screening</t>
  </si>
  <si>
    <t>HIV prevention</t>
  </si>
  <si>
    <t>HIV treatment</t>
  </si>
  <si>
    <t>Progression Parameters [Type-specific Stratum]</t>
  </si>
  <si>
    <t>Search Range (US)</t>
  </si>
  <si>
    <t>Searching Constraint</t>
  </si>
  <si>
    <t>Mean</t>
  </si>
  <si>
    <t>Std Dev.</t>
  </si>
  <si>
    <t>Min</t>
  </si>
  <si>
    <t>Max</t>
  </si>
  <si>
    <t>Std. Dev.</t>
  </si>
  <si>
    <t>Range</t>
  </si>
  <si>
    <t>Will need to create separate calibraited models for HIV infected and not infected cohorts</t>
  </si>
  <si>
    <t>Immune response and can change immunity values</t>
  </si>
  <si>
    <t>Screening intervention is overlayed in separate module for early detection of CIN1/2, CIN 3 and cancers</t>
  </si>
  <si>
    <t>Reduced incidence of HIV individuals and overall rate of cervical cancer -- we can do calculation outside of the modeling runs once we know the proportions</t>
  </si>
  <si>
    <t>Impacts the risk of developing cervical cancer.  Maybe again we can calibrate based on improvement in immune response</t>
  </si>
  <si>
    <r>
      <t xml:space="preserve">Normal </t>
    </r>
    <r>
      <rPr>
        <sz val="10"/>
        <color theme="1"/>
        <rFont val="Wingdings"/>
        <charset val="2"/>
      </rPr>
      <t>à</t>
    </r>
    <r>
      <rPr>
        <sz val="10"/>
        <color theme="1"/>
        <rFont val="Arial"/>
        <family val="2"/>
      </rPr>
      <t xml:space="preserve"> HPV Infected [Low-Risk HPV]</t>
    </r>
  </si>
  <si>
    <t>1.0 – 4.0</t>
  </si>
  <si>
    <t>3.0 - 8.0</t>
  </si>
  <si>
    <t>This should be double that of the US model because HPV infection with high risk is double</t>
  </si>
  <si>
    <t>Higher rates of HPV infection --- use regression parameters and immunity to arrive at higher rate for HIV infected women</t>
  </si>
  <si>
    <r>
      <t xml:space="preserve">Normal </t>
    </r>
    <r>
      <rPr>
        <sz val="10"/>
        <color theme="1"/>
        <rFont val="Wingdings"/>
        <charset val="2"/>
      </rPr>
      <t>à</t>
    </r>
    <r>
      <rPr>
        <sz val="10"/>
        <color theme="1"/>
        <rFont val="Arial"/>
        <family val="2"/>
      </rPr>
      <t xml:space="preserve"> HPV Infected [Other High-Risk HPV]</t>
    </r>
  </si>
  <si>
    <t>1.0 – 8.0</t>
  </si>
  <si>
    <t>3.0 -12.0</t>
  </si>
  <si>
    <r>
      <t xml:space="preserve">Normal </t>
    </r>
    <r>
      <rPr>
        <sz val="10"/>
        <color theme="1"/>
        <rFont val="Wingdings"/>
        <charset val="2"/>
      </rPr>
      <t>à</t>
    </r>
    <r>
      <rPr>
        <sz val="10"/>
        <color theme="1"/>
        <rFont val="Arial"/>
        <family val="2"/>
      </rPr>
      <t xml:space="preserve"> HPV Infected [HPV-16]</t>
    </r>
  </si>
  <si>
    <r>
      <t xml:space="preserve">&gt; Normal </t>
    </r>
    <r>
      <rPr>
        <sz val="10"/>
        <color theme="1"/>
        <rFont val="Wingdings"/>
        <charset val="2"/>
      </rPr>
      <t>à</t>
    </r>
    <r>
      <rPr>
        <sz val="10"/>
        <color theme="1"/>
        <rFont val="Arial"/>
        <family val="2"/>
      </rPr>
      <t xml:space="preserve"> HPV Infected [HPV-18]</t>
    </r>
  </si>
  <si>
    <r>
      <t xml:space="preserve">Normal </t>
    </r>
    <r>
      <rPr>
        <sz val="10"/>
        <color theme="1"/>
        <rFont val="Wingdings"/>
        <charset val="2"/>
      </rPr>
      <t>à</t>
    </r>
    <r>
      <rPr>
        <sz val="10"/>
        <color theme="1"/>
        <rFont val="Arial"/>
        <family val="2"/>
      </rPr>
      <t xml:space="preserve"> HPV Infected [HPV-18]</t>
    </r>
  </si>
  <si>
    <r>
      <t xml:space="preserve">&gt; Normal </t>
    </r>
    <r>
      <rPr>
        <sz val="10"/>
        <color theme="1"/>
        <rFont val="Wingdings"/>
        <charset val="2"/>
      </rPr>
      <t>à</t>
    </r>
    <r>
      <rPr>
        <sz val="10"/>
        <color theme="1"/>
        <rFont val="Arial"/>
        <family val="2"/>
      </rPr>
      <t xml:space="preserve"> HPV Infected [Other High-Risk HPV]</t>
    </r>
  </si>
  <si>
    <r>
      <t xml:space="preserve">HPV </t>
    </r>
    <r>
      <rPr>
        <sz val="10"/>
        <color theme="1"/>
        <rFont val="Wingdings"/>
        <charset val="2"/>
      </rPr>
      <t>à</t>
    </r>
    <r>
      <rPr>
        <sz val="10"/>
        <color theme="1"/>
        <rFont val="Arial"/>
        <family val="2"/>
      </rPr>
      <t xml:space="preserve"> CIN1 [Low-Risk HPV]</t>
    </r>
  </si>
  <si>
    <t>0.1 – 6.0</t>
  </si>
  <si>
    <t>1.0-6.0</t>
  </si>
  <si>
    <t>Keeping this the same as US model</t>
  </si>
  <si>
    <t>Same rates</t>
  </si>
  <si>
    <r>
      <t xml:space="preserve">HPV </t>
    </r>
    <r>
      <rPr>
        <sz val="10"/>
        <color theme="1"/>
        <rFont val="Wingdings"/>
        <charset val="2"/>
      </rPr>
      <t>à</t>
    </r>
    <r>
      <rPr>
        <sz val="10"/>
        <color theme="1"/>
        <rFont val="Arial"/>
        <family val="2"/>
      </rPr>
      <t xml:space="preserve"> CIN1 [Other High-Risk HPV]</t>
    </r>
  </si>
  <si>
    <r>
      <t xml:space="preserve">HPV </t>
    </r>
    <r>
      <rPr>
        <sz val="10"/>
        <color theme="1"/>
        <rFont val="Wingdings"/>
        <charset val="2"/>
      </rPr>
      <t>à</t>
    </r>
    <r>
      <rPr>
        <sz val="10"/>
        <color theme="1"/>
        <rFont val="Arial"/>
        <family val="2"/>
      </rPr>
      <t xml:space="preserve"> CIN1 [HPV-16]</t>
    </r>
  </si>
  <si>
    <r>
      <t xml:space="preserve">HPV </t>
    </r>
    <r>
      <rPr>
        <sz val="10"/>
        <color theme="1"/>
        <rFont val="Wingdings"/>
        <charset val="2"/>
      </rPr>
      <t>à</t>
    </r>
    <r>
      <rPr>
        <sz val="10"/>
        <color theme="1"/>
        <rFont val="Arial"/>
        <family val="2"/>
      </rPr>
      <t xml:space="preserve"> CIN1 [HPV-18]</t>
    </r>
  </si>
  <si>
    <r>
      <t xml:space="preserve">HPV </t>
    </r>
    <r>
      <rPr>
        <sz val="10"/>
        <color theme="1"/>
        <rFont val="Wingdings"/>
        <charset val="2"/>
      </rPr>
      <t>à</t>
    </r>
    <r>
      <rPr>
        <sz val="10"/>
        <color theme="1"/>
        <rFont val="Arial"/>
        <family val="2"/>
      </rPr>
      <t xml:space="preserve"> CIN2,3 [Low-Risk HPV]</t>
    </r>
  </si>
  <si>
    <t>0.0 – 0.1</t>
  </si>
  <si>
    <r>
      <t xml:space="preserve">HPV </t>
    </r>
    <r>
      <rPr>
        <sz val="10"/>
        <color theme="1"/>
        <rFont val="Wingdings"/>
        <charset val="2"/>
      </rPr>
      <t>à</t>
    </r>
    <r>
      <rPr>
        <sz val="10"/>
        <color theme="1"/>
        <rFont val="Arial"/>
        <family val="2"/>
      </rPr>
      <t xml:space="preserve"> CIN2,3 [Other High-Risk HPV]</t>
    </r>
  </si>
  <si>
    <r>
      <t xml:space="preserve">HPV </t>
    </r>
    <r>
      <rPr>
        <sz val="10"/>
        <color theme="1"/>
        <rFont val="Wingdings"/>
        <charset val="2"/>
      </rPr>
      <t>à</t>
    </r>
    <r>
      <rPr>
        <sz val="10"/>
        <color theme="1"/>
        <rFont val="Arial"/>
        <family val="2"/>
      </rPr>
      <t xml:space="preserve"> CIN2,3 [HPV-16]</t>
    </r>
  </si>
  <si>
    <t>0.1 – 1.0</t>
  </si>
  <si>
    <r>
      <t xml:space="preserve">HPV </t>
    </r>
    <r>
      <rPr>
        <sz val="10"/>
        <color theme="1"/>
        <rFont val="Wingdings"/>
        <charset val="2"/>
      </rPr>
      <t>à</t>
    </r>
    <r>
      <rPr>
        <sz val="10"/>
        <color theme="1"/>
        <rFont val="Arial"/>
        <family val="2"/>
      </rPr>
      <t xml:space="preserve"> CIN2,3 [HPV-18]</t>
    </r>
  </si>
  <si>
    <r>
      <t xml:space="preserve">CIN1 </t>
    </r>
    <r>
      <rPr>
        <sz val="10"/>
        <color theme="1"/>
        <rFont val="Wingdings"/>
        <charset val="2"/>
      </rPr>
      <t>à</t>
    </r>
    <r>
      <rPr>
        <sz val="10"/>
        <color theme="1"/>
        <rFont val="Arial"/>
        <family val="2"/>
      </rPr>
      <t xml:space="preserve"> CIN2,3 [Low-Risk HPV]</t>
    </r>
  </si>
  <si>
    <t>0.5 – 4.0</t>
  </si>
  <si>
    <r>
      <t xml:space="preserve">CIN1 </t>
    </r>
    <r>
      <rPr>
        <sz val="10"/>
        <color theme="1"/>
        <rFont val="Wingdings"/>
        <charset val="2"/>
      </rPr>
      <t>à</t>
    </r>
    <r>
      <rPr>
        <sz val="10"/>
        <color theme="1"/>
        <rFont val="Arial"/>
        <family val="2"/>
      </rPr>
      <t xml:space="preserve"> CIN2,3 [Other High-Risk HPV]</t>
    </r>
  </si>
  <si>
    <t>0.1 – 4.0</t>
  </si>
  <si>
    <r>
      <t xml:space="preserve">CIN1 </t>
    </r>
    <r>
      <rPr>
        <sz val="10"/>
        <color theme="1"/>
        <rFont val="Wingdings"/>
        <charset val="2"/>
      </rPr>
      <t>à</t>
    </r>
    <r>
      <rPr>
        <sz val="10"/>
        <color theme="1"/>
        <rFont val="Arial"/>
        <family val="2"/>
      </rPr>
      <t xml:space="preserve"> CIN2,3 [HPV-16] </t>
    </r>
  </si>
  <si>
    <t>0.5 – 6.0</t>
  </si>
  <si>
    <r>
      <t xml:space="preserve">CIN1 </t>
    </r>
    <r>
      <rPr>
        <sz val="10"/>
        <color theme="1"/>
        <rFont val="Wingdings"/>
        <charset val="2"/>
      </rPr>
      <t>à</t>
    </r>
    <r>
      <rPr>
        <sz val="10"/>
        <color theme="1"/>
        <rFont val="Arial"/>
        <family val="2"/>
      </rPr>
      <t xml:space="preserve"> CIN2,3 [HPV-18]</t>
    </r>
  </si>
  <si>
    <r>
      <t xml:space="preserve">CIN2,3 </t>
    </r>
    <r>
      <rPr>
        <sz val="10"/>
        <color theme="1"/>
        <rFont val="Wingdings"/>
        <charset val="2"/>
      </rPr>
      <t>à</t>
    </r>
    <r>
      <rPr>
        <sz val="10"/>
        <color theme="1"/>
        <rFont val="Arial"/>
        <family val="2"/>
      </rPr>
      <t xml:space="preserve"> cancer [Other High-Risk HPV]</t>
    </r>
  </si>
  <si>
    <t>1.0 – 3.0</t>
  </si>
  <si>
    <r>
      <t xml:space="preserve">CIN2,3 </t>
    </r>
    <r>
      <rPr>
        <sz val="10"/>
        <color theme="1"/>
        <rFont val="Wingdings"/>
        <charset val="2"/>
      </rPr>
      <t>à</t>
    </r>
    <r>
      <rPr>
        <sz val="10"/>
        <color theme="1"/>
        <rFont val="Arial"/>
        <family val="2"/>
      </rPr>
      <t xml:space="preserve"> cancer [HPV-16]</t>
    </r>
  </si>
  <si>
    <t>1.0 – 5.0</t>
  </si>
  <si>
    <r>
      <t xml:space="preserve">CIN2,3 </t>
    </r>
    <r>
      <rPr>
        <sz val="10"/>
        <color theme="1"/>
        <rFont val="Wingdings"/>
        <charset val="2"/>
      </rPr>
      <t>à</t>
    </r>
    <r>
      <rPr>
        <sz val="10"/>
        <color theme="1"/>
        <rFont val="Arial"/>
        <family val="2"/>
      </rPr>
      <t xml:space="preserve"> cancer [HPV-18]</t>
    </r>
  </si>
  <si>
    <t>Regression Parameters [Type-specific Stratum]</t>
  </si>
  <si>
    <t>Search Range</t>
  </si>
  <si>
    <r>
      <t xml:space="preserve">HPV </t>
    </r>
    <r>
      <rPr>
        <sz val="10"/>
        <color theme="1"/>
        <rFont val="Wingdings"/>
        <charset val="2"/>
      </rPr>
      <t>à</t>
    </r>
    <r>
      <rPr>
        <sz val="10"/>
        <color theme="1"/>
        <rFont val="Arial"/>
        <family val="2"/>
      </rPr>
      <t xml:space="preserve"> Normal [Low-Risk HPV]</t>
    </r>
  </si>
  <si>
    <t>1.5 – 6.0</t>
  </si>
  <si>
    <t>Keeping these the same for now as well because we need to double the incident of cervical cancer and double the burden of HIV may do it.</t>
  </si>
  <si>
    <t>Lower levels of regression</t>
  </si>
  <si>
    <r>
      <t xml:space="preserve">HPV </t>
    </r>
    <r>
      <rPr>
        <sz val="10"/>
        <color theme="1"/>
        <rFont val="Wingdings"/>
        <charset val="2"/>
      </rPr>
      <t>à</t>
    </r>
    <r>
      <rPr>
        <sz val="10"/>
        <color theme="1"/>
        <rFont val="Arial"/>
        <family val="2"/>
      </rPr>
      <t xml:space="preserve"> Normal [Other High-Risk HPV]</t>
    </r>
  </si>
  <si>
    <r>
      <t xml:space="preserve">HPV </t>
    </r>
    <r>
      <rPr>
        <sz val="10"/>
        <color theme="1"/>
        <rFont val="Wingdings"/>
        <charset val="2"/>
      </rPr>
      <t>à</t>
    </r>
    <r>
      <rPr>
        <sz val="10"/>
        <color theme="1"/>
        <rFont val="Arial"/>
        <family val="2"/>
      </rPr>
      <t xml:space="preserve"> Normal [HPV-16]</t>
    </r>
  </si>
  <si>
    <r>
      <t xml:space="preserve">HPV </t>
    </r>
    <r>
      <rPr>
        <sz val="10"/>
        <color theme="1"/>
        <rFont val="Wingdings"/>
        <charset val="2"/>
      </rPr>
      <t>à</t>
    </r>
    <r>
      <rPr>
        <sz val="10"/>
        <color theme="1"/>
        <rFont val="Arial"/>
        <family val="2"/>
      </rPr>
      <t xml:space="preserve"> Normal [HPV-18]</t>
    </r>
  </si>
  <si>
    <r>
      <t xml:space="preserve">= HPV Infected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</si>
  <si>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Normal [Low-Risk HPV]</t>
    </r>
  </si>
  <si>
    <t>0.5 – 5.0</t>
  </si>
  <si>
    <r>
      <t xml:space="preserve">CIN1 </t>
    </r>
    <r>
      <rPr>
        <sz val="10"/>
        <color theme="1"/>
        <rFont val="Wingdings"/>
        <charset val="2"/>
      </rPr>
      <t>à</t>
    </r>
    <r>
      <rPr>
        <sz val="10"/>
        <color theme="1"/>
        <rFont val="Arial"/>
        <family val="2"/>
      </rPr>
      <t xml:space="preserve"> Normal [Other High-Risk HPV]</t>
    </r>
  </si>
  <si>
    <r>
      <t xml:space="preserve">CIN1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</si>
  <si>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Normal [HPV-18]</t>
    </r>
  </si>
  <si>
    <r>
      <t xml:space="preserve">= CIN1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</si>
  <si>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HPV [Low-Risk HPV]</t>
    </r>
  </si>
  <si>
    <r>
      <t xml:space="preserve">= CIN1 </t>
    </r>
    <r>
      <rPr>
        <sz val="10"/>
        <color theme="1"/>
        <rFont val="Wingdings"/>
        <charset val="2"/>
      </rPr>
      <t>à</t>
    </r>
    <r>
      <rPr>
        <sz val="10"/>
        <color theme="1"/>
        <rFont val="Arial"/>
        <family val="2"/>
      </rPr>
      <t xml:space="preserve"> Normal [Low-Risk HPV]</t>
    </r>
  </si>
  <si>
    <r>
      <t xml:space="preserve">CIN1 </t>
    </r>
    <r>
      <rPr>
        <sz val="10"/>
        <color theme="1"/>
        <rFont val="Wingdings"/>
        <charset val="2"/>
      </rPr>
      <t>à</t>
    </r>
    <r>
      <rPr>
        <sz val="10"/>
        <color theme="1"/>
        <rFont val="Arial"/>
        <family val="2"/>
      </rPr>
      <t xml:space="preserve"> HPV [Other High-Risk HPV]</t>
    </r>
  </si>
  <si>
    <r>
      <t xml:space="preserve">= CIN1 </t>
    </r>
    <r>
      <rPr>
        <sz val="10"/>
        <color theme="1"/>
        <rFont val="Wingdings"/>
        <charset val="2"/>
      </rPr>
      <t>à</t>
    </r>
    <r>
      <rPr>
        <sz val="10"/>
        <color theme="1"/>
        <rFont val="Arial"/>
        <family val="2"/>
      </rPr>
      <t xml:space="preserve"> Normal [Other High-Risk HPV]</t>
    </r>
  </si>
  <si>
    <r>
      <t xml:space="preserve">CIN1 </t>
    </r>
    <r>
      <rPr>
        <sz val="10"/>
        <color theme="1"/>
        <rFont val="Wingdings"/>
        <charset val="2"/>
      </rPr>
      <t>à</t>
    </r>
    <r>
      <rPr>
        <sz val="10"/>
        <color theme="1"/>
        <rFont val="Arial"/>
        <family val="2"/>
      </rPr>
      <t xml:space="preserve"> HPV [HPV-16]</t>
    </r>
  </si>
  <si>
    <r>
      <t xml:space="preserve">CIN1 </t>
    </r>
    <r>
      <rPr>
        <sz val="10"/>
        <color theme="1"/>
        <rFont val="Wingdings"/>
        <charset val="2"/>
      </rPr>
      <t>à</t>
    </r>
    <r>
      <rPr>
        <sz val="10"/>
        <color theme="1"/>
        <rFont val="Arial"/>
        <family val="2"/>
      </rPr>
      <t xml:space="preserve"> HPV [HPV-18]</t>
    </r>
  </si>
  <si>
    <r>
      <t xml:space="preserve">= CIN1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</si>
  <si>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Normal [Low-Risk HPV]</t>
    </r>
  </si>
  <si>
    <r>
      <t xml:space="preserve">CIN2,3 </t>
    </r>
    <r>
      <rPr>
        <sz val="10"/>
        <color theme="1"/>
        <rFont val="Wingdings"/>
        <charset val="2"/>
      </rPr>
      <t>à</t>
    </r>
    <r>
      <rPr>
        <sz val="10"/>
        <color theme="1"/>
        <rFont val="Arial"/>
        <family val="2"/>
      </rPr>
      <t xml:space="preserve"> Normal [Other High-Risk HPV]</t>
    </r>
  </si>
  <si>
    <r>
      <t xml:space="preserve">CIN2,3 </t>
    </r>
    <r>
      <rPr>
        <sz val="10"/>
        <color theme="1"/>
        <rFont val="Wingdings"/>
        <charset val="2"/>
      </rPr>
      <t>à</t>
    </r>
    <r>
      <rPr>
        <sz val="10"/>
        <color theme="1"/>
        <rFont val="Arial"/>
        <family val="2"/>
      </rPr>
      <t xml:space="preserve"> Normal [HPV-16]</t>
    </r>
  </si>
  <si>
    <r>
      <t xml:space="preserve">CIN2,3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</si>
  <si>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HPV [Low-Risk HPV]</t>
    </r>
  </si>
  <si>
    <r>
      <t xml:space="preserve">= CIN2,3 </t>
    </r>
    <r>
      <rPr>
        <sz val="10"/>
        <color theme="1"/>
        <rFont val="Wingdings"/>
        <charset val="2"/>
      </rPr>
      <t>à</t>
    </r>
    <r>
      <rPr>
        <sz val="10"/>
        <color theme="1"/>
        <rFont val="Arial"/>
        <family val="2"/>
      </rPr>
      <t xml:space="preserve"> Normal [Low-Risk HPV]</t>
    </r>
  </si>
  <si>
    <r>
      <t xml:space="preserve">CIN2,3 </t>
    </r>
    <r>
      <rPr>
        <sz val="10"/>
        <color theme="1"/>
        <rFont val="Wingdings"/>
        <charset val="2"/>
      </rPr>
      <t>à</t>
    </r>
    <r>
      <rPr>
        <sz val="10"/>
        <color theme="1"/>
        <rFont val="Arial"/>
        <family val="2"/>
      </rPr>
      <t xml:space="preserve"> HPV [Other High-Risk HPV]</t>
    </r>
  </si>
  <si>
    <r>
      <t xml:space="preserve">= CIN2,3 </t>
    </r>
    <r>
      <rPr>
        <sz val="10"/>
        <color theme="1"/>
        <rFont val="Wingdings"/>
        <charset val="2"/>
      </rPr>
      <t>à</t>
    </r>
    <r>
      <rPr>
        <sz val="10"/>
        <color theme="1"/>
        <rFont val="Arial"/>
        <family val="2"/>
      </rPr>
      <t xml:space="preserve"> Normal [Other High-Risk HPV]</t>
    </r>
  </si>
  <si>
    <r>
      <t xml:space="preserve">CIN2,3 </t>
    </r>
    <r>
      <rPr>
        <sz val="10"/>
        <color theme="1"/>
        <rFont val="Wingdings"/>
        <charset val="2"/>
      </rPr>
      <t>à</t>
    </r>
    <r>
      <rPr>
        <sz val="10"/>
        <color theme="1"/>
        <rFont val="Arial"/>
        <family val="2"/>
      </rPr>
      <t xml:space="preserve"> HPV [HPV-16]</t>
    </r>
  </si>
  <si>
    <r>
      <t xml:space="preserve">= CIN2,3 </t>
    </r>
    <r>
      <rPr>
        <sz val="10"/>
        <color theme="1"/>
        <rFont val="Wingdings"/>
        <charset val="2"/>
      </rPr>
      <t>à</t>
    </r>
    <r>
      <rPr>
        <sz val="10"/>
        <color theme="1"/>
        <rFont val="Arial"/>
        <family val="2"/>
      </rPr>
      <t xml:space="preserve"> Normal [HPV-16]</t>
    </r>
  </si>
  <si>
    <r>
      <t xml:space="preserve">CIN2,3 </t>
    </r>
    <r>
      <rPr>
        <sz val="10"/>
        <color theme="1"/>
        <rFont val="Wingdings"/>
        <charset val="2"/>
      </rPr>
      <t>à</t>
    </r>
    <r>
      <rPr>
        <sz val="10"/>
        <color theme="1"/>
        <rFont val="Arial"/>
        <family val="2"/>
      </rPr>
      <t xml:space="preserve"> HPV [HPV-18]</t>
    </r>
  </si>
  <si>
    <r>
      <t xml:space="preserve">= CIN2,3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</si>
  <si>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CIN1 [Low-Risk HPV]</t>
    </r>
  </si>
  <si>
    <r>
      <t xml:space="preserve">CIN2,3 </t>
    </r>
    <r>
      <rPr>
        <sz val="10"/>
        <color theme="1"/>
        <rFont val="Wingdings"/>
        <charset val="2"/>
      </rPr>
      <t>à</t>
    </r>
    <r>
      <rPr>
        <sz val="10"/>
        <color theme="1"/>
        <rFont val="Arial"/>
        <family val="2"/>
      </rPr>
      <t xml:space="preserve"> CIN1 [Other High-Risk HPV]</t>
    </r>
  </si>
  <si>
    <r>
      <t xml:space="preserve">CIN2,3 </t>
    </r>
    <r>
      <rPr>
        <sz val="10"/>
        <color theme="1"/>
        <rFont val="Wingdings"/>
        <charset val="2"/>
      </rPr>
      <t>à</t>
    </r>
    <r>
      <rPr>
        <sz val="10"/>
        <color theme="1"/>
        <rFont val="Arial"/>
        <family val="2"/>
      </rPr>
      <t xml:space="preserve"> CIN1 [HPV-16]</t>
    </r>
  </si>
  <si>
    <r>
      <t xml:space="preserve">CIN2,3 </t>
    </r>
    <r>
      <rPr>
        <sz val="10"/>
        <color theme="1"/>
        <rFont val="Wingdings"/>
        <charset val="2"/>
      </rPr>
      <t>à</t>
    </r>
    <r>
      <rPr>
        <sz val="10"/>
        <color theme="1"/>
        <rFont val="Arial"/>
        <family val="2"/>
      </rPr>
      <t xml:space="preserve"> CIN1 [HPV-18]</t>
    </r>
  </si>
  <si>
    <t>Immunity [Type-specific Stratum]</t>
  </si>
  <si>
    <t>Immune Degree [Other High-Risk HPV]</t>
  </si>
  <si>
    <t>0.0 – 1.0</t>
  </si>
  <si>
    <t>0.0-1.0</t>
  </si>
  <si>
    <t>Assigning these values to medium category.  Let's use low categories for HIV infected individuals.  The high as we decided was for vaccination</t>
  </si>
  <si>
    <t>Immune Degree [HPV-16]</t>
  </si>
  <si>
    <t>&gt; Immune Degree [Other High-Risk HPV]</t>
  </si>
  <si>
    <t>Immune Degree [HPV-18]</t>
  </si>
  <si>
    <t>Difference in Pre-Calibration and Post-Calibration Means</t>
  </si>
  <si>
    <t>Compared to Size of the Search Range</t>
  </si>
  <si>
    <t>%</t>
  </si>
  <si>
    <t>Type-specific Immunity</t>
  </si>
  <si>
    <t xml:space="preserve">      Other High-Risk</t>
  </si>
  <si>
    <t xml:space="preserve">      HPV-16</t>
  </si>
  <si>
    <t xml:space="preserve">      HPV-18</t>
  </si>
  <si>
    <t>HPV Infection</t>
  </si>
  <si>
    <t xml:space="preserve">      Low-Risk HPV</t>
  </si>
  <si>
    <t xml:space="preserve">      Other High-Risk HPV</t>
  </si>
  <si>
    <t>HPV to CIN1</t>
  </si>
  <si>
    <t xml:space="preserve">      Low-Risk</t>
  </si>
  <si>
    <t>CIN1 to CIN2,3</t>
  </si>
  <si>
    <t xml:space="preserve">      HPV-16 HPV</t>
  </si>
  <si>
    <t xml:space="preserve">      HPV-18 HPV</t>
  </si>
  <si>
    <t>CIN2,3 to Cancer</t>
  </si>
  <si>
    <t>CIN2,3 to CIN1</t>
  </si>
  <si>
    <t>CIN2,3 to HPV</t>
  </si>
  <si>
    <t xml:space="preserve">      HPV1-6</t>
  </si>
  <si>
    <t>CIN2,3 to Normal</t>
  </si>
  <si>
    <t>CIN1 to HPV</t>
  </si>
  <si>
    <t>CIN1 to Normal</t>
  </si>
  <si>
    <t>`</t>
  </si>
  <si>
    <t>HPV to Normal</t>
  </si>
  <si>
    <r>
      <t xml:space="preserve">Mbulawa ZZA, Coetzee D, Williamson A-L. Human papillomavirus prevalence in South African women and men according to age and human immunodeficiency virus status. </t>
    </r>
    <r>
      <rPr>
        <i/>
        <sz val="11"/>
        <color theme="1"/>
        <rFont val="Calibri"/>
        <family val="2"/>
        <scheme val="minor"/>
      </rPr>
      <t>BMC Infectious Diseases</t>
    </r>
    <r>
      <rPr>
        <sz val="11"/>
        <color theme="1"/>
        <rFont val="Calibri"/>
        <family val="2"/>
        <scheme val="minor"/>
      </rPr>
      <t>. 2015;15:459. doi:10.1186/s12879-015-1181-8.</t>
    </r>
  </si>
  <si>
    <t>All women</t>
  </si>
  <si>
    <t>HIV-positive women</t>
  </si>
  <si>
    <t>HIV-negative women</t>
  </si>
  <si>
    <r>
      <t>P</t>
    </r>
    <r>
      <rPr>
        <b/>
        <sz val="11"/>
        <color rgb="FF333333"/>
        <rFont val="Calibri"/>
        <family val="2"/>
        <scheme val="minor"/>
      </rPr>
      <t>-value</t>
    </r>
    <r>
      <rPr>
        <b/>
        <vertAlign val="superscript"/>
        <sz val="11"/>
        <color rgb="FF333333"/>
        <rFont val="Calibri"/>
        <family val="2"/>
        <scheme val="minor"/>
      </rPr>
      <t>a</t>
    </r>
  </si>
  <si>
    <t>High-risk (HR) HPV types included HPV−16, −18, −31, −33, −35, −39, −45, −51, −52, −56, −58 and −59; probably or possible HR-HPV types included HPV−26, −53, −66, −67, −68, −70, −73 and −82; and low-risk (LR) HPV types HPV-6, −11, −40, 42, −54, −55, −61, −62, −64, −69, −71, −72, −81, −83, −84, −89 (HPV-CP6108) and –IS39</t>
  </si>
  <si>
    <r>
      <t>N</t>
    </r>
    <r>
      <rPr>
        <b/>
        <sz val="11"/>
        <color rgb="FF333333"/>
        <rFont val="Calibri"/>
        <family val="2"/>
        <scheme val="minor"/>
      </rPr>
      <t> = 484</t>
    </r>
  </si>
  <si>
    <r>
      <t>N</t>
    </r>
    <r>
      <rPr>
        <b/>
        <sz val="11"/>
        <color rgb="FF333333"/>
        <rFont val="Calibri"/>
        <family val="2"/>
        <scheme val="minor"/>
      </rPr>
      <t> = 277</t>
    </r>
  </si>
  <si>
    <r>
      <t>N</t>
    </r>
    <r>
      <rPr>
        <b/>
        <sz val="11"/>
        <color rgb="FF333333"/>
        <rFont val="Calibri"/>
        <family val="2"/>
        <scheme val="minor"/>
      </rPr>
      <t> = 207</t>
    </r>
  </si>
  <si>
    <t>Any HPV</t>
  </si>
  <si>
    <t> All women</t>
  </si>
  <si>
    <t>58.1 % (281/484)</t>
  </si>
  <si>
    <t>74.0 % (205/277)</t>
  </si>
  <si>
    <t>36.7 % (76/207)</t>
  </si>
  <si>
    <t>&lt;0.0001</t>
  </si>
  <si>
    <r>
      <t>  </t>
    </r>
    <r>
      <rPr>
        <i/>
        <sz val="11"/>
        <color rgb="FF666666"/>
        <rFont val="Calibri"/>
        <family val="2"/>
        <scheme val="minor"/>
      </rPr>
      <t>18–25 years</t>
    </r>
  </si>
  <si>
    <t>74.1 % (63/85)</t>
  </si>
  <si>
    <t>86.4 % (38/44)</t>
  </si>
  <si>
    <t>61.0 % (25/41)</t>
  </si>
  <si>
    <r>
      <t>  </t>
    </r>
    <r>
      <rPr>
        <i/>
        <sz val="11"/>
        <color rgb="FF666666"/>
        <rFont val="Calibri"/>
        <family val="2"/>
        <scheme val="minor"/>
      </rPr>
      <t>26–35 years</t>
    </r>
  </si>
  <si>
    <t>59.0 % (111/188)</t>
  </si>
  <si>
    <t>68.2 % (88/129)</t>
  </si>
  <si>
    <t>39.0 % (23/59)</t>
  </si>
  <si>
    <r>
      <t>  </t>
    </r>
    <r>
      <rPr>
        <i/>
        <sz val="11"/>
        <color rgb="FF666666"/>
        <rFont val="Calibri"/>
        <family val="2"/>
        <scheme val="minor"/>
      </rPr>
      <t>36–45 years</t>
    </r>
  </si>
  <si>
    <t>50.0 % (67/134)</t>
  </si>
  <si>
    <t>73.2 % (52/71)</t>
  </si>
  <si>
    <t>23.8 % (15/63)</t>
  </si>
  <si>
    <r>
      <t>  </t>
    </r>
    <r>
      <rPr>
        <i/>
        <sz val="11"/>
        <color rgb="FF666666"/>
        <rFont val="Calibri"/>
        <family val="2"/>
        <scheme val="minor"/>
      </rPr>
      <t>46–66 years</t>
    </r>
  </si>
  <si>
    <t>51.9 % (40/77)</t>
  </si>
  <si>
    <t>81.8 % (27/33)</t>
  </si>
  <si>
    <t>29.5 % (13/44)</t>
  </si>
  <si>
    <t>Multiple HPV infections</t>
  </si>
  <si>
    <t>34.3 % (166/484)</t>
  </si>
  <si>
    <t>49.8 % (138/277)</t>
  </si>
  <si>
    <t>13.5 % (28/207)</t>
  </si>
  <si>
    <t>47.1 % (40/85)</t>
  </si>
  <si>
    <t>61.4 % (27/44)</t>
  </si>
  <si>
    <t>31.7 % (13/41)</t>
  </si>
  <si>
    <t>34.6 % (65/188)</t>
  </si>
  <si>
    <t>45.0 % (58/129)</t>
  </si>
  <si>
    <t>11.9 % (7/59)</t>
  </si>
  <si>
    <t>30.6 % (41/134)</t>
  </si>
  <si>
    <t>49.3 % (35/71)</t>
  </si>
  <si>
    <t>9.5 % (6/63)</t>
  </si>
  <si>
    <t>26.0 % (20/77)</t>
  </si>
  <si>
    <t>54.5 % (18/33)</t>
  </si>
  <si>
    <t>4.5 % (2/44)</t>
  </si>
  <si>
    <t>Single HPV infection</t>
  </si>
  <si>
    <t>23.8 % (115/484)</t>
  </si>
  <si>
    <t>24.2 % (67/277)</t>
  </si>
  <si>
    <t>23.2 % (48/207)</t>
  </si>
  <si>
    <t>27.1 % (23/85)</t>
  </si>
  <si>
    <t>25.0 % (11/44)</t>
  </si>
  <si>
    <t>29.3 % (12/41)</t>
  </si>
  <si>
    <t>24.5 % (46/188)</t>
  </si>
  <si>
    <t>23.3 % (30/129)</t>
  </si>
  <si>
    <t>27.1 % (16/59)</t>
  </si>
  <si>
    <t>19.4 % (26/134)</t>
  </si>
  <si>
    <t>23.9 % (17/71)</t>
  </si>
  <si>
    <t>14.3 % (9/63)</t>
  </si>
  <si>
    <t>27.3 % (9/33)</t>
  </si>
  <si>
    <t>HR-HPV</t>
  </si>
  <si>
    <t>39.5 % (191/484)</t>
  </si>
  <si>
    <t>52.0 % (144/277)</t>
  </si>
  <si>
    <t>22.7 % (47/207)</t>
  </si>
  <si>
    <t>54.1 % (46/85)</t>
  </si>
  <si>
    <t>72.7 % (32/44)</t>
  </si>
  <si>
    <t>34.1 % (14/41)</t>
  </si>
  <si>
    <t>37.2 % (70/188)</t>
  </si>
  <si>
    <t>40.3 % (52/129)</t>
  </si>
  <si>
    <t>30.5 % (18/59)</t>
  </si>
  <si>
    <t>  36–45 years</t>
  </si>
  <si>
    <t>41.8 % (56/134)</t>
  </si>
  <si>
    <t>64.8 % (46/71)</t>
  </si>
  <si>
    <t>15.9 % (10/63)</t>
  </si>
  <si>
    <t>24.7 % (19/77)</t>
  </si>
  <si>
    <t>42.4 % (14/33)</t>
  </si>
  <si>
    <t>11.4 % (5/44)</t>
  </si>
  <si>
    <t>Probable HR-HPV</t>
  </si>
  <si>
    <t>21.1 % (102/484)</t>
  </si>
  <si>
    <t>30.7 % (85/277)</t>
  </si>
  <si>
    <t>8.2 % (17/207)</t>
  </si>
  <si>
    <t>25.9 % (22/85)</t>
  </si>
  <si>
    <t>34.1 % (15/44)</t>
  </si>
  <si>
    <t>17.1 % (7/41)</t>
  </si>
  <si>
    <t>27.1 % (51/188)</t>
  </si>
  <si>
    <t>37.2 % (48/129)</t>
  </si>
  <si>
    <t>5.1 % (3/59)</t>
  </si>
  <si>
    <t>15.7 % (21/134)</t>
  </si>
  <si>
    <t>22.5 % (16/71)</t>
  </si>
  <si>
    <t>7.9 % (5/63)</t>
  </si>
  <si>
    <t>10.4 % (8/77)</t>
  </si>
  <si>
    <t>18.2 % (6/33)</t>
  </si>
  <si>
    <t>LR-HPV</t>
  </si>
  <si>
    <t>34.5 % (167/484)</t>
  </si>
  <si>
    <t>14.0 % (29/207)</t>
  </si>
  <si>
    <t>44.7 % (38/85)</t>
  </si>
  <si>
    <t>63.6 % (28/44)</t>
  </si>
  <si>
    <t>24.4 % (10/41)</t>
  </si>
  <si>
    <t>36.7 % (69/188)</t>
  </si>
  <si>
    <t>48.1 % (62/129)</t>
  </si>
  <si>
    <t>26.9 % (36/134)</t>
  </si>
  <si>
    <t>43.7 % (31/71)</t>
  </si>
  <si>
    <t>31.2 % (24/77)</t>
  </si>
  <si>
    <t>51.5 % (17/33)</t>
  </si>
  <si>
    <t>15.9 % (7/44)</t>
  </si>
  <si>
    <r>
      <t xml:space="preserve">Number of infection will not always add up because participants with multiple infection were sometimes counted more than once. </t>
    </r>
    <r>
      <rPr>
        <vertAlign val="superscript"/>
        <sz val="11"/>
        <color rgb="FF666666"/>
        <rFont val="Calibri"/>
        <family val="2"/>
        <scheme val="minor"/>
      </rPr>
      <t>a</t>
    </r>
    <r>
      <rPr>
        <sz val="11"/>
        <color rgb="FF666666"/>
        <rFont val="Calibri"/>
        <family val="2"/>
        <scheme val="minor"/>
      </rPr>
      <t>compares HIV-positive and HIV-negative women (chi-squared test)</t>
    </r>
  </si>
  <si>
    <t>Age-specific prevalence of cervical human papillomavirus infection and cytological abnormalities in women in Gauteng Province, South Africa   K Richter, 1 MB ChB, MMed Path (Med Virol), FC Path Med Virol (SA); P Becker, 2 PhD, MSc; A Horton, 3 N Dip (Med Tech); G Dreyer, 4 PhD, MCOG (SA), MMed (O&amp;G). Vol 103, No 5 (2013) The South African Medical Journal</t>
  </si>
  <si>
    <t xml:space="preserve">Age group </t>
  </si>
  <si>
    <t xml:space="preserve">N </t>
  </si>
  <si>
    <t xml:space="preserve">HPV+ </t>
  </si>
  <si>
    <t xml:space="preserve">hrHPV+ </t>
  </si>
  <si>
    <t xml:space="preserve">HPV 16+ </t>
  </si>
  <si>
    <t xml:space="preserve">HPV 18+ </t>
  </si>
  <si>
    <t xml:space="preserve">HPV 16/18+ </t>
  </si>
  <si>
    <t xml:space="preserve">HPV ‘top 8’ </t>
  </si>
  <si>
    <t>HPV genotypes were classified based on the results of Muñoz et al.,
which regarded 15 types as hrHPV (16, 18, 31, 33, 35, 39, 45, 51,
52, 56, 58, 59, 68, 73 and 82), among which 3 types (26, 53 and 66)
are recognised as probable hrHPV for cervical cancer.[14] The 8 most
common hrHPV types found in invasive cervical cancer (16, 18, 31,
33, 35, 45, 52, 58) as described by De Sanjose were classified as the
‘top 8’.[15]</t>
  </si>
  <si>
    <t>&lt;25</t>
  </si>
  <si>
    <t>85.0 (75.5 - 91.4)</t>
  </si>
  <si>
    <t>66.0 (57.6 - 74.4)</t>
  </si>
  <si>
    <t>17.0 (10.6 - 23.5)</t>
  </si>
  <si>
    <t>8.0 (3.4 - 12.6)</t>
  </si>
  <si>
    <t>24.0 (16.6 - 31.4)</t>
  </si>
  <si>
    <t>49.0 (40.3 - 57.7)</t>
  </si>
  <si>
    <t>25 - 29</t>
  </si>
  <si>
    <t>79.6 (73.1 - 85.1)</t>
  </si>
  <si>
    <t>62.9 (56.7 - 69.1)</t>
  </si>
  <si>
    <t>15.1 (10.5 - 19.6)</t>
  </si>
  <si>
    <t>9.7 (5.9 - 13.4)</t>
  </si>
  <si>
    <t>22.0 (16.8 - 27.3)</t>
  </si>
  <si>
    <t>52.2 (45.7 - 58.6)</t>
  </si>
  <si>
    <t>30 - 34</t>
  </si>
  <si>
    <t>79.4 (73.6 - 84.4)</t>
  </si>
  <si>
    <t>61.8 (56.5 - 67.1)</t>
  </si>
  <si>
    <t>18.0 (13.7 - 22.4)</t>
  </si>
  <si>
    <t>9.9 (6.5 - 13.2)</t>
  </si>
  <si>
    <t>24.5 (19.6 - 29.3)</t>
  </si>
  <si>
    <t>51.1 (45.5 - 56.6)</t>
  </si>
  <si>
    <t>35 - 39</t>
  </si>
  <si>
    <t>72.6 (66.1 - 78.4)</t>
  </si>
  <si>
    <t>59.5 (53.9 - 65.2)</t>
  </si>
  <si>
    <t>14.0 (9.9 - 18.1)</t>
  </si>
  <si>
    <t>8.4 (5.2 - 11.6)</t>
  </si>
  <si>
    <t>21.4 (16.6 - 26.2)</t>
  </si>
  <si>
    <t>50.7 (45.0 - 56.4)</t>
  </si>
  <si>
    <t>40 - 44</t>
  </si>
  <si>
    <t>77.2 (70.8 - 82.7)</t>
  </si>
  <si>
    <t>55.8 (49.9 - 61.8)</t>
  </si>
  <si>
    <t>14.1 (9.9 - 18.2)</t>
  </si>
  <si>
    <t>6.3 (3.4 - 9.2)</t>
  </si>
  <si>
    <t>18.5 (13.9 - 23.0)</t>
  </si>
  <si>
    <t>42.7 (36.8 - 48.6)</t>
  </si>
  <si>
    <t>45 - 49</t>
  </si>
  <si>
    <t>67.8 (60.4 - 74.5)</t>
  </si>
  <si>
    <t>44.4 (38.0 - 50.9)</t>
  </si>
  <si>
    <t>10.6 (6.6 - 14.5)</t>
  </si>
  <si>
    <t>6.7 (3.4 - 9.9)</t>
  </si>
  <si>
    <t>15.6 (10.9 - 20.2)</t>
  </si>
  <si>
    <t>34.4 (28.3 - 40.6)</t>
  </si>
  <si>
    <t>50 - 54</t>
  </si>
  <si>
    <t>64.4 (56.0 - 72.1)</t>
  </si>
  <si>
    <t>40.4 (33.4 - 47.5)</t>
  </si>
  <si>
    <t>10.3 (6.0 - 14.6)</t>
  </si>
  <si>
    <t>5.5 (2.3 - 8.6)</t>
  </si>
  <si>
    <t>13.7 (8.9 - 18.5)</t>
  </si>
  <si>
    <t>27.4 (21.0 - 33.8)</t>
  </si>
  <si>
    <t>≥55</t>
  </si>
  <si>
    <t>72.1 (64.9 - 78.5)</t>
  </si>
  <si>
    <t>41.9 (35.7 - 48.1)</t>
  </si>
  <si>
    <t>8.4 (4.8 - 12.0)</t>
  </si>
  <si>
    <t>15.6 (10.9 - 20.3)</t>
  </si>
  <si>
    <t>36.3 (30.3 - 42.4)</t>
  </si>
  <si>
    <t>Total</t>
  </si>
  <si>
    <t>1 445</t>
  </si>
  <si>
    <t>74.6 (69.5 - 79.1)</t>
  </si>
  <si>
    <t>54.3 (53.0 - 56.5)</t>
  </si>
  <si>
    <t>13.5 (12.0 - 15.0)</t>
  </si>
  <si>
    <t>8.0 (6.7 - 9.2)</t>
  </si>
  <si>
    <t>19.5 (17.7 - 21.3)</t>
  </si>
  <si>
    <t>43.5 (41.3 - 45.8)</t>
  </si>
  <si>
    <t>Zambia --   BMC Infectious Diseases 2007, 7:77 doi:10.1186/1471-2334-7-77</t>
  </si>
  <si>
    <t>HIV +</t>
  </si>
  <si>
    <t>HIV -</t>
  </si>
  <si>
    <t xml:space="preserve">High risk </t>
  </si>
  <si>
    <t>Low risk</t>
  </si>
  <si>
    <t>VV Sahasrabuddhe et al - 2007</t>
  </si>
  <si>
    <t>Human papilloma virus (HPV) types 6, 11, 16, 18, 31, 33, 45, 52, and 58</t>
  </si>
  <si>
    <t>human papilloma virus (HPV) types 6, 11, 16, 18, 31, 33, 45, 52, and 58</t>
  </si>
  <si>
    <t>HPV 16 and 18 together</t>
  </si>
  <si>
    <t>not covered</t>
  </si>
  <si>
    <t>http://www.who.int/bulletin/volumes/85/9/06-038414/en/</t>
  </si>
  <si>
    <t xml:space="preserve">In preliminary analyses, both vaccines have shown some evidence of cross-protection against HPV 31 and HPV 45, closely related HPV types to HPV 16 and 18, respectively. In the extended follow-up of the phase II trials of the bivalent vaccine, a significant reduction was found in incident infection with type 45 (1 case in 528 vaccinated women and 17 cases in 518 controls; vaccine efficiency (VE) = 94.2% [63.3, 99.9]) and type 31 (14 versus 30 cases, respectively; VE = 54.5% [11.5, 77.7])32 </t>
  </si>
  <si>
    <t>total</t>
  </si>
  <si>
    <t>6 an 11</t>
  </si>
  <si>
    <t>negligible</t>
  </si>
  <si>
    <t>Nanovalent vaccine</t>
  </si>
  <si>
    <t>16 &amp; 18</t>
  </si>
  <si>
    <t>High risk</t>
  </si>
  <si>
    <t>South Africa Estimates</t>
  </si>
  <si>
    <t xml:space="preserve"> </t>
  </si>
  <si>
    <t>Overall</t>
  </si>
  <si>
    <t>HIV not infected</t>
  </si>
  <si>
    <t>Other  hrHPV</t>
  </si>
  <si>
    <t>LrHPV</t>
  </si>
  <si>
    <t>Notes</t>
  </si>
  <si>
    <t>Assumed HPV 16 and 18 we twice lower than HIV infected individuals</t>
  </si>
  <si>
    <t>Rate seems very low of 40.3 which could be due to small size of study --replaced with Becker 2013 values</t>
  </si>
  <si>
    <t>McDonald 2014 South Africa</t>
  </si>
  <si>
    <t>Normal</t>
  </si>
  <si>
    <t>CIN1</t>
  </si>
  <si>
    <t>CIN2</t>
  </si>
  <si>
    <t>CIN 3</t>
  </si>
  <si>
    <t>Percent</t>
  </si>
  <si>
    <t>+</t>
  </si>
  <si>
    <t>-</t>
  </si>
  <si>
    <t>Types16/18</t>
  </si>
  <si>
    <t>Type16</t>
  </si>
  <si>
    <t>Type18</t>
  </si>
  <si>
    <t>Type31</t>
  </si>
  <si>
    <t>Type33</t>
  </si>
  <si>
    <t>Type35</t>
  </si>
  <si>
    <t>Type39</t>
  </si>
  <si>
    <t>Type45</t>
  </si>
  <si>
    <t>Type51</t>
  </si>
  <si>
    <t>Type52</t>
  </si>
  <si>
    <t>Type56</t>
  </si>
  <si>
    <t>Type58</t>
  </si>
  <si>
    <t>Type59</t>
  </si>
  <si>
    <t>Type68</t>
  </si>
  <si>
    <t>CIN 1 or CIN2/3 distribution among High risk infection types</t>
  </si>
  <si>
    <t>CIN 1</t>
  </si>
  <si>
    <t>CIN 2/3</t>
  </si>
  <si>
    <t>Age 17-29</t>
  </si>
  <si>
    <t>Type 16</t>
  </si>
  <si>
    <t>Type 18</t>
  </si>
  <si>
    <t>HR others</t>
  </si>
  <si>
    <t>Age 30-39</t>
  </si>
  <si>
    <t>Age 40-65</t>
  </si>
  <si>
    <t xml:space="preserve">Mbulawa ZZA, Coetzee D, Williamson A-L. Human papillomavirus prevalence in South African women and men according to age and human immunodeficiency virus status. BMC Infectious Diseases. 2015;15:459. doi:10.1186/s12879-015-1181-8.
</t>
  </si>
  <si>
    <t xml:space="preserve">Fig. 1 
Distribution of multiple HPV genotype infections in HIV-positive (a) and HIV-negative (b) women
</t>
  </si>
  <si>
    <t>US</t>
  </si>
  <si>
    <t xml:space="preserve">Invasive cervical cancer risk among HIV-infected women: a North American multicohort collaboration prospective study.  Abraham AG, D'Souza G, Jing Y, Gange SJ, Sterling TR, Silverberg MJ, Saag MS, Rourke SB, Rachlis A, Napravnik S, Moore RD, Klein MB, Kitahata MM, Kirk GD, Hogg RS, Hessol NA, Goedert JJ, Gill MJ, Gebo KA, Eron JJ, Engels EA, Dubrow R, Crane HM, Brooks JT, Bosch RJ, Strickler HD; North American AIDS Cohort Collaboration on Research and Design of IeDEA.  J Acquir Immune Defic Syndr. 2013 Apr 1;62(4):405-13. doi: 10.1097/QAI.0b013e31828177d7.
</t>
  </si>
  <si>
    <t xml:space="preserve">Zambia  -- </t>
  </si>
  <si>
    <t xml:space="preserve">Implementation and Operational Research: Age Distribution and Determinants of Invasive Cervical Cancer in a "Screen-and-Treat" Program Integrated With HIV/AIDS Care in Zambia.   Kapambwe S, Sahasrabuddhe VV, Blevins M, Mwanahamuntu MH, Mudenda V, Shepherd BE, Chibwesha CJ, Pfaendler KS, Hicks ML, Vermund SH, Stringer JS, Parham GP.  J Acquir Immune Defic Syndr. 2015 Sep 1;70(1):e20-6. doi: 10.1097/QAI.0000000000000685.
J Acquir Immune Defic Syndr. 2015 Sep 1;70(1):e20-6. doi: 10.1097/QAI.0000000000000685
Kapambwe S, Sahasrabuddhe VV, Blevins M, Mwanahamuntu MH, Mudenda V, Shepherd BE, Chibwesha CJ, Pfaendler KS, Hicks ML, Vermund SH, Stringer JS, Parham GP.
J Acquir Immune Defic Syndr. 2015 Sep 1;70(1):e20-6. doi: 10.1097/QAI.0000000000000685.
Implementation and Operational Research: Age Distribution and Determinants of Invasive Cervical Cancer in a "Screen-and-Treat" Program Integrated With HIV/AIDS Care in Zambia.
Kapambwe S, Sahasrabuddhe VV, Blevins M, Mwanahamuntu MH, Mudenda V, Shepherd BE, Chibwesha CJ, Pfaendler KS, Hicks ML, Vermund SH, Stringer JS, Parham GP.
J Acquir Immune Defic Syndr. 2015 Sep 1;70(1):e20-6. doi: 10.1097/QAI.0000000000000685.
</t>
  </si>
  <si>
    <t>Incidence</t>
  </si>
  <si>
    <t>0-14</t>
  </si>
  <si>
    <t>15-39</t>
  </si>
  <si>
    <t>40-44</t>
  </si>
  <si>
    <t>45-49</t>
  </si>
  <si>
    <t>50-54</t>
  </si>
  <si>
    <t>55-59</t>
  </si>
  <si>
    <t>60-64</t>
  </si>
  <si>
    <t>65-69</t>
  </si>
  <si>
    <t>70-74</t>
  </si>
  <si>
    <t>75+ </t>
  </si>
  <si>
    <t>Crude</t>
  </si>
  <si>
    <t>ASR(W)</t>
  </si>
  <si>
    <t>Cum. [0-74]</t>
  </si>
  <si>
    <t>  ICD-10</t>
  </si>
  <si>
    <t>Botswana</t>
  </si>
  <si>
    <t>Cervix uteri</t>
  </si>
  <si>
    <t>3.1   </t>
  </si>
  <si>
    <t>  C53</t>
  </si>
  <si>
    <t>Kenya</t>
  </si>
  <si>
    <t>4.4   </t>
  </si>
  <si>
    <t>South Africa</t>
  </si>
  <si>
    <t>Uganda</t>
  </si>
  <si>
    <t>4.7   </t>
  </si>
  <si>
    <t>Zambia</t>
  </si>
  <si>
    <t>5.7   </t>
  </si>
  <si>
    <t>Kepambwe</t>
  </si>
  <si>
    <t>Age Group</t>
  </si>
  <si>
    <t xml:space="preserve">Overall (HIV and non-HIV) </t>
  </si>
  <si>
    <t>HIV - Scenatio 1</t>
  </si>
  <si>
    <t>HIV - Scenario 2</t>
  </si>
  <si>
    <t>0-15</t>
  </si>
  <si>
    <t>15-29</t>
  </si>
  <si>
    <t>30-35</t>
  </si>
  <si>
    <t>35-39</t>
  </si>
  <si>
    <t>75+</t>
  </si>
  <si>
    <t>Incidence by age (number of cases)</t>
  </si>
  <si>
    <t>https://data.worldbank.org/indicator/SH.DYN.AIDS.FE.ZS</t>
  </si>
  <si>
    <t>Women's share of population ages 15+ living with HIV (%</t>
  </si>
  <si>
    <t>Prevalence of HIV, total (% of population ages 15-49)</t>
  </si>
  <si>
    <t>2015 estimates</t>
  </si>
  <si>
    <t>http://aidsinfo.unaids.org/</t>
  </si>
  <si>
    <t>Overall 15-49</t>
  </si>
  <si>
    <t>women's share</t>
  </si>
  <si>
    <t>women 15-49 (2016)</t>
  </si>
  <si>
    <t>26.3 [23.1 - 28.6]</t>
  </si>
  <si>
    <t>6.9 [6.0 - 7.8]</t>
  </si>
  <si>
    <t>23.8 [20.8 - 26.4]</t>
  </si>
  <si>
    <t>7.7 [7.2 - 8.3]</t>
  </si>
  <si>
    <t>14.5 [13.7 - 15.2]</t>
  </si>
  <si>
    <t xml:space="preserve">Kharsany ABM, Karim QA. HIV Infection and AIDS in Sub-Saharan Africa: Current Status, Challenges and Opportunities. The Open AIDS Journal. 2016;10:34-48. doi:10.2174/1874613601610010034.
Kharsany ABM, Karim QA. HIV Infection and AIDS in Sub-Saharan Africa: Current Status, Challenges and Opportunities. The Open AIDS Journal. 2016;10:34-48. doi:10.2174/1874613601610010034.
</t>
  </si>
  <si>
    <r>
      <t>HIV prevalence (%) among people 15-24 years old, by sex in selected sub-Saharan African countries in 2013. Adapted from [</t>
    </r>
    <r>
      <rPr>
        <sz val="12"/>
        <color rgb="FF2F4A8B"/>
        <rFont val="Arial"/>
        <family val="2"/>
      </rPr>
      <t>12</t>
    </r>
    <r>
      <rPr>
        <sz val="12"/>
        <color theme="1"/>
        <rFont val="Arial"/>
        <family val="2"/>
      </rPr>
      <t xml:space="preserve">, </t>
    </r>
    <r>
      <rPr>
        <sz val="12"/>
        <color rgb="FF2F4A8B"/>
        <rFont val="Arial"/>
        <family val="2"/>
      </rPr>
      <t>24</t>
    </r>
    <r>
      <rPr>
        <sz val="12"/>
        <color theme="1"/>
        <rFont val="Arial"/>
        <family val="2"/>
      </rPr>
      <t>].</t>
    </r>
  </si>
  <si>
    <t>Country</t>
  </si>
  <si>
    <t>HIV prevalence (%)</t>
  </si>
  <si>
    <t>Fold difference</t>
  </si>
  <si>
    <t>Females</t>
  </si>
  <si>
    <t>Males</t>
  </si>
  <si>
    <t>Swaziland</t>
  </si>
  <si>
    <t>Lesotho</t>
  </si>
  <si>
    <t>Please use these HIV prevalence rates for women in the older age groups:</t>
  </si>
  <si>
    <t>Zimbabwe</t>
  </si>
  <si>
    <t>Mozambique</t>
  </si>
  <si>
    <t>50-54 - 10</t>
  </si>
  <si>
    <t>55-59 - 6</t>
  </si>
  <si>
    <t>60-64 - 4</t>
  </si>
  <si>
    <t>65-69  - 4</t>
  </si>
  <si>
    <t>Malawi</t>
  </si>
  <si>
    <t>Thanks</t>
  </si>
  <si>
    <t>Tanzania</t>
  </si>
  <si>
    <t>Central African Republic</t>
  </si>
  <si>
    <t>Sujha</t>
  </si>
  <si>
    <t>Congo</t>
  </si>
  <si>
    <r>
      <t>From:</t>
    </r>
    <r>
      <rPr>
        <sz val="11"/>
        <color theme="1"/>
        <rFont val="Calibri"/>
        <family val="2"/>
        <scheme val="minor"/>
      </rPr>
      <t xml:space="preserve"> Subramanian, Sujha</t>
    </r>
  </si>
  <si>
    <t>Rwanda</t>
  </si>
  <si>
    <r>
      <t>Sent:</t>
    </r>
    <r>
      <rPr>
        <sz val="11"/>
        <color theme="1"/>
        <rFont val="Calibri"/>
        <family val="2"/>
        <scheme val="minor"/>
      </rPr>
      <t xml:space="preserve"> Thursday, October 26, 2017 3:05 PM</t>
    </r>
  </si>
  <si>
    <t>To: Jones, Kasey &lt;krjones@rti.org&gt;</t>
  </si>
  <si>
    <r>
      <t>Subject:</t>
    </r>
    <r>
      <rPr>
        <sz val="11"/>
        <color theme="1"/>
        <rFont val="Calibri"/>
        <family val="2"/>
        <scheme val="minor"/>
      </rPr>
      <t xml:space="preserve"> RE: Parameters overview October 25 2017.xlsx</t>
    </r>
  </si>
  <si>
    <t>Kasey:</t>
  </si>
  <si>
    <t>Here is what I found for 2007.  Please use last column which is for the overall population of women.  Maybe you want to use this for calibration as well since it has more details by age group.   Thanks</t>
  </si>
  <si>
    <t>Nanovalent</t>
  </si>
  <si>
    <r>
      <t>High-risk (HR) HPV types included HPV−</t>
    </r>
    <r>
      <rPr>
        <sz val="11"/>
        <color rgb="FFFF0000"/>
        <rFont val="Calibri"/>
        <family val="2"/>
        <scheme val="minor"/>
      </rPr>
      <t>16, −18, −31, −33</t>
    </r>
    <r>
      <rPr>
        <sz val="11"/>
        <color theme="1"/>
        <rFont val="Calibri"/>
        <family val="2"/>
        <scheme val="minor"/>
      </rPr>
      <t>, −35, −39, −</t>
    </r>
    <r>
      <rPr>
        <sz val="11"/>
        <color rgb="FFFF0000"/>
        <rFont val="Calibri"/>
        <family val="2"/>
        <scheme val="minor"/>
      </rPr>
      <t>45</t>
    </r>
    <r>
      <rPr>
        <sz val="11"/>
        <color theme="1"/>
        <rFont val="Calibri"/>
        <family val="2"/>
        <scheme val="minor"/>
      </rPr>
      <t xml:space="preserve">, −51, </t>
    </r>
    <r>
      <rPr>
        <sz val="11"/>
        <color rgb="FFFF0000"/>
        <rFont val="Calibri"/>
        <family val="2"/>
        <scheme val="minor"/>
      </rPr>
      <t>−52,</t>
    </r>
    <r>
      <rPr>
        <sz val="11"/>
        <color theme="1"/>
        <rFont val="Calibri"/>
        <family val="2"/>
        <scheme val="minor"/>
      </rPr>
      <t xml:space="preserve"> −56, −</t>
    </r>
    <r>
      <rPr>
        <sz val="11"/>
        <color rgb="FFFF0000"/>
        <rFont val="Calibri"/>
        <family val="2"/>
        <scheme val="minor"/>
      </rPr>
      <t>58</t>
    </r>
    <r>
      <rPr>
        <sz val="11"/>
        <color theme="1"/>
        <rFont val="Calibri"/>
        <family val="2"/>
        <scheme val="minor"/>
      </rPr>
      <t xml:space="preserve"> and −59; probably or possible HR-HPV types included HPV−26, −53, −66, −67, −68, −70, −73 and −82; and low-risk (LR) HPV types HPV</t>
    </r>
    <r>
      <rPr>
        <sz val="11"/>
        <color rgb="FFFF0000"/>
        <rFont val="Calibri"/>
        <family val="2"/>
        <scheme val="minor"/>
      </rPr>
      <t>-6, −11</t>
    </r>
    <r>
      <rPr>
        <sz val="11"/>
        <color theme="1"/>
        <rFont val="Calibri"/>
        <family val="2"/>
        <scheme val="minor"/>
      </rPr>
      <t>, −40, 42, −54, −55, −61, −62, −64, −69, −71, −72, −81, −83, −84, −89 (HPV-CP6108) and –IS39</t>
    </r>
  </si>
  <si>
    <r>
      <t>HPV genotypes were classified based on the results of Muñoz et al.,
which regarded 15 types as hrHPV (16, 18, 31, 33, 35, 39, 45, 51,
52, 56, 5</t>
    </r>
    <r>
      <rPr>
        <sz val="11"/>
        <color rgb="FFFF0000"/>
        <rFont val="Calibri"/>
        <family val="2"/>
        <scheme val="minor"/>
      </rPr>
      <t>8</t>
    </r>
    <r>
      <rPr>
        <sz val="11"/>
        <color theme="1"/>
        <rFont val="Calibri"/>
        <family val="2"/>
        <scheme val="minor"/>
      </rPr>
      <t>, 59, 68, 73 and 82), among which 3 types (26, 53 and 66)
are recognised as probable hrHPV for cervical cancer.[14] The 8 most
common hrHPV types found in invasive cervical cancer (</t>
    </r>
    <r>
      <rPr>
        <sz val="11"/>
        <color rgb="FFFF0000"/>
        <rFont val="Calibri"/>
        <family val="2"/>
        <scheme val="minor"/>
      </rPr>
      <t>16, 18, 31,</t>
    </r>
    <r>
      <rPr>
        <sz val="11"/>
        <color theme="1"/>
        <rFont val="Calibri"/>
        <family val="2"/>
        <scheme val="minor"/>
      </rPr>
      <t xml:space="preserve">
</t>
    </r>
    <r>
      <rPr>
        <sz val="11"/>
        <color rgb="FFFF0000"/>
        <rFont val="Calibri"/>
        <family val="2"/>
        <scheme val="minor"/>
      </rPr>
      <t>33</t>
    </r>
    <r>
      <rPr>
        <sz val="11"/>
        <color theme="1"/>
        <rFont val="Calibri"/>
        <family val="2"/>
        <scheme val="minor"/>
      </rPr>
      <t xml:space="preserve">, 35, </t>
    </r>
    <r>
      <rPr>
        <sz val="11"/>
        <color rgb="FFFF0000"/>
        <rFont val="Calibri"/>
        <family val="2"/>
        <scheme val="minor"/>
      </rPr>
      <t>45, 52, 58</t>
    </r>
    <r>
      <rPr>
        <sz val="11"/>
        <color theme="1"/>
        <rFont val="Calibri"/>
        <family val="2"/>
        <scheme val="minor"/>
      </rPr>
      <t>) as described by De Sanjose were classified as the
‘top 8’.[15]</t>
    </r>
  </si>
  <si>
    <t>Given the current cost of the HPV vaccine and the
public health impact of preventing cervical cancer, WHO recommends that low-income countries
prioritize the vaccination of girls aged 9-14 years.</t>
  </si>
  <si>
    <t>The revision in WHO’s recommendation from a three-dose to a two-dose
schedule offers the potential for increased coverage of HPV vaccine as countries reduce vaccine
and delivery costs. In addition, the recommendation that doses could be given up to 15 months
apart offers new opportunities for vaccine delivery – including, a single, yearly vaccination round
in which target girls can get their first or second dose.</t>
  </si>
  <si>
    <t>Cervical intraepithelial neoplasia (CIN) is a  premalignant lesion that may exist at any one of three stages: CIN1, CIN2, or CIN3.2 If left untreated, CIN2 or CIN3 (collectively referred to as CIN2+) can progress to cervical cancer.   It is estimated that approximately 1–2% of  women have CIN2+ each year. This rate is reported to be higher in women of HIV-positive  status, at 10% (1–5).    http://apps.who.int/iris/bitstream/10665/94830/1/9789241548694_eng.pdf?ua=1</t>
  </si>
  <si>
    <t>main group for screening is 30 to 49</t>
  </si>
  <si>
    <t>http://apps.who.int/iris/bitstream/10665/144785/1/9789241548953_eng.pdf?ua=1</t>
  </si>
  <si>
    <t xml:space="preserve"> Cervical cancer screening should not start before 30 years of age. Screening women
between the ages of 30 and 49 years, even just once, will reduce deaths from
cervical cancer. Cervical cancer screening is recommended for every woman in this
target age group, but this may be extended to younger ages if there is evidence of a
high risk for CIN2+.</t>
  </si>
  <si>
    <t>HIV negative - 3 to 5 years; HPV negative can be every 5 years</t>
  </si>
  <si>
    <t>HIV postive - every 3 years</t>
  </si>
  <si>
    <t xml:space="preserve"> 5.6.2 Follow-up after treatment
A follow-up visit including cervical cancer screening is recommended 12 months
after treatment to evaluate the woman post-treatment and detect recurrence. If
this follow-up rescreen is negative, the woman can be referred back to the routine
screening programme.
An exception is if the patient has a histopathological result at the time of treatment
that indicates CIN3 or adenocarcinoma in situ (AIS) based on a specimen from
LEEP or CKC. In this case, rescreening is recommended every year for three years.
If these rescreens are negative, she is then referred back to the routine screening
programme.
If the patient treated for pre-cancer has a positive screen on her follow-up visit
(indicating persistence or recurrence of cervical pre-cancer), retreatment is needed.</t>
  </si>
  <si>
    <t>Sensitivity</t>
  </si>
  <si>
    <t>Specificity</t>
  </si>
  <si>
    <t>VIA</t>
  </si>
  <si>
    <t>(67–79%)</t>
  </si>
  <si>
    <t>(49–86%)</t>
  </si>
  <si>
    <t>Need VIA by CIN1 CIN2, CIN3 and Cancer</t>
  </si>
  <si>
    <t>A. Cancer screening – specifically VIA (Visual Inspection)</t>
  </si>
  <si>
    <t>HIV positive - every 3 years</t>
  </si>
  <si>
    <t>Age of screening: 30-49 years  (we may look at different start age and end age in our analysis)</t>
  </si>
  <si>
    <t>Please note that CIN 1 and CIN2/CIN3 will be treated  under VIA as they can’t distinguish between them</t>
  </si>
  <si>
    <t>Here is the sensitivity and specificity for VIA to identify lesions (NOTE:  I am hoping to get sensitivity/specificity for CIN, CIN2/3 and cancers separately)</t>
  </si>
  <si>
    <t>B. HPV vaccination</t>
  </si>
  <si>
    <t>Targeting vaccination of girls aged 9-14 years.</t>
  </si>
  <si>
    <t>Mortality rate</t>
  </si>
  <si>
    <t>Base Case</t>
  </si>
  <si>
    <t>Low</t>
  </si>
  <si>
    <t>High</t>
  </si>
  <si>
    <t xml:space="preserve">Local </t>
  </si>
  <si>
    <t xml:space="preserve">Regional </t>
  </si>
  <si>
    <t>Compos/ACS for low and high</t>
  </si>
  <si>
    <t>Distant</t>
  </si>
  <si>
    <t xml:space="preserve">Source:  </t>
  </si>
  <si>
    <t>Parham et al. 2010</t>
  </si>
  <si>
    <r>
      <t xml:space="preserve">Parham GP, Mwanahamuntu MH, Sahasrabuddhe VV, et al. Implementation of cervical cancer prevention services for HIV-infected women in Zambia: measuring program effectiveness. </t>
    </r>
    <r>
      <rPr>
        <i/>
        <sz val="11"/>
        <color theme="1"/>
        <rFont val="Calibri"/>
        <family val="2"/>
        <scheme val="minor"/>
      </rPr>
      <t>HIV therapy</t>
    </r>
    <r>
      <rPr>
        <sz val="11"/>
        <color theme="1"/>
        <rFont val="Calibri"/>
        <family val="2"/>
        <scheme val="minor"/>
      </rPr>
      <t>. 2010;4(6):703-722. doi:10.2217/hiv.10.52.</t>
    </r>
  </si>
  <si>
    <t>Base</t>
  </si>
  <si>
    <t>Source</t>
  </si>
  <si>
    <t>Gavi price: $4:50-4:60</t>
  </si>
  <si>
    <t>HPV Vaccine (2 doses)</t>
  </si>
  <si>
    <t>http://apps.who.int/iris/bitstream/10665/251909/1/9789241511544-eng.pdf</t>
  </si>
  <si>
    <t>C4P</t>
  </si>
  <si>
    <t>HPV DNA</t>
  </si>
  <si>
    <t>Zimmerman 2017</t>
  </si>
  <si>
    <t>Cold Cogulation (same visit)</t>
  </si>
  <si>
    <t>LEEP (with Diagnostic Path)</t>
  </si>
  <si>
    <t>Campos/ACS</t>
  </si>
  <si>
    <t>Surgery (radical hysterectomy)</t>
  </si>
  <si>
    <t>Chemotherapy</t>
  </si>
  <si>
    <t>Radiotherapy</t>
  </si>
  <si>
    <t>Palliative Care</t>
  </si>
  <si>
    <t>Localized Stage treatment</t>
  </si>
  <si>
    <t>Regional Stage treatment</t>
  </si>
  <si>
    <t>Distant Stage treatment</t>
  </si>
  <si>
    <t>ART (annual)</t>
  </si>
  <si>
    <t>Tagar 2014 (Clinton Foundation)</t>
  </si>
  <si>
    <t>Intervention program (annual)</t>
  </si>
  <si>
    <t>Miyano 2017</t>
  </si>
  <si>
    <t>Eaton 2014</t>
  </si>
  <si>
    <t>HIV reduction. We expect a reduction in HIV to increase the number of women who clear HPV. Instead of modeling HIV reduction strategies explicitly, we thought it would be better to simply reduce the HIV acquisition probabilities. For example, we could set up a run where the probability of acquiring HIV is lowered by 10% for women aged 15-24 and by 15% for women aged 25-34. Then we could compare that to a baseline run to see how that degree of HIV reduction impacts the results.</t>
  </si>
  <si>
    <t>Vaccination. We expect vaccination to reduce the probability of HPV acquisition. Our idea was to model this as another statechart with states Unvaccinated and Vaccinated (and you can only transition from U to V; you can't go the other direction). Then we can set up age-based vaccination strategies as a sort of "vaccination incidence rate".</t>
  </si>
  <si>
    <t>Screening/treatment. We didn't actually have time to get to this one, so more discussion is necessary.</t>
  </si>
  <si>
    <t>Here are the interventions that I am thinking about from the ‘Campaigns’ file in EMOD (we do not need to reprogram anything)</t>
  </si>
  <si>
    <t>1. HIV prevention efforts  -- reduction in risk using specific interventions (maybe just altering say number of partners or unprotected sex) from the ‘Campaigns’ provided in the HIV model  (we are now just modeling % reduction by age group without the HIV model)</t>
  </si>
  <si>
    <t>2. Vaccine – various levels of coverage  (already programmed in the model)</t>
  </si>
  <si>
    <t>3. Treatment – reaching 90% target  (we can also model this without the HIV model – assume everyone has treatment)</t>
  </si>
  <si>
    <t>Looks like EMOD has cost so we can generate cost and include with the cost estimates for each intervention from the cervical cancer model.</t>
  </si>
  <si>
    <t>DNA test</t>
  </si>
  <si>
    <t>sensitivity</t>
  </si>
  <si>
    <t>specificity</t>
  </si>
  <si>
    <t>cost</t>
  </si>
  <si>
    <t>J Low Genit Tract Dis. Author manuscript; available in PMC 2017 July 01.</t>
  </si>
  <si>
    <t>Chibwesha</t>
  </si>
  <si>
    <t>VIA test</t>
  </si>
  <si>
    <t xml:space="preserve">  </t>
  </si>
  <si>
    <t>Others, Campos 2018</t>
  </si>
  <si>
    <t>Chibwesha 2017</t>
  </si>
  <si>
    <t>HPV16</t>
  </si>
  <si>
    <t>HPV18</t>
  </si>
  <si>
    <t>HPV Low risk: HPV-6, −11, −40, 42, −54, −55, −61, −62, −64, −69, −71, −72, −81, −83, −84, −89 (HPV-CP6108) and –IS39</t>
  </si>
  <si>
    <t>HPV high risk: HPV−31, −33, −35, −39, −45, −51, −52, −56, −58, −59,−26, −53, −66, −67, −68, −70, −73 and −82</t>
  </si>
  <si>
    <t>Bateman 2015</t>
  </si>
  <si>
    <t>Note:</t>
  </si>
  <si>
    <t>Study by Suhharabunde 2007 showed that HPV 16 and 18 not most common in Zambia, simialr to South Africa</t>
  </si>
  <si>
    <t>Denny et al 2013 showed that overall across Africa HPV16 and 18 are responsible for ICC - 65%-75% of the cases</t>
  </si>
  <si>
    <t>Adjusted rates because of low CIN2 comapred to CIN3</t>
  </si>
  <si>
    <t>HPV 16</t>
  </si>
  <si>
    <t>HPV 18</t>
  </si>
  <si>
    <t>CIN2/3</t>
  </si>
  <si>
    <t>HIV-</t>
  </si>
  <si>
    <t>HIV+</t>
  </si>
  <si>
    <t>CIN3</t>
  </si>
  <si>
    <t>average</t>
  </si>
  <si>
    <t>From study</t>
  </si>
  <si>
    <t>Average</t>
  </si>
  <si>
    <t>Adjustment based on Bateman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</si>
</sst>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0.0%"/>
  </numFmts>
  <fonts count="43" x14ac:knownFonts="1">
    <font>
      <sz val="11"/>
      <color theme="1"/>
      <name val="Calibri"/>
      <family val="2"/>
      <scheme val="minor"/>
    </font>
    <font>
      <sz val="11"/>
      <color rgb="FFFF0000"/>
      <name val="Calibri"/>
      <family val="2"/>
      <scheme val="minor"/>
    </font>
    <font>
      <b/>
      <sz val="10"/>
      <color theme="1"/>
      <name val="Arial"/>
      <family val="2"/>
    </font>
    <font>
      <sz val="10"/>
      <color theme="1"/>
      <name val="Arial"/>
      <family val="2"/>
    </font>
    <font>
      <sz val="10"/>
      <color theme="1"/>
      <name val="Wingdings"/>
      <charset val="2"/>
    </font>
    <font>
      <sz val="9"/>
      <color theme="1"/>
      <name val="Arial"/>
      <family val="2"/>
    </font>
    <font>
      <b/>
      <sz val="9"/>
      <color theme="1"/>
      <name val="Arial"/>
      <family val="2"/>
    </font>
    <font>
      <sz val="11"/>
      <color rgb="FF000000"/>
      <name val="Times New Roman"/>
      <family val="1"/>
    </font>
    <font>
      <i/>
      <sz val="11"/>
      <color theme="1"/>
      <name val="Calibri"/>
      <family val="2"/>
      <scheme val="minor"/>
    </font>
    <font>
      <sz val="9"/>
      <color rgb="FFFFFFFF"/>
      <name val="Arial"/>
      <family val="2"/>
    </font>
    <font>
      <b/>
      <sz val="9"/>
      <color rgb="FFFFFFFF"/>
      <name val="Arial"/>
      <family val="2"/>
    </font>
    <font>
      <i/>
      <sz val="9"/>
      <color rgb="FFFFFFFF"/>
      <name val="Arial"/>
      <family val="2"/>
    </font>
    <font>
      <sz val="9"/>
      <color rgb="FF605C5C"/>
      <name val="Verdana"/>
      <family val="2"/>
    </font>
    <font>
      <b/>
      <sz val="9"/>
      <color rgb="FF605C5C"/>
      <name val="Verdana"/>
      <family val="2"/>
    </font>
    <font>
      <i/>
      <sz val="9"/>
      <color rgb="FF605C5C"/>
      <name val="Verdana"/>
      <family val="2"/>
    </font>
    <font>
      <b/>
      <sz val="11"/>
      <color rgb="FF333333"/>
      <name val="Calibri"/>
      <family val="2"/>
      <scheme val="minor"/>
    </font>
    <font>
      <b/>
      <i/>
      <sz val="11"/>
      <color rgb="FF333333"/>
      <name val="Calibri"/>
      <family val="2"/>
      <scheme val="minor"/>
    </font>
    <font>
      <b/>
      <vertAlign val="superscript"/>
      <sz val="11"/>
      <color rgb="FF333333"/>
      <name val="Calibri"/>
      <family val="2"/>
      <scheme val="minor"/>
    </font>
    <font>
      <sz val="11"/>
      <color rgb="FF666666"/>
      <name val="Calibri"/>
      <family val="2"/>
      <scheme val="minor"/>
    </font>
    <font>
      <b/>
      <sz val="11"/>
      <color rgb="FF666666"/>
      <name val="Calibri"/>
      <family val="2"/>
      <scheme val="minor"/>
    </font>
    <font>
      <i/>
      <sz val="11"/>
      <color rgb="FF666666"/>
      <name val="Calibri"/>
      <family val="2"/>
      <scheme val="minor"/>
    </font>
    <font>
      <vertAlign val="superscript"/>
      <sz val="11"/>
      <color rgb="FF666666"/>
      <name val="Calibri"/>
      <family val="2"/>
      <scheme val="minor"/>
    </font>
    <font>
      <sz val="13.5"/>
      <color rgb="FF000000"/>
      <name val="Verdana"/>
      <family val="2"/>
    </font>
    <font>
      <b/>
      <sz val="11"/>
      <color theme="1"/>
      <name val="Arial"/>
      <family val="2"/>
    </font>
    <font>
      <sz val="11"/>
      <color theme="1"/>
      <name val="Arial"/>
      <family val="2"/>
    </font>
    <font>
      <sz val="12"/>
      <color theme="1"/>
      <name val="Arial"/>
      <family val="2"/>
    </font>
    <font>
      <sz val="12"/>
      <color rgb="FF2F4A8B"/>
      <name val="Arial"/>
      <family val="2"/>
    </font>
    <font>
      <sz val="12"/>
      <color rgb="FF333333"/>
      <name val="Calibri"/>
      <family val="2"/>
      <scheme val="minor"/>
    </font>
    <font>
      <sz val="12"/>
      <color theme="1"/>
      <name val="Calibri"/>
      <family val="2"/>
      <scheme val="minor"/>
    </font>
    <font>
      <b/>
      <sz val="14"/>
      <color theme="1"/>
      <name val="Calibri"/>
      <family val="2"/>
      <scheme val="minor"/>
    </font>
    <font>
      <sz val="13.5"/>
      <color rgb="FFFF0000"/>
      <name val="Verdana"/>
      <family val="2"/>
    </font>
    <font>
      <sz val="13.5"/>
      <color theme="1"/>
      <name val="Verdana"/>
      <family val="2"/>
    </font>
    <font>
      <sz val="13.5"/>
      <name val="Verdana"/>
      <family val="2"/>
    </font>
    <font>
      <b/>
      <sz val="11"/>
      <color rgb="FFFF0000"/>
      <name val="Calibri"/>
      <family val="2"/>
      <scheme val="minor"/>
    </font>
    <font>
      <sz val="9"/>
      <color rgb="FFFF0000"/>
      <name val="Arial"/>
      <family val="2"/>
    </font>
    <font>
      <sz val="11"/>
      <color theme="1"/>
      <name val="Calibri"/>
      <family val="2"/>
      <scheme val="minor"/>
    </font>
    <font>
      <sz val="11"/>
      <color rgb="FF000000"/>
      <name val="Calibri"/>
      <family val="2"/>
      <scheme val="minor"/>
    </font>
    <font>
      <u/>
      <sz val="11"/>
      <color theme="10"/>
      <name val="Calibri"/>
      <family val="2"/>
      <scheme val="minor"/>
    </font>
    <font>
      <sz val="10"/>
      <color theme="1"/>
      <name val="Times New Roman"/>
      <family val="1"/>
    </font>
    <font>
      <sz val="11"/>
      <color rgb="FF000000"/>
      <name val="Calibri"/>
      <family val="2"/>
    </font>
    <font>
      <b/>
      <sz val="11"/>
      <color theme="1"/>
      <name val="Calibri"/>
      <family val="2"/>
      <scheme val="minor"/>
    </font>
    <font>
      <sz val="14"/>
      <color theme="1"/>
      <name val="Calibri"/>
      <family val="2"/>
      <scheme val="minor"/>
    </font>
    <font>
      <sz val="14"/>
      <color rgb="FFFF0000"/>
      <name val="Calibri"/>
      <family val="2"/>
      <scheme val="minor"/>
    </font>
  </fonts>
  <fills count="8">
    <fill>
      <patternFill patternType="none"/>
    </fill>
    <fill>
      <patternFill patternType="gray125"/>
    </fill>
    <fill>
      <patternFill patternType="solid">
        <fgColor rgb="FF84AED2"/>
        <bgColor indexed="64"/>
      </patternFill>
    </fill>
    <fill>
      <patternFill patternType="solid">
        <fgColor rgb="FFFFFFFF"/>
        <bgColor indexed="64"/>
      </patternFill>
    </fill>
    <fill>
      <patternFill patternType="solid">
        <fgColor rgb="FFEDEDED"/>
        <bgColor indexed="64"/>
      </patternFill>
    </fill>
    <fill>
      <patternFill patternType="solid">
        <fgColor rgb="FFF0F0F0"/>
        <bgColor indexed="64"/>
      </patternFill>
    </fill>
    <fill>
      <patternFill patternType="solid">
        <fgColor rgb="FFFFFF00"/>
        <bgColor indexed="64"/>
      </patternFill>
    </fill>
    <fill>
      <patternFill patternType="solid">
        <fgColor theme="0" tint="-0.14999847407452621"/>
        <bgColor indexed="64"/>
      </patternFill>
    </fill>
  </fills>
  <borders count="25">
    <border>
      <left/>
      <right/>
      <top/>
      <bottom/>
      <diagonal/>
    </border>
    <border>
      <left/>
      <right/>
      <top style="thick">
        <color indexed="64"/>
      </top>
      <bottom style="thick">
        <color indexed="64"/>
      </bottom>
      <diagonal/>
    </border>
    <border>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style="thick">
        <color indexed="64"/>
      </left>
      <right/>
      <top style="thick">
        <color indexed="64"/>
      </top>
      <bottom/>
      <diagonal/>
    </border>
    <border>
      <left/>
      <right/>
      <top/>
      <bottom style="thin">
        <color indexed="64"/>
      </bottom>
      <diagonal/>
    </border>
    <border>
      <left/>
      <right/>
      <top style="thin">
        <color indexed="64"/>
      </top>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DCDCDC"/>
      </left>
      <right style="medium">
        <color rgb="FFDCDCDC"/>
      </right>
      <top style="medium">
        <color rgb="FFDCDCDC"/>
      </top>
      <bottom style="medium">
        <color rgb="FFDCDCDC"/>
      </bottom>
      <diagonal/>
    </border>
    <border>
      <left style="medium">
        <color rgb="FFDCDCDC"/>
      </left>
      <right style="medium">
        <color rgb="FFDCDCDC"/>
      </right>
      <top style="medium">
        <color rgb="FFDCDCDC"/>
      </top>
      <bottom/>
      <diagonal/>
    </border>
    <border>
      <left style="medium">
        <color rgb="FFDCDCDC"/>
      </left>
      <right style="medium">
        <color rgb="FFDCDCDC"/>
      </right>
      <top/>
      <bottom style="medium">
        <color rgb="FFDCDCDC"/>
      </bottom>
      <diagonal/>
    </border>
    <border>
      <left style="medium">
        <color rgb="FFDCDCDC"/>
      </left>
      <right/>
      <top style="medium">
        <color rgb="FFDCDCDC"/>
      </top>
      <bottom style="medium">
        <color rgb="FFDCDCDC"/>
      </bottom>
      <diagonal/>
    </border>
    <border>
      <left/>
      <right/>
      <top style="medium">
        <color rgb="FFDCDCDC"/>
      </top>
      <bottom style="medium">
        <color rgb="FFDCDCDC"/>
      </bottom>
      <diagonal/>
    </border>
    <border>
      <left/>
      <right style="medium">
        <color rgb="FFDCDCDC"/>
      </right>
      <top style="medium">
        <color rgb="FFDCDCDC"/>
      </top>
      <bottom style="medium">
        <color rgb="FFDCDCDC"/>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7" fillId="0" borderId="0" applyNumberFormat="0" applyFill="0" applyBorder="0" applyAlignment="0" applyProtection="0"/>
    <xf numFmtId="9" fontId="35" fillId="0" borderId="0" applyFont="0" applyFill="0" applyBorder="0" applyAlignment="0" applyProtection="0"/>
  </cellStyleXfs>
  <cellXfs count="137">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5" fillId="0" borderId="3" xfId="0" applyFont="1" applyBorder="1" applyAlignment="1">
      <alignment horizontal="justify" vertical="center" wrapText="1"/>
    </xf>
    <xf numFmtId="0" fontId="5" fillId="0" borderId="0" xfId="0" applyFont="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5" fillId="0" borderId="2"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2" xfId="0" applyFont="1" applyBorder="1" applyAlignment="1">
      <alignment horizontal="center" vertical="center" wrapText="1"/>
    </xf>
    <xf numFmtId="0" fontId="6" fillId="0" borderId="0" xfId="0" applyFont="1" applyAlignment="1">
      <alignment horizontal="justify" vertical="center" wrapText="1"/>
    </xf>
    <xf numFmtId="0" fontId="6"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right"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right" vertical="center" wrapText="1"/>
    </xf>
    <xf numFmtId="0" fontId="7" fillId="0" borderId="0" xfId="0" applyFont="1" applyAlignment="1">
      <alignment horizontal="left" vertical="center" indent="5"/>
    </xf>
    <xf numFmtId="0" fontId="5" fillId="0" borderId="5" xfId="0" applyFont="1" applyBorder="1" applyAlignment="1">
      <alignment horizontal="center" vertical="center" wrapText="1"/>
    </xf>
    <xf numFmtId="0" fontId="3" fillId="0" borderId="0" xfId="0" applyFont="1" applyAlignment="1">
      <alignment vertical="center"/>
    </xf>
    <xf numFmtId="0" fontId="5" fillId="0" borderId="0" xfId="0" applyFont="1" applyBorder="1" applyAlignment="1">
      <alignment horizontal="justify" vertical="center" wrapText="1"/>
    </xf>
    <xf numFmtId="0" fontId="5" fillId="0" borderId="0" xfId="0" applyFont="1" applyBorder="1" applyAlignment="1">
      <alignment horizontal="center" vertical="center" wrapText="1"/>
    </xf>
    <xf numFmtId="0" fontId="9" fillId="2" borderId="10" xfId="0" applyFont="1" applyFill="1" applyBorder="1" applyAlignment="1">
      <alignment vertical="center" wrapText="1"/>
    </xf>
    <xf numFmtId="0" fontId="9" fillId="2" borderId="11" xfId="0" applyFont="1" applyFill="1" applyBorder="1" applyAlignment="1">
      <alignment horizontal="right" vertical="center" wrapText="1"/>
    </xf>
    <xf numFmtId="0" fontId="9" fillId="2" borderId="11" xfId="0" applyFont="1" applyFill="1" applyBorder="1" applyAlignment="1">
      <alignment horizontal="center" vertical="center" wrapText="1"/>
    </xf>
    <xf numFmtId="0" fontId="10" fillId="2" borderId="11" xfId="0" applyFont="1" applyFill="1" applyBorder="1" applyAlignment="1">
      <alignment horizontal="right" vertical="center" wrapText="1"/>
    </xf>
    <xf numFmtId="0" fontId="11" fillId="2" borderId="12" xfId="0" applyFont="1" applyFill="1" applyBorder="1" applyAlignment="1">
      <alignment horizontal="left" vertical="center" wrapText="1"/>
    </xf>
    <xf numFmtId="0" fontId="12" fillId="3" borderId="10" xfId="0" applyFont="1" applyFill="1" applyBorder="1" applyAlignment="1">
      <alignment vertical="center" wrapText="1"/>
    </xf>
    <xf numFmtId="0" fontId="12" fillId="3" borderId="11" xfId="0" applyFont="1" applyFill="1" applyBorder="1" applyAlignment="1">
      <alignment vertical="center" wrapText="1"/>
    </xf>
    <xf numFmtId="0" fontId="12" fillId="3" borderId="11" xfId="0" applyFont="1" applyFill="1" applyBorder="1" applyAlignment="1">
      <alignment horizontal="right" vertical="center" wrapText="1"/>
    </xf>
    <xf numFmtId="0" fontId="12" fillId="3" borderId="11" xfId="0" applyFont="1" applyFill="1" applyBorder="1" applyAlignment="1">
      <alignment horizontal="center" vertical="center" wrapText="1"/>
    </xf>
    <xf numFmtId="0" fontId="13" fillId="3" borderId="11" xfId="0" applyFont="1" applyFill="1" applyBorder="1" applyAlignment="1">
      <alignment horizontal="right" vertical="center" wrapText="1"/>
    </xf>
    <xf numFmtId="0" fontId="14" fillId="3" borderId="12" xfId="0" applyFont="1" applyFill="1" applyBorder="1" applyAlignment="1">
      <alignment horizontal="left" vertical="center" wrapText="1"/>
    </xf>
    <xf numFmtId="0" fontId="14" fillId="3" borderId="11" xfId="0" applyFont="1" applyFill="1" applyBorder="1" applyAlignment="1">
      <alignment horizontal="right" vertical="center" wrapText="1"/>
    </xf>
    <xf numFmtId="0" fontId="15" fillId="4" borderId="13" xfId="0" applyFont="1" applyFill="1" applyBorder="1" applyAlignment="1">
      <alignment horizontal="left" vertical="center" wrapText="1"/>
    </xf>
    <xf numFmtId="0" fontId="16" fillId="4" borderId="13" xfId="0" applyFont="1" applyFill="1" applyBorder="1" applyAlignment="1">
      <alignment horizontal="left" vertical="center" wrapText="1"/>
    </xf>
    <xf numFmtId="0" fontId="18" fillId="3" borderId="13" xfId="0" applyFont="1" applyFill="1" applyBorder="1" applyAlignment="1">
      <alignment horizontal="left" vertical="center" wrapText="1"/>
    </xf>
    <xf numFmtId="0" fontId="18" fillId="3" borderId="13" xfId="0" applyFont="1" applyFill="1" applyBorder="1" applyAlignment="1">
      <alignment vertical="center" wrapText="1"/>
    </xf>
    <xf numFmtId="0" fontId="19" fillId="3" borderId="13" xfId="0" applyFont="1" applyFill="1" applyBorder="1" applyAlignment="1">
      <alignment horizontal="left" vertical="center" wrapText="1"/>
    </xf>
    <xf numFmtId="0" fontId="20" fillId="3" borderId="13" xfId="0" applyFont="1" applyFill="1" applyBorder="1" applyAlignment="1">
      <alignment vertical="center" wrapText="1"/>
    </xf>
    <xf numFmtId="0" fontId="18" fillId="0" borderId="0" xfId="0" applyFont="1" applyAlignment="1">
      <alignment vertical="center"/>
    </xf>
    <xf numFmtId="0" fontId="22" fillId="0" borderId="0" xfId="0" applyFont="1" applyAlignment="1">
      <alignment horizontal="center" vertical="center" wrapText="1"/>
    </xf>
    <xf numFmtId="0" fontId="23" fillId="5" borderId="19" xfId="0" applyFont="1" applyFill="1" applyBorder="1" applyAlignment="1">
      <alignment horizontal="center" vertical="center" wrapText="1"/>
    </xf>
    <xf numFmtId="0" fontId="24" fillId="0" borderId="19" xfId="0" applyFont="1" applyBorder="1" applyAlignment="1">
      <alignment horizontal="center" vertical="center" wrapText="1"/>
    </xf>
    <xf numFmtId="0" fontId="25" fillId="0" borderId="0" xfId="0" applyFont="1" applyAlignment="1">
      <alignment horizontal="left" vertical="center" indent="1"/>
    </xf>
    <xf numFmtId="0" fontId="24" fillId="6" borderId="19" xfId="0" applyFont="1" applyFill="1" applyBorder="1" applyAlignment="1">
      <alignment horizontal="center" vertical="center" wrapText="1"/>
    </xf>
    <xf numFmtId="0" fontId="27" fillId="0" borderId="0" xfId="0" applyFont="1"/>
    <xf numFmtId="0" fontId="28" fillId="0" borderId="0" xfId="0" applyFont="1"/>
    <xf numFmtId="0" fontId="29" fillId="0" borderId="0" xfId="0" applyFont="1"/>
    <xf numFmtId="0" fontId="30" fillId="0" borderId="0" xfId="0" applyFont="1" applyAlignment="1">
      <alignment horizontal="center" vertical="center" wrapText="1"/>
    </xf>
    <xf numFmtId="0" fontId="0" fillId="0" borderId="0" xfId="0" applyAlignment="1">
      <alignment wrapText="1"/>
    </xf>
    <xf numFmtId="0" fontId="31" fillId="0" borderId="0" xfId="0" applyFont="1" applyAlignment="1">
      <alignment horizontal="center" vertical="center"/>
    </xf>
    <xf numFmtId="0" fontId="32" fillId="0" borderId="0" xfId="0" applyFont="1" applyAlignment="1">
      <alignment horizontal="center" vertical="center" wrapText="1"/>
    </xf>
    <xf numFmtId="0" fontId="34" fillId="0" borderId="0" xfId="0" applyFont="1" applyBorder="1" applyAlignment="1">
      <alignment horizontal="center" vertical="center" wrapText="1"/>
    </xf>
    <xf numFmtId="0" fontId="1" fillId="0" borderId="0" xfId="0" applyFont="1"/>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1" fillId="0" borderId="0" xfId="0" applyFont="1" applyAlignment="1">
      <alignment horizontal="center"/>
    </xf>
    <xf numFmtId="164" fontId="1" fillId="0" borderId="0" xfId="0" applyNumberFormat="1" applyFont="1" applyBorder="1" applyAlignment="1">
      <alignment horizontal="center" vertical="center" wrapText="1"/>
    </xf>
    <xf numFmtId="16"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2"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applyAlignment="1">
      <alignment horizontal="center" vertical="center" wrapText="1"/>
    </xf>
    <xf numFmtId="0" fontId="12" fillId="3" borderId="10" xfId="0" applyFont="1" applyFill="1" applyBorder="1" applyAlignment="1">
      <alignment horizontal="right" vertical="center" wrapText="1"/>
    </xf>
    <xf numFmtId="0" fontId="35" fillId="0" borderId="0" xfId="0" applyFont="1" applyAlignment="1">
      <alignment vertical="center"/>
    </xf>
    <xf numFmtId="0" fontId="35" fillId="0" borderId="0" xfId="0" applyFont="1" applyAlignment="1">
      <alignment horizontal="left" vertical="center" indent="1"/>
    </xf>
    <xf numFmtId="0" fontId="0" fillId="0" borderId="0" xfId="0" applyFont="1" applyAlignment="1">
      <alignment vertical="center"/>
    </xf>
    <xf numFmtId="0" fontId="36" fillId="0" borderId="0" xfId="0" applyFont="1" applyAlignment="1">
      <alignment horizontal="left" vertical="center" indent="1"/>
    </xf>
    <xf numFmtId="0" fontId="36" fillId="0" borderId="0" xfId="0" applyFont="1" applyAlignment="1">
      <alignment vertical="center"/>
    </xf>
    <xf numFmtId="2" fontId="0" fillId="0" borderId="0" xfId="0" applyNumberFormat="1"/>
    <xf numFmtId="6" fontId="0" fillId="0" borderId="0" xfId="0" applyNumberFormat="1"/>
    <xf numFmtId="0" fontId="0" fillId="0" borderId="0" xfId="0" applyAlignment="1">
      <alignment horizontal="left" vertical="center" indent="1"/>
    </xf>
    <xf numFmtId="0" fontId="0" fillId="0" borderId="0" xfId="0" applyAlignment="1">
      <alignment vertical="center"/>
    </xf>
    <xf numFmtId="0" fontId="38" fillId="0" borderId="0" xfId="0" applyFont="1"/>
    <xf numFmtId="0" fontId="39" fillId="0" borderId="0" xfId="0" applyFont="1" applyAlignment="1">
      <alignment vertical="center"/>
    </xf>
    <xf numFmtId="9" fontId="0" fillId="0" borderId="0" xfId="0" applyNumberFormat="1"/>
    <xf numFmtId="0" fontId="37" fillId="0" borderId="0" xfId="1"/>
    <xf numFmtId="49" fontId="0" fillId="0" borderId="0" xfId="0" applyNumberFormat="1"/>
    <xf numFmtId="164" fontId="0" fillId="0" borderId="0" xfId="0" applyNumberFormat="1"/>
    <xf numFmtId="164" fontId="1" fillId="6" borderId="0" xfId="0" applyNumberFormat="1" applyFont="1" applyFill="1" applyAlignment="1">
      <alignment horizontal="center"/>
    </xf>
    <xf numFmtId="0" fontId="40" fillId="0" borderId="0" xfId="0" applyFont="1" applyAlignment="1">
      <alignment vertical="center"/>
    </xf>
    <xf numFmtId="0" fontId="37" fillId="0" borderId="0" xfId="1" applyAlignment="1">
      <alignment vertical="center"/>
    </xf>
    <xf numFmtId="0" fontId="41" fillId="0" borderId="0" xfId="0" quotePrefix="1" applyFont="1" applyAlignment="1">
      <alignment horizontal="center"/>
    </xf>
    <xf numFmtId="165" fontId="0" fillId="0" borderId="0" xfId="0" applyNumberFormat="1"/>
    <xf numFmtId="165" fontId="0" fillId="0" borderId="0" xfId="2" applyNumberFormat="1" applyFont="1"/>
    <xf numFmtId="0" fontId="0" fillId="0" borderId="0" xfId="0" applyAlignment="1">
      <alignment horizontal="center"/>
    </xf>
    <xf numFmtId="0" fontId="0" fillId="0" borderId="8" xfId="0" applyBorder="1" applyAlignment="1">
      <alignment horizontal="center"/>
    </xf>
    <xf numFmtId="0" fontId="1" fillId="0" borderId="0" xfId="0" applyFont="1" applyAlignment="1">
      <alignment horizontal="center" vertical="center" wrapText="1"/>
    </xf>
    <xf numFmtId="0" fontId="33" fillId="0" borderId="0" xfId="0" applyFont="1" applyAlignment="1">
      <alignment horizontal="center"/>
    </xf>
    <xf numFmtId="0" fontId="5" fillId="0" borderId="3" xfId="0" applyFont="1" applyBorder="1" applyAlignment="1">
      <alignment horizontal="center" vertical="center" wrapText="1"/>
    </xf>
    <xf numFmtId="8" fontId="0" fillId="0" borderId="0" xfId="0" applyNumberFormat="1"/>
    <xf numFmtId="1" fontId="0" fillId="0" borderId="0" xfId="0" applyNumberFormat="1"/>
    <xf numFmtId="1" fontId="0" fillId="0" borderId="0" xfId="0" applyNumberFormat="1" applyAlignment="1">
      <alignment horizontal="center"/>
    </xf>
    <xf numFmtId="0" fontId="0" fillId="0" borderId="0" xfId="0" applyAlignment="1">
      <alignment horizontal="center" wrapText="1"/>
    </xf>
    <xf numFmtId="0" fontId="40" fillId="7" borderId="24" xfId="0" applyFont="1" applyFill="1" applyBorder="1" applyAlignment="1">
      <alignment horizontal="center" wrapText="1"/>
    </xf>
    <xf numFmtId="2" fontId="1" fillId="0" borderId="0" xfId="0" applyNumberFormat="1" applyFont="1" applyAlignment="1">
      <alignment horizontal="center" wrapText="1"/>
    </xf>
    <xf numFmtId="0" fontId="1" fillId="0" borderId="0" xfId="0" applyFont="1" applyAlignment="1">
      <alignment horizontal="center" wrapText="1"/>
    </xf>
    <xf numFmtId="0" fontId="0" fillId="0" borderId="0" xfId="0" applyFill="1" applyAlignment="1">
      <alignment horizontal="center" wrapText="1"/>
    </xf>
    <xf numFmtId="0" fontId="0" fillId="0" borderId="0" xfId="0" applyAlignment="1">
      <alignment horizontal="center"/>
    </xf>
    <xf numFmtId="0" fontId="0" fillId="0" borderId="8" xfId="0" applyBorder="1" applyAlignment="1">
      <alignment horizontal="center"/>
    </xf>
    <xf numFmtId="0" fontId="0" fillId="0" borderId="0" xfId="0" applyAlignment="1">
      <alignment horizontal="left" vertical="top" wrapText="1"/>
    </xf>
    <xf numFmtId="0" fontId="34" fillId="0" borderId="0" xfId="0" applyFont="1"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xf>
    <xf numFmtId="0" fontId="1" fillId="0" borderId="0" xfId="0" applyFont="1" applyAlignment="1">
      <alignment horizontal="center" vertical="center" wrapText="1"/>
    </xf>
    <xf numFmtId="0" fontId="0" fillId="0" borderId="9" xfId="0" applyBorder="1" applyAlignment="1">
      <alignment horizontal="left" wrapText="1"/>
    </xf>
    <xf numFmtId="0" fontId="33" fillId="0" borderId="0" xfId="0" applyFont="1" applyAlignment="1">
      <alignment horizontal="center"/>
    </xf>
    <xf numFmtId="16" fontId="34" fillId="0" borderId="0" xfId="0" applyNumberFormat="1" applyFont="1" applyBorder="1" applyAlignment="1">
      <alignment horizontal="center" vertical="top"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Alignment="1">
      <alignment horizontal="center" wrapText="1"/>
    </xf>
    <xf numFmtId="0" fontId="18" fillId="3" borderId="16" xfId="0" applyFont="1" applyFill="1" applyBorder="1" applyAlignment="1">
      <alignment horizontal="left" vertical="center" wrapText="1"/>
    </xf>
    <xf numFmtId="0" fontId="18" fillId="3" borderId="17" xfId="0" applyFont="1" applyFill="1" applyBorder="1" applyAlignment="1">
      <alignment horizontal="left" vertical="center" wrapText="1"/>
    </xf>
    <xf numFmtId="0" fontId="18" fillId="3" borderId="18" xfId="0" applyFont="1" applyFill="1" applyBorder="1" applyAlignment="1">
      <alignment horizontal="left" vertical="center" wrapText="1"/>
    </xf>
    <xf numFmtId="0" fontId="0" fillId="0" borderId="0" xfId="0" applyFill="1" applyAlignment="1">
      <alignment horizontal="left" vertical="top" wrapText="1"/>
    </xf>
    <xf numFmtId="0" fontId="15" fillId="4" borderId="14" xfId="0" applyFont="1" applyFill="1" applyBorder="1" applyAlignment="1">
      <alignment horizontal="left" vertical="center" wrapText="1"/>
    </xf>
    <xf numFmtId="0" fontId="15" fillId="4" borderId="15"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xf>
    <xf numFmtId="0" fontId="23" fillId="5" borderId="20" xfId="0" applyFont="1" applyFill="1" applyBorder="1" applyAlignment="1">
      <alignment horizontal="center" vertical="center" wrapText="1"/>
    </xf>
    <xf numFmtId="0" fontId="23" fillId="5" borderId="21"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0" fillId="0" borderId="0" xfId="0" applyAlignment="1">
      <alignment horizontal="center" vertical="center" wrapText="1"/>
    </xf>
    <xf numFmtId="0" fontId="39" fillId="0" borderId="0" xfId="0" applyFont="1" applyAlignment="1">
      <alignment horizontal="center" vertical="center"/>
    </xf>
    <xf numFmtId="0" fontId="40" fillId="7" borderId="24" xfId="0" applyFont="1" applyFill="1" applyBorder="1" applyAlignment="1">
      <alignment horizontal="center" wrapText="1"/>
    </xf>
    <xf numFmtId="0" fontId="1" fillId="0" borderId="0" xfId="0" applyFont="1" applyAlignment="1">
      <alignment horizontal="center"/>
    </xf>
    <xf numFmtId="0" fontId="42" fillId="0" borderId="0" xfId="0" quotePrefix="1" applyFont="1" applyAlignment="1">
      <alignment horizontal="center"/>
    </xf>
    <xf numFmtId="165" fontId="1" fillId="0" borderId="0" xfId="0"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 per</a:t>
            </a:r>
            <a:r>
              <a:rPr lang="en-US" baseline="0"/>
              <a:t>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specific incidence overall'!$D$14</c:f>
              <c:strCache>
                <c:ptCount val="1"/>
                <c:pt idx="0">
                  <c:v>Botswana</c:v>
                </c:pt>
              </c:strCache>
            </c:strRef>
          </c:tx>
          <c:spPr>
            <a:ln w="28575" cap="rnd">
              <a:solidFill>
                <a:schemeClr val="accent6"/>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overall'!$E$14:$M$14</c:f>
              <c:numCache>
                <c:formatCode>General</c:formatCode>
                <c:ptCount val="9"/>
                <c:pt idx="0">
                  <c:v>16.3</c:v>
                </c:pt>
                <c:pt idx="1">
                  <c:v>55.4</c:v>
                </c:pt>
                <c:pt idx="2">
                  <c:v>60.5</c:v>
                </c:pt>
                <c:pt idx="3">
                  <c:v>63.4</c:v>
                </c:pt>
                <c:pt idx="4">
                  <c:v>69.2</c:v>
                </c:pt>
                <c:pt idx="5">
                  <c:v>78.5</c:v>
                </c:pt>
                <c:pt idx="6">
                  <c:v>95.6</c:v>
                </c:pt>
                <c:pt idx="7">
                  <c:v>118.9</c:v>
                </c:pt>
                <c:pt idx="8">
                  <c:v>150.1</c:v>
                </c:pt>
              </c:numCache>
            </c:numRef>
          </c:val>
          <c:smooth val="0"/>
          <c:extLst>
            <c:ext xmlns:c16="http://schemas.microsoft.com/office/drawing/2014/chart" uri="{C3380CC4-5D6E-409C-BE32-E72D297353CC}">
              <c16:uniqueId val="{00000000-1F21-47D9-94D7-0397B9CDE025}"/>
            </c:ext>
          </c:extLst>
        </c:ser>
        <c:ser>
          <c:idx val="1"/>
          <c:order val="1"/>
          <c:tx>
            <c:strRef>
              <c:f>'Age specific incidence overall'!$D$15</c:f>
              <c:strCache>
                <c:ptCount val="1"/>
                <c:pt idx="0">
                  <c:v>Kenya</c:v>
                </c:pt>
              </c:strCache>
            </c:strRef>
          </c:tx>
          <c:spPr>
            <a:ln w="28575" cap="rnd">
              <a:solidFill>
                <a:schemeClr val="accent2"/>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overall'!$E$15:$M$15</c:f>
              <c:numCache>
                <c:formatCode>General</c:formatCode>
                <c:ptCount val="9"/>
                <c:pt idx="0">
                  <c:v>11.3</c:v>
                </c:pt>
                <c:pt idx="1">
                  <c:v>63.5</c:v>
                </c:pt>
                <c:pt idx="2">
                  <c:v>84</c:v>
                </c:pt>
                <c:pt idx="3">
                  <c:v>104.5</c:v>
                </c:pt>
                <c:pt idx="4">
                  <c:v>131.30000000000001</c:v>
                </c:pt>
                <c:pt idx="5">
                  <c:v>151.80000000000001</c:v>
                </c:pt>
                <c:pt idx="6">
                  <c:v>158</c:v>
                </c:pt>
                <c:pt idx="7">
                  <c:v>152.4</c:v>
                </c:pt>
                <c:pt idx="8">
                  <c:v>134.6</c:v>
                </c:pt>
              </c:numCache>
            </c:numRef>
          </c:val>
          <c:smooth val="0"/>
          <c:extLst>
            <c:ext xmlns:c16="http://schemas.microsoft.com/office/drawing/2014/chart" uri="{C3380CC4-5D6E-409C-BE32-E72D297353CC}">
              <c16:uniqueId val="{00000001-1F21-47D9-94D7-0397B9CDE025}"/>
            </c:ext>
          </c:extLst>
        </c:ser>
        <c:ser>
          <c:idx val="2"/>
          <c:order val="2"/>
          <c:tx>
            <c:strRef>
              <c:f>'Age specific incidence overall'!$D$16</c:f>
              <c:strCache>
                <c:ptCount val="1"/>
                <c:pt idx="0">
                  <c:v>South Africa</c:v>
                </c:pt>
              </c:strCache>
            </c:strRef>
          </c:tx>
          <c:spPr>
            <a:ln w="28575" cap="rnd">
              <a:solidFill>
                <a:schemeClr val="accent3"/>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overall'!$E$16:$M$16</c:f>
              <c:numCache>
                <c:formatCode>General</c:formatCode>
                <c:ptCount val="9"/>
                <c:pt idx="0">
                  <c:v>21.9</c:v>
                </c:pt>
                <c:pt idx="1">
                  <c:v>63.4</c:v>
                </c:pt>
                <c:pt idx="2">
                  <c:v>68.3</c:v>
                </c:pt>
                <c:pt idx="3">
                  <c:v>70.7</c:v>
                </c:pt>
                <c:pt idx="4">
                  <c:v>73</c:v>
                </c:pt>
                <c:pt idx="5">
                  <c:v>77.400000000000006</c:v>
                </c:pt>
                <c:pt idx="6">
                  <c:v>82.7</c:v>
                </c:pt>
                <c:pt idx="7">
                  <c:v>88.6</c:v>
                </c:pt>
                <c:pt idx="8">
                  <c:v>95.2</c:v>
                </c:pt>
              </c:numCache>
            </c:numRef>
          </c:val>
          <c:smooth val="0"/>
          <c:extLst>
            <c:ext xmlns:c16="http://schemas.microsoft.com/office/drawing/2014/chart" uri="{C3380CC4-5D6E-409C-BE32-E72D297353CC}">
              <c16:uniqueId val="{00000002-1F21-47D9-94D7-0397B9CDE025}"/>
            </c:ext>
          </c:extLst>
        </c:ser>
        <c:ser>
          <c:idx val="3"/>
          <c:order val="3"/>
          <c:tx>
            <c:strRef>
              <c:f>'Age specific incidence overall'!$D$17</c:f>
              <c:strCache>
                <c:ptCount val="1"/>
                <c:pt idx="0">
                  <c:v>Uganda</c:v>
                </c:pt>
              </c:strCache>
            </c:strRef>
          </c:tx>
          <c:spPr>
            <a:ln w="28575" cap="rnd">
              <a:solidFill>
                <a:schemeClr val="accent4"/>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overall'!$E$17:$M$17</c:f>
              <c:numCache>
                <c:formatCode>General</c:formatCode>
                <c:ptCount val="9"/>
                <c:pt idx="0">
                  <c:v>13.9</c:v>
                </c:pt>
                <c:pt idx="1">
                  <c:v>87.3</c:v>
                </c:pt>
                <c:pt idx="2">
                  <c:v>115.5</c:v>
                </c:pt>
                <c:pt idx="3">
                  <c:v>132.6</c:v>
                </c:pt>
                <c:pt idx="4">
                  <c:v>139.1</c:v>
                </c:pt>
                <c:pt idx="5">
                  <c:v>142</c:v>
                </c:pt>
                <c:pt idx="6">
                  <c:v>140.80000000000001</c:v>
                </c:pt>
                <c:pt idx="7">
                  <c:v>131.9</c:v>
                </c:pt>
                <c:pt idx="8">
                  <c:v>117</c:v>
                </c:pt>
              </c:numCache>
            </c:numRef>
          </c:val>
          <c:smooth val="0"/>
          <c:extLst>
            <c:ext xmlns:c16="http://schemas.microsoft.com/office/drawing/2014/chart" uri="{C3380CC4-5D6E-409C-BE32-E72D297353CC}">
              <c16:uniqueId val="{00000003-1F21-47D9-94D7-0397B9CDE025}"/>
            </c:ext>
          </c:extLst>
        </c:ser>
        <c:ser>
          <c:idx val="4"/>
          <c:order val="4"/>
          <c:tx>
            <c:strRef>
              <c:f>'Age specific incidence overall'!$D$18</c:f>
              <c:strCache>
                <c:ptCount val="1"/>
                <c:pt idx="0">
                  <c:v>Zambia</c:v>
                </c:pt>
              </c:strCache>
            </c:strRef>
          </c:tx>
          <c:spPr>
            <a:ln w="28575" cap="rnd">
              <a:solidFill>
                <a:schemeClr val="accent5"/>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overall'!$E$18:$M$18</c:f>
              <c:numCache>
                <c:formatCode>General</c:formatCode>
                <c:ptCount val="9"/>
                <c:pt idx="0">
                  <c:v>31.3</c:v>
                </c:pt>
                <c:pt idx="1">
                  <c:v>110.4</c:v>
                </c:pt>
                <c:pt idx="2">
                  <c:v>127</c:v>
                </c:pt>
                <c:pt idx="3">
                  <c:v>139</c:v>
                </c:pt>
                <c:pt idx="4">
                  <c:v>147.80000000000001</c:v>
                </c:pt>
                <c:pt idx="5">
                  <c:v>146.4</c:v>
                </c:pt>
                <c:pt idx="6">
                  <c:v>162.30000000000001</c:v>
                </c:pt>
                <c:pt idx="7">
                  <c:v>192.8</c:v>
                </c:pt>
                <c:pt idx="8">
                  <c:v>236.7</c:v>
                </c:pt>
              </c:numCache>
            </c:numRef>
          </c:val>
          <c:smooth val="0"/>
          <c:extLst>
            <c:ext xmlns:c16="http://schemas.microsoft.com/office/drawing/2014/chart" uri="{C3380CC4-5D6E-409C-BE32-E72D297353CC}">
              <c16:uniqueId val="{00000004-1F21-47D9-94D7-0397B9CDE025}"/>
            </c:ext>
          </c:extLst>
        </c:ser>
        <c:dLbls>
          <c:showLegendKey val="0"/>
          <c:showVal val="0"/>
          <c:showCatName val="0"/>
          <c:showSerName val="0"/>
          <c:showPercent val="0"/>
          <c:showBubbleSize val="0"/>
        </c:dLbls>
        <c:smooth val="0"/>
        <c:axId val="542022256"/>
        <c:axId val="542158776"/>
      </c:lineChart>
      <c:catAx>
        <c:axId val="5420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58776"/>
        <c:crosses val="autoZero"/>
        <c:auto val="1"/>
        <c:lblAlgn val="ctr"/>
        <c:lblOffset val="100"/>
        <c:noMultiLvlLbl val="0"/>
      </c:catAx>
      <c:valAx>
        <c:axId val="54215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'Age specific incidence overall'!$R$22</c:f>
              <c:strCache>
                <c:ptCount val="1"/>
                <c:pt idx="0">
                  <c:v>Overall (HIV and non-HIV) </c:v>
                </c:pt>
              </c:strCache>
            </c:strRef>
          </c:tx>
          <c:spPr>
            <a:ln w="19050" cap="rnd">
              <a:solidFill>
                <a:schemeClr val="accent1"/>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overall'!$R$23:$R$34</c:f>
              <c:numCache>
                <c:formatCode>General</c:formatCode>
                <c:ptCount val="12"/>
                <c:pt idx="0">
                  <c:v>0</c:v>
                </c:pt>
                <c:pt idx="1">
                  <c:v>10</c:v>
                </c:pt>
                <c:pt idx="2">
                  <c:v>31.3</c:v>
                </c:pt>
                <c:pt idx="3">
                  <c:v>70.850000000000009</c:v>
                </c:pt>
                <c:pt idx="4">
                  <c:v>110.4</c:v>
                </c:pt>
                <c:pt idx="5">
                  <c:v>127</c:v>
                </c:pt>
                <c:pt idx="6">
                  <c:v>139</c:v>
                </c:pt>
                <c:pt idx="7">
                  <c:v>147.80000000000001</c:v>
                </c:pt>
                <c:pt idx="8">
                  <c:v>146.4</c:v>
                </c:pt>
                <c:pt idx="9">
                  <c:v>162.30000000000001</c:v>
                </c:pt>
                <c:pt idx="10">
                  <c:v>192.8</c:v>
                </c:pt>
                <c:pt idx="11">
                  <c:v>236.7</c:v>
                </c:pt>
              </c:numCache>
            </c:numRef>
          </c:yVal>
          <c:smooth val="1"/>
          <c:extLst>
            <c:ext xmlns:c16="http://schemas.microsoft.com/office/drawing/2014/chart" uri="{C3380CC4-5D6E-409C-BE32-E72D297353CC}">
              <c16:uniqueId val="{00000000-E63C-4EDA-9633-49C901260ACF}"/>
            </c:ext>
          </c:extLst>
        </c:ser>
        <c:ser>
          <c:idx val="1"/>
          <c:order val="1"/>
          <c:tx>
            <c:strRef>
              <c:f>'Age specific incidence overall'!$S$22</c:f>
              <c:strCache>
                <c:ptCount val="1"/>
                <c:pt idx="0">
                  <c:v>HIV - Scenatio 1</c:v>
                </c:pt>
              </c:strCache>
            </c:strRef>
          </c:tx>
          <c:spPr>
            <a:ln w="19050" cap="rnd">
              <a:solidFill>
                <a:schemeClr val="accent2"/>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overall'!$S$23:$S$34</c:f>
              <c:numCache>
                <c:formatCode>General</c:formatCode>
                <c:ptCount val="12"/>
                <c:pt idx="0">
                  <c:v>0</c:v>
                </c:pt>
                <c:pt idx="1">
                  <c:v>30</c:v>
                </c:pt>
                <c:pt idx="2">
                  <c:v>93.9</c:v>
                </c:pt>
                <c:pt idx="3">
                  <c:v>283.40000000000003</c:v>
                </c:pt>
                <c:pt idx="4">
                  <c:v>331.20000000000005</c:v>
                </c:pt>
                <c:pt idx="5">
                  <c:v>317.5</c:v>
                </c:pt>
                <c:pt idx="6">
                  <c:v>278</c:v>
                </c:pt>
                <c:pt idx="7">
                  <c:v>147.80000000000001</c:v>
                </c:pt>
                <c:pt idx="8">
                  <c:v>109.80000000000001</c:v>
                </c:pt>
                <c:pt idx="9">
                  <c:v>97.38000000000001</c:v>
                </c:pt>
                <c:pt idx="10">
                  <c:v>77.12</c:v>
                </c:pt>
                <c:pt idx="11">
                  <c:v>47.34</c:v>
                </c:pt>
              </c:numCache>
            </c:numRef>
          </c:yVal>
          <c:smooth val="1"/>
          <c:extLst>
            <c:ext xmlns:c16="http://schemas.microsoft.com/office/drawing/2014/chart" uri="{C3380CC4-5D6E-409C-BE32-E72D297353CC}">
              <c16:uniqueId val="{00000001-E63C-4EDA-9633-49C901260ACF}"/>
            </c:ext>
          </c:extLst>
        </c:ser>
        <c:ser>
          <c:idx val="2"/>
          <c:order val="2"/>
          <c:tx>
            <c:strRef>
              <c:f>'Age specific incidence overall'!$T$22</c:f>
              <c:strCache>
                <c:ptCount val="1"/>
                <c:pt idx="0">
                  <c:v>HIV - Scenario 2</c:v>
                </c:pt>
              </c:strCache>
            </c:strRef>
          </c:tx>
          <c:spPr>
            <a:ln w="19050" cap="rnd">
              <a:solidFill>
                <a:schemeClr val="accent3"/>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overall'!$T$23:$T$34</c:f>
              <c:numCache>
                <c:formatCode>General</c:formatCode>
                <c:ptCount val="12"/>
                <c:pt idx="0">
                  <c:v>0</c:v>
                </c:pt>
                <c:pt idx="1">
                  <c:v>20</c:v>
                </c:pt>
                <c:pt idx="2">
                  <c:v>62.6</c:v>
                </c:pt>
                <c:pt idx="3">
                  <c:v>141.70000000000002</c:v>
                </c:pt>
                <c:pt idx="4">
                  <c:v>220.80000000000004</c:v>
                </c:pt>
                <c:pt idx="5" formatCode="0.0">
                  <c:v>211.66666666666666</c:v>
                </c:pt>
                <c:pt idx="6" formatCode="0.0">
                  <c:v>185.33333333333334</c:v>
                </c:pt>
                <c:pt idx="7">
                  <c:v>147.80000000000001</c:v>
                </c:pt>
                <c:pt idx="8">
                  <c:v>109.80000000000001</c:v>
                </c:pt>
                <c:pt idx="9">
                  <c:v>97.38000000000001</c:v>
                </c:pt>
                <c:pt idx="10">
                  <c:v>77.12</c:v>
                </c:pt>
                <c:pt idx="11">
                  <c:v>47.34</c:v>
                </c:pt>
              </c:numCache>
            </c:numRef>
          </c:yVal>
          <c:smooth val="1"/>
          <c:extLst>
            <c:ext xmlns:c16="http://schemas.microsoft.com/office/drawing/2014/chart" uri="{C3380CC4-5D6E-409C-BE32-E72D297353CC}">
              <c16:uniqueId val="{00000002-E63C-4EDA-9633-49C901260ACF}"/>
            </c:ext>
          </c:extLst>
        </c:ser>
        <c:dLbls>
          <c:showLegendKey val="0"/>
          <c:showVal val="0"/>
          <c:showCatName val="0"/>
          <c:showSerName val="0"/>
          <c:showPercent val="0"/>
          <c:showBubbleSize val="0"/>
        </c:dLbls>
        <c:axId val="575321936"/>
        <c:axId val="575320624"/>
      </c:scatterChart>
      <c:valAx>
        <c:axId val="575321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20624"/>
        <c:crosses val="autoZero"/>
        <c:crossBetween val="midCat"/>
      </c:valAx>
      <c:valAx>
        <c:axId val="57532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21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 per</a:t>
            </a:r>
            <a:r>
              <a:rPr lang="en-US" baseline="0"/>
              <a:t>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specific incidence age'!$D$14</c:f>
              <c:strCache>
                <c:ptCount val="1"/>
                <c:pt idx="0">
                  <c:v>Botswana</c:v>
                </c:pt>
              </c:strCache>
            </c:strRef>
          </c:tx>
          <c:spPr>
            <a:ln w="28575" cap="rnd">
              <a:solidFill>
                <a:schemeClr val="accent6"/>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age'!$E$14:$M$14</c:f>
              <c:numCache>
                <c:formatCode>General</c:formatCode>
                <c:ptCount val="9"/>
                <c:pt idx="0">
                  <c:v>16.3</c:v>
                </c:pt>
                <c:pt idx="1">
                  <c:v>55.4</c:v>
                </c:pt>
                <c:pt idx="2">
                  <c:v>60.5</c:v>
                </c:pt>
                <c:pt idx="3">
                  <c:v>63.4</c:v>
                </c:pt>
                <c:pt idx="4">
                  <c:v>69.2</c:v>
                </c:pt>
                <c:pt idx="5">
                  <c:v>78.5</c:v>
                </c:pt>
                <c:pt idx="6">
                  <c:v>95.6</c:v>
                </c:pt>
                <c:pt idx="7">
                  <c:v>118.9</c:v>
                </c:pt>
                <c:pt idx="8">
                  <c:v>150.1</c:v>
                </c:pt>
              </c:numCache>
            </c:numRef>
          </c:val>
          <c:smooth val="0"/>
          <c:extLst>
            <c:ext xmlns:c16="http://schemas.microsoft.com/office/drawing/2014/chart" uri="{C3380CC4-5D6E-409C-BE32-E72D297353CC}">
              <c16:uniqueId val="{00000000-BF57-44F2-A1CF-E2C063711EE6}"/>
            </c:ext>
          </c:extLst>
        </c:ser>
        <c:ser>
          <c:idx val="1"/>
          <c:order val="1"/>
          <c:tx>
            <c:strRef>
              <c:f>'Age specific incidence age'!$D$15</c:f>
              <c:strCache>
                <c:ptCount val="1"/>
                <c:pt idx="0">
                  <c:v>Kenya</c:v>
                </c:pt>
              </c:strCache>
            </c:strRef>
          </c:tx>
          <c:spPr>
            <a:ln w="28575" cap="rnd">
              <a:solidFill>
                <a:schemeClr val="accent2"/>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age'!$E$15:$M$15</c:f>
              <c:numCache>
                <c:formatCode>General</c:formatCode>
                <c:ptCount val="9"/>
                <c:pt idx="0">
                  <c:v>11.3</c:v>
                </c:pt>
                <c:pt idx="1">
                  <c:v>63.5</c:v>
                </c:pt>
                <c:pt idx="2">
                  <c:v>84</c:v>
                </c:pt>
                <c:pt idx="3">
                  <c:v>104.5</c:v>
                </c:pt>
                <c:pt idx="4">
                  <c:v>131.30000000000001</c:v>
                </c:pt>
                <c:pt idx="5">
                  <c:v>151.80000000000001</c:v>
                </c:pt>
                <c:pt idx="6">
                  <c:v>158</c:v>
                </c:pt>
                <c:pt idx="7">
                  <c:v>152.4</c:v>
                </c:pt>
                <c:pt idx="8">
                  <c:v>134.6</c:v>
                </c:pt>
              </c:numCache>
            </c:numRef>
          </c:val>
          <c:smooth val="0"/>
          <c:extLst>
            <c:ext xmlns:c16="http://schemas.microsoft.com/office/drawing/2014/chart" uri="{C3380CC4-5D6E-409C-BE32-E72D297353CC}">
              <c16:uniqueId val="{00000001-BF57-44F2-A1CF-E2C063711EE6}"/>
            </c:ext>
          </c:extLst>
        </c:ser>
        <c:ser>
          <c:idx val="2"/>
          <c:order val="2"/>
          <c:tx>
            <c:strRef>
              <c:f>'Age specific incidence age'!$D$16</c:f>
              <c:strCache>
                <c:ptCount val="1"/>
                <c:pt idx="0">
                  <c:v>South Africa</c:v>
                </c:pt>
              </c:strCache>
            </c:strRef>
          </c:tx>
          <c:spPr>
            <a:ln w="28575" cap="rnd">
              <a:solidFill>
                <a:schemeClr val="accent3"/>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age'!$E$16:$M$16</c:f>
              <c:numCache>
                <c:formatCode>General</c:formatCode>
                <c:ptCount val="9"/>
                <c:pt idx="0">
                  <c:v>21.9</c:v>
                </c:pt>
                <c:pt idx="1">
                  <c:v>63.4</c:v>
                </c:pt>
                <c:pt idx="2">
                  <c:v>68.3</c:v>
                </c:pt>
                <c:pt idx="3">
                  <c:v>70.7</c:v>
                </c:pt>
                <c:pt idx="4">
                  <c:v>73</c:v>
                </c:pt>
                <c:pt idx="5">
                  <c:v>77.400000000000006</c:v>
                </c:pt>
                <c:pt idx="6">
                  <c:v>82.7</c:v>
                </c:pt>
                <c:pt idx="7">
                  <c:v>88.6</c:v>
                </c:pt>
                <c:pt idx="8">
                  <c:v>95.2</c:v>
                </c:pt>
              </c:numCache>
            </c:numRef>
          </c:val>
          <c:smooth val="0"/>
          <c:extLst>
            <c:ext xmlns:c16="http://schemas.microsoft.com/office/drawing/2014/chart" uri="{C3380CC4-5D6E-409C-BE32-E72D297353CC}">
              <c16:uniqueId val="{00000002-BF57-44F2-A1CF-E2C063711EE6}"/>
            </c:ext>
          </c:extLst>
        </c:ser>
        <c:ser>
          <c:idx val="3"/>
          <c:order val="3"/>
          <c:tx>
            <c:strRef>
              <c:f>'Age specific incidence age'!$D$17</c:f>
              <c:strCache>
                <c:ptCount val="1"/>
                <c:pt idx="0">
                  <c:v>Uganda</c:v>
                </c:pt>
              </c:strCache>
            </c:strRef>
          </c:tx>
          <c:spPr>
            <a:ln w="28575" cap="rnd">
              <a:solidFill>
                <a:schemeClr val="accent4"/>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age'!$E$17:$M$17</c:f>
              <c:numCache>
                <c:formatCode>General</c:formatCode>
                <c:ptCount val="9"/>
                <c:pt idx="0">
                  <c:v>13.9</c:v>
                </c:pt>
                <c:pt idx="1">
                  <c:v>87.3</c:v>
                </c:pt>
                <c:pt idx="2">
                  <c:v>115.5</c:v>
                </c:pt>
                <c:pt idx="3">
                  <c:v>132.6</c:v>
                </c:pt>
                <c:pt idx="4">
                  <c:v>139.1</c:v>
                </c:pt>
                <c:pt idx="5">
                  <c:v>142</c:v>
                </c:pt>
                <c:pt idx="6">
                  <c:v>140.80000000000001</c:v>
                </c:pt>
                <c:pt idx="7">
                  <c:v>131.9</c:v>
                </c:pt>
                <c:pt idx="8">
                  <c:v>117</c:v>
                </c:pt>
              </c:numCache>
            </c:numRef>
          </c:val>
          <c:smooth val="0"/>
          <c:extLst>
            <c:ext xmlns:c16="http://schemas.microsoft.com/office/drawing/2014/chart" uri="{C3380CC4-5D6E-409C-BE32-E72D297353CC}">
              <c16:uniqueId val="{00000003-BF57-44F2-A1CF-E2C063711EE6}"/>
            </c:ext>
          </c:extLst>
        </c:ser>
        <c:ser>
          <c:idx val="4"/>
          <c:order val="4"/>
          <c:tx>
            <c:strRef>
              <c:f>'Age specific incidence age'!$D$18</c:f>
              <c:strCache>
                <c:ptCount val="1"/>
                <c:pt idx="0">
                  <c:v>Zambia</c:v>
                </c:pt>
              </c:strCache>
            </c:strRef>
          </c:tx>
          <c:spPr>
            <a:ln w="28575" cap="rnd">
              <a:solidFill>
                <a:schemeClr val="accent5"/>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age'!$E$18:$M$18</c:f>
              <c:numCache>
                <c:formatCode>General</c:formatCode>
                <c:ptCount val="9"/>
                <c:pt idx="0">
                  <c:v>31.3</c:v>
                </c:pt>
                <c:pt idx="1">
                  <c:v>110.4</c:v>
                </c:pt>
                <c:pt idx="2">
                  <c:v>127</c:v>
                </c:pt>
                <c:pt idx="3">
                  <c:v>139</c:v>
                </c:pt>
                <c:pt idx="4">
                  <c:v>147.80000000000001</c:v>
                </c:pt>
                <c:pt idx="5">
                  <c:v>146.4</c:v>
                </c:pt>
                <c:pt idx="6">
                  <c:v>162.30000000000001</c:v>
                </c:pt>
                <c:pt idx="7">
                  <c:v>192.8</c:v>
                </c:pt>
                <c:pt idx="8">
                  <c:v>236.7</c:v>
                </c:pt>
              </c:numCache>
            </c:numRef>
          </c:val>
          <c:smooth val="0"/>
          <c:extLst>
            <c:ext xmlns:c16="http://schemas.microsoft.com/office/drawing/2014/chart" uri="{C3380CC4-5D6E-409C-BE32-E72D297353CC}">
              <c16:uniqueId val="{00000004-BF57-44F2-A1CF-E2C063711EE6}"/>
            </c:ext>
          </c:extLst>
        </c:ser>
        <c:dLbls>
          <c:showLegendKey val="0"/>
          <c:showVal val="0"/>
          <c:showCatName val="0"/>
          <c:showSerName val="0"/>
          <c:showPercent val="0"/>
          <c:showBubbleSize val="0"/>
        </c:dLbls>
        <c:smooth val="0"/>
        <c:axId val="542022256"/>
        <c:axId val="542158776"/>
      </c:lineChart>
      <c:catAx>
        <c:axId val="5420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58776"/>
        <c:crosses val="autoZero"/>
        <c:auto val="1"/>
        <c:lblAlgn val="ctr"/>
        <c:lblOffset val="100"/>
        <c:noMultiLvlLbl val="0"/>
      </c:catAx>
      <c:valAx>
        <c:axId val="54215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'Age specific incidence age'!$R$22</c:f>
              <c:strCache>
                <c:ptCount val="1"/>
                <c:pt idx="0">
                  <c:v>Overall (HIV and non-HIV) </c:v>
                </c:pt>
              </c:strCache>
            </c:strRef>
          </c:tx>
          <c:spPr>
            <a:ln w="19050" cap="rnd">
              <a:solidFill>
                <a:schemeClr val="accent1"/>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age'!$R$23:$R$34</c:f>
              <c:numCache>
                <c:formatCode>General</c:formatCode>
                <c:ptCount val="12"/>
                <c:pt idx="0">
                  <c:v>0</c:v>
                </c:pt>
                <c:pt idx="1">
                  <c:v>10</c:v>
                </c:pt>
                <c:pt idx="2">
                  <c:v>31.3</c:v>
                </c:pt>
                <c:pt idx="3">
                  <c:v>70.850000000000009</c:v>
                </c:pt>
                <c:pt idx="4">
                  <c:v>110.4</c:v>
                </c:pt>
                <c:pt idx="5">
                  <c:v>127</c:v>
                </c:pt>
                <c:pt idx="6">
                  <c:v>139</c:v>
                </c:pt>
                <c:pt idx="7">
                  <c:v>147.80000000000001</c:v>
                </c:pt>
                <c:pt idx="8">
                  <c:v>146.4</c:v>
                </c:pt>
                <c:pt idx="9">
                  <c:v>162.30000000000001</c:v>
                </c:pt>
                <c:pt idx="10">
                  <c:v>192.8</c:v>
                </c:pt>
                <c:pt idx="11">
                  <c:v>236.7</c:v>
                </c:pt>
              </c:numCache>
            </c:numRef>
          </c:yVal>
          <c:smooth val="1"/>
          <c:extLst>
            <c:ext xmlns:c16="http://schemas.microsoft.com/office/drawing/2014/chart" uri="{C3380CC4-5D6E-409C-BE32-E72D297353CC}">
              <c16:uniqueId val="{00000000-C3BF-4B67-B884-D99FDB061BAF}"/>
            </c:ext>
          </c:extLst>
        </c:ser>
        <c:ser>
          <c:idx val="1"/>
          <c:order val="1"/>
          <c:tx>
            <c:strRef>
              <c:f>'Age specific incidence age'!$S$22</c:f>
              <c:strCache>
                <c:ptCount val="1"/>
                <c:pt idx="0">
                  <c:v>HIV - Scenatio 1</c:v>
                </c:pt>
              </c:strCache>
            </c:strRef>
          </c:tx>
          <c:spPr>
            <a:ln w="19050" cap="rnd">
              <a:solidFill>
                <a:schemeClr val="accent2"/>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age'!$S$23:$S$34</c:f>
              <c:numCache>
                <c:formatCode>General</c:formatCode>
                <c:ptCount val="12"/>
                <c:pt idx="0">
                  <c:v>0</c:v>
                </c:pt>
                <c:pt idx="1">
                  <c:v>30</c:v>
                </c:pt>
                <c:pt idx="2">
                  <c:v>93.9</c:v>
                </c:pt>
                <c:pt idx="3">
                  <c:v>283.40000000000003</c:v>
                </c:pt>
                <c:pt idx="4">
                  <c:v>331.20000000000005</c:v>
                </c:pt>
                <c:pt idx="5">
                  <c:v>317.5</c:v>
                </c:pt>
                <c:pt idx="6">
                  <c:v>278</c:v>
                </c:pt>
                <c:pt idx="7">
                  <c:v>147.80000000000001</c:v>
                </c:pt>
                <c:pt idx="8">
                  <c:v>109.80000000000001</c:v>
                </c:pt>
                <c:pt idx="9">
                  <c:v>97.38000000000001</c:v>
                </c:pt>
                <c:pt idx="10">
                  <c:v>77.12</c:v>
                </c:pt>
                <c:pt idx="11">
                  <c:v>47.34</c:v>
                </c:pt>
              </c:numCache>
            </c:numRef>
          </c:yVal>
          <c:smooth val="1"/>
          <c:extLst>
            <c:ext xmlns:c16="http://schemas.microsoft.com/office/drawing/2014/chart" uri="{C3380CC4-5D6E-409C-BE32-E72D297353CC}">
              <c16:uniqueId val="{00000001-C3BF-4B67-B884-D99FDB061BAF}"/>
            </c:ext>
          </c:extLst>
        </c:ser>
        <c:ser>
          <c:idx val="2"/>
          <c:order val="2"/>
          <c:tx>
            <c:strRef>
              <c:f>'Age specific incidence age'!$T$22</c:f>
              <c:strCache>
                <c:ptCount val="1"/>
                <c:pt idx="0">
                  <c:v>HIV - Scenario 2</c:v>
                </c:pt>
              </c:strCache>
            </c:strRef>
          </c:tx>
          <c:spPr>
            <a:ln w="19050" cap="rnd">
              <a:solidFill>
                <a:schemeClr val="accent3"/>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age'!$T$23:$T$34</c:f>
              <c:numCache>
                <c:formatCode>General</c:formatCode>
                <c:ptCount val="12"/>
                <c:pt idx="0">
                  <c:v>0</c:v>
                </c:pt>
                <c:pt idx="1">
                  <c:v>20</c:v>
                </c:pt>
                <c:pt idx="2">
                  <c:v>62.6</c:v>
                </c:pt>
                <c:pt idx="3">
                  <c:v>141.70000000000002</c:v>
                </c:pt>
                <c:pt idx="4">
                  <c:v>220.80000000000004</c:v>
                </c:pt>
                <c:pt idx="5" formatCode="0.0">
                  <c:v>211.66666666666666</c:v>
                </c:pt>
                <c:pt idx="6" formatCode="0.0">
                  <c:v>185.33333333333334</c:v>
                </c:pt>
                <c:pt idx="7">
                  <c:v>147.80000000000001</c:v>
                </c:pt>
                <c:pt idx="8">
                  <c:v>109.80000000000001</c:v>
                </c:pt>
                <c:pt idx="9">
                  <c:v>97.38000000000001</c:v>
                </c:pt>
                <c:pt idx="10">
                  <c:v>77.12</c:v>
                </c:pt>
                <c:pt idx="11">
                  <c:v>47.34</c:v>
                </c:pt>
              </c:numCache>
            </c:numRef>
          </c:yVal>
          <c:smooth val="1"/>
          <c:extLst>
            <c:ext xmlns:c16="http://schemas.microsoft.com/office/drawing/2014/chart" uri="{C3380CC4-5D6E-409C-BE32-E72D297353CC}">
              <c16:uniqueId val="{00000002-C3BF-4B67-B884-D99FDB061BAF}"/>
            </c:ext>
          </c:extLst>
        </c:ser>
        <c:dLbls>
          <c:showLegendKey val="0"/>
          <c:showVal val="0"/>
          <c:showCatName val="0"/>
          <c:showSerName val="0"/>
          <c:showPercent val="0"/>
          <c:showBubbleSize val="0"/>
        </c:dLbls>
        <c:axId val="575321936"/>
        <c:axId val="575320624"/>
      </c:scatterChart>
      <c:valAx>
        <c:axId val="575321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20624"/>
        <c:crosses val="autoZero"/>
        <c:crossBetween val="midCat"/>
      </c:valAx>
      <c:valAx>
        <c:axId val="57532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21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png"/><Relationship Id="rId4" Type="http://schemas.openxmlformats.org/officeDocument/2006/relationships/image" Target="../media/image14.emf"/></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5.emf"/><Relationship Id="rId1" Type="http://schemas.openxmlformats.org/officeDocument/2006/relationships/chart" Target="../charts/chart1.xml"/><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5.emf"/><Relationship Id="rId1" Type="http://schemas.openxmlformats.org/officeDocument/2006/relationships/chart" Target="../charts/chart3.xml"/><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cid:image001.png@01D35298.8211D630" TargetMode="External"/><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52</xdr:row>
      <xdr:rowOff>0</xdr:rowOff>
    </xdr:from>
    <xdr:to>
      <xdr:col>18</xdr:col>
      <xdr:colOff>418590</xdr:colOff>
      <xdr:row>57</xdr:row>
      <xdr:rowOff>361494</xdr:rowOff>
    </xdr:to>
    <xdr:pic>
      <xdr:nvPicPr>
        <xdr:cNvPr id="3" name="Picture 2">
          <a:extLst>
            <a:ext uri="{FF2B5EF4-FFF2-40B4-BE49-F238E27FC236}">
              <a16:creationId xmlns:a16="http://schemas.microsoft.com/office/drawing/2014/main" id="{922968BE-37A0-4552-8CB5-3A12BCCA1262}"/>
            </a:ext>
          </a:extLst>
        </xdr:cNvPr>
        <xdr:cNvPicPr>
          <a:picLocks noChangeAspect="1"/>
        </xdr:cNvPicPr>
      </xdr:nvPicPr>
      <xdr:blipFill>
        <a:blip xmlns:r="http://schemas.openxmlformats.org/officeDocument/2006/relationships" r:embed="rId1"/>
        <a:stretch>
          <a:fillRect/>
        </a:stretch>
      </xdr:blipFill>
      <xdr:spPr>
        <a:xfrm>
          <a:off x="8515350" y="19602450"/>
          <a:ext cx="4076190" cy="3647619"/>
        </a:xfrm>
        <a:prstGeom prst="rect">
          <a:avLst/>
        </a:prstGeom>
      </xdr:spPr>
    </xdr:pic>
    <xdr:clientData/>
  </xdr:twoCellAnchor>
  <xdr:twoCellAnchor editAs="oneCell">
    <xdr:from>
      <xdr:col>12</xdr:col>
      <xdr:colOff>0</xdr:colOff>
      <xdr:row>59</xdr:row>
      <xdr:rowOff>0</xdr:rowOff>
    </xdr:from>
    <xdr:to>
      <xdr:col>18</xdr:col>
      <xdr:colOff>428114</xdr:colOff>
      <xdr:row>83</xdr:row>
      <xdr:rowOff>104186</xdr:rowOff>
    </xdr:to>
    <xdr:pic>
      <xdr:nvPicPr>
        <xdr:cNvPr id="4" name="Picture 3">
          <a:extLst>
            <a:ext uri="{FF2B5EF4-FFF2-40B4-BE49-F238E27FC236}">
              <a16:creationId xmlns:a16="http://schemas.microsoft.com/office/drawing/2014/main" id="{64680C83-960E-4376-9334-2209AFCD3219}"/>
            </a:ext>
          </a:extLst>
        </xdr:cNvPr>
        <xdr:cNvPicPr>
          <a:picLocks noChangeAspect="1"/>
        </xdr:cNvPicPr>
      </xdr:nvPicPr>
      <xdr:blipFill>
        <a:blip xmlns:r="http://schemas.openxmlformats.org/officeDocument/2006/relationships" r:embed="rId2"/>
        <a:stretch>
          <a:fillRect/>
        </a:stretch>
      </xdr:blipFill>
      <xdr:spPr>
        <a:xfrm>
          <a:off x="8515350" y="24203025"/>
          <a:ext cx="4085714" cy="4714286"/>
        </a:xfrm>
        <a:prstGeom prst="rect">
          <a:avLst/>
        </a:prstGeom>
      </xdr:spPr>
    </xdr:pic>
    <xdr:clientData/>
  </xdr:twoCellAnchor>
  <xdr:twoCellAnchor editAs="oneCell">
    <xdr:from>
      <xdr:col>1</xdr:col>
      <xdr:colOff>0</xdr:colOff>
      <xdr:row>90</xdr:row>
      <xdr:rowOff>0</xdr:rowOff>
    </xdr:from>
    <xdr:to>
      <xdr:col>8</xdr:col>
      <xdr:colOff>599317</xdr:colOff>
      <xdr:row>115</xdr:row>
      <xdr:rowOff>47024</xdr:rowOff>
    </xdr:to>
    <xdr:pic>
      <xdr:nvPicPr>
        <xdr:cNvPr id="2" name="Picture 1">
          <a:extLst>
            <a:ext uri="{FF2B5EF4-FFF2-40B4-BE49-F238E27FC236}">
              <a16:creationId xmlns:a16="http://schemas.microsoft.com/office/drawing/2014/main" id="{759B2EA4-E033-4653-B5F3-294B1E53F4AD}"/>
            </a:ext>
          </a:extLst>
        </xdr:cNvPr>
        <xdr:cNvPicPr>
          <a:picLocks noChangeAspect="1"/>
        </xdr:cNvPicPr>
      </xdr:nvPicPr>
      <xdr:blipFill>
        <a:blip xmlns:r="http://schemas.openxmlformats.org/officeDocument/2006/relationships" r:embed="rId3"/>
        <a:stretch>
          <a:fillRect/>
        </a:stretch>
      </xdr:blipFill>
      <xdr:spPr>
        <a:xfrm>
          <a:off x="609600" y="29432250"/>
          <a:ext cx="6066667" cy="4809524"/>
        </a:xfrm>
        <a:prstGeom prst="rect">
          <a:avLst/>
        </a:prstGeom>
      </xdr:spPr>
    </xdr:pic>
    <xdr:clientData/>
  </xdr:twoCellAnchor>
  <xdr:twoCellAnchor editAs="oneCell">
    <xdr:from>
      <xdr:col>1</xdr:col>
      <xdr:colOff>0</xdr:colOff>
      <xdr:row>118</xdr:row>
      <xdr:rowOff>0</xdr:rowOff>
    </xdr:from>
    <xdr:to>
      <xdr:col>14</xdr:col>
      <xdr:colOff>608383</xdr:colOff>
      <xdr:row>147</xdr:row>
      <xdr:rowOff>18357</xdr:rowOff>
    </xdr:to>
    <xdr:pic>
      <xdr:nvPicPr>
        <xdr:cNvPr id="5" name="Picture 4">
          <a:extLst>
            <a:ext uri="{FF2B5EF4-FFF2-40B4-BE49-F238E27FC236}">
              <a16:creationId xmlns:a16="http://schemas.microsoft.com/office/drawing/2014/main" id="{D2EAFCB7-96CA-4772-9427-0C48EE0D8FF2}"/>
            </a:ext>
          </a:extLst>
        </xdr:cNvPr>
        <xdr:cNvPicPr>
          <a:picLocks noChangeAspect="1"/>
        </xdr:cNvPicPr>
      </xdr:nvPicPr>
      <xdr:blipFill>
        <a:blip xmlns:r="http://schemas.openxmlformats.org/officeDocument/2006/relationships" r:embed="rId4"/>
        <a:stretch>
          <a:fillRect/>
        </a:stretch>
      </xdr:blipFill>
      <xdr:spPr>
        <a:xfrm>
          <a:off x="609600" y="34766250"/>
          <a:ext cx="9733333" cy="5542857"/>
        </a:xfrm>
        <a:prstGeom prst="rect">
          <a:avLst/>
        </a:prstGeom>
      </xdr:spPr>
    </xdr:pic>
    <xdr:clientData/>
  </xdr:twoCellAnchor>
  <xdr:twoCellAnchor editAs="oneCell">
    <xdr:from>
      <xdr:col>1</xdr:col>
      <xdr:colOff>0</xdr:colOff>
      <xdr:row>148</xdr:row>
      <xdr:rowOff>0</xdr:rowOff>
    </xdr:from>
    <xdr:to>
      <xdr:col>14</xdr:col>
      <xdr:colOff>151240</xdr:colOff>
      <xdr:row>170</xdr:row>
      <xdr:rowOff>28048</xdr:rowOff>
    </xdr:to>
    <xdr:pic>
      <xdr:nvPicPr>
        <xdr:cNvPr id="7" name="Picture 6">
          <a:extLst>
            <a:ext uri="{FF2B5EF4-FFF2-40B4-BE49-F238E27FC236}">
              <a16:creationId xmlns:a16="http://schemas.microsoft.com/office/drawing/2014/main" id="{7A37A465-9C91-4450-9FE1-68E81C59301A}"/>
            </a:ext>
          </a:extLst>
        </xdr:cNvPr>
        <xdr:cNvPicPr>
          <a:picLocks noChangeAspect="1"/>
        </xdr:cNvPicPr>
      </xdr:nvPicPr>
      <xdr:blipFill>
        <a:blip xmlns:r="http://schemas.openxmlformats.org/officeDocument/2006/relationships" r:embed="rId5"/>
        <a:stretch>
          <a:fillRect/>
        </a:stretch>
      </xdr:blipFill>
      <xdr:spPr>
        <a:xfrm>
          <a:off x="609600" y="40481250"/>
          <a:ext cx="9276190" cy="42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0</xdr:colOff>
      <xdr:row>10</xdr:row>
      <xdr:rowOff>0</xdr:rowOff>
    </xdr:from>
    <xdr:to>
      <xdr:col>23</xdr:col>
      <xdr:colOff>475276</xdr:colOff>
      <xdr:row>26</xdr:row>
      <xdr:rowOff>14849</xdr:rowOff>
    </xdr:to>
    <xdr:pic>
      <xdr:nvPicPr>
        <xdr:cNvPr id="2" name="Picture 1">
          <a:extLst>
            <a:ext uri="{FF2B5EF4-FFF2-40B4-BE49-F238E27FC236}">
              <a16:creationId xmlns:a16="http://schemas.microsoft.com/office/drawing/2014/main" id="{16E0DABA-7E73-4644-9C6F-FD22CD21A13A}"/>
            </a:ext>
          </a:extLst>
        </xdr:cNvPr>
        <xdr:cNvPicPr>
          <a:picLocks noChangeAspect="1"/>
        </xdr:cNvPicPr>
      </xdr:nvPicPr>
      <xdr:blipFill>
        <a:blip xmlns:r="http://schemas.openxmlformats.org/officeDocument/2006/relationships" r:embed="rId1"/>
        <a:stretch>
          <a:fillRect/>
        </a:stretch>
      </xdr:blipFill>
      <xdr:spPr>
        <a:xfrm>
          <a:off x="6705600" y="2011680"/>
          <a:ext cx="7790476" cy="3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32</xdr:col>
      <xdr:colOff>561975</xdr:colOff>
      <xdr:row>35</xdr:row>
      <xdr:rowOff>133350</xdr:rowOff>
    </xdr:to>
    <xdr:pic>
      <xdr:nvPicPr>
        <xdr:cNvPr id="2" name="Picture 1">
          <a:extLst>
            <a:ext uri="{FF2B5EF4-FFF2-40B4-BE49-F238E27FC236}">
              <a16:creationId xmlns:a16="http://schemas.microsoft.com/office/drawing/2014/main" id="{541661CC-4C83-4282-8827-A1DEC9AC01BD}"/>
            </a:ext>
          </a:extLst>
        </xdr:cNvPr>
        <xdr:cNvPicPr>
          <a:picLocks noChangeAspect="1"/>
        </xdr:cNvPicPr>
      </xdr:nvPicPr>
      <xdr:blipFill>
        <a:blip xmlns:r="http://schemas.openxmlformats.org/officeDocument/2006/relationships" r:embed="rId1"/>
        <a:stretch>
          <a:fillRect/>
        </a:stretch>
      </xdr:blipFill>
      <xdr:spPr>
        <a:xfrm>
          <a:off x="11210925" y="381000"/>
          <a:ext cx="7267575" cy="6515100"/>
        </a:xfrm>
        <a:prstGeom prst="rect">
          <a:avLst/>
        </a:prstGeom>
      </xdr:spPr>
    </xdr:pic>
    <xdr:clientData/>
  </xdr:twoCellAnchor>
  <xdr:twoCellAnchor editAs="oneCell">
    <xdr:from>
      <xdr:col>20</xdr:col>
      <xdr:colOff>0</xdr:colOff>
      <xdr:row>41</xdr:row>
      <xdr:rowOff>0</xdr:rowOff>
    </xdr:from>
    <xdr:to>
      <xdr:col>43</xdr:col>
      <xdr:colOff>369676</xdr:colOff>
      <xdr:row>74</xdr:row>
      <xdr:rowOff>155436</xdr:rowOff>
    </xdr:to>
    <xdr:pic>
      <xdr:nvPicPr>
        <xdr:cNvPr id="3" name="Picture 2">
          <a:extLst>
            <a:ext uri="{FF2B5EF4-FFF2-40B4-BE49-F238E27FC236}">
              <a16:creationId xmlns:a16="http://schemas.microsoft.com/office/drawing/2014/main" id="{2146CC71-2147-412B-BF9A-A13141DE4C24}"/>
            </a:ext>
          </a:extLst>
        </xdr:cNvPr>
        <xdr:cNvPicPr>
          <a:picLocks noChangeAspect="1"/>
        </xdr:cNvPicPr>
      </xdr:nvPicPr>
      <xdr:blipFill>
        <a:blip xmlns:r="http://schemas.openxmlformats.org/officeDocument/2006/relationships" r:embed="rId2"/>
        <a:stretch>
          <a:fillRect/>
        </a:stretch>
      </xdr:blipFill>
      <xdr:spPr>
        <a:xfrm>
          <a:off x="10622280" y="7589520"/>
          <a:ext cx="14390476" cy="6190476"/>
        </a:xfrm>
        <a:prstGeom prst="rect">
          <a:avLst/>
        </a:prstGeom>
      </xdr:spPr>
    </xdr:pic>
    <xdr:clientData/>
  </xdr:twoCellAnchor>
  <xdr:twoCellAnchor editAs="oneCell">
    <xdr:from>
      <xdr:col>4</xdr:col>
      <xdr:colOff>0</xdr:colOff>
      <xdr:row>72</xdr:row>
      <xdr:rowOff>0</xdr:rowOff>
    </xdr:from>
    <xdr:to>
      <xdr:col>23</xdr:col>
      <xdr:colOff>365760</xdr:colOff>
      <xdr:row>143</xdr:row>
      <xdr:rowOff>62362</xdr:rowOff>
    </xdr:to>
    <xdr:pic>
      <xdr:nvPicPr>
        <xdr:cNvPr id="4" name="Picture 3">
          <a:extLst>
            <a:ext uri="{FF2B5EF4-FFF2-40B4-BE49-F238E27FC236}">
              <a16:creationId xmlns:a16="http://schemas.microsoft.com/office/drawing/2014/main" id="{304EBEDD-F0A9-461A-B325-386B9043CB01}"/>
            </a:ext>
          </a:extLst>
        </xdr:cNvPr>
        <xdr:cNvPicPr>
          <a:picLocks noChangeAspect="1"/>
        </xdr:cNvPicPr>
      </xdr:nvPicPr>
      <xdr:blipFill>
        <a:blip xmlns:r="http://schemas.openxmlformats.org/officeDocument/2006/relationships" r:embed="rId3"/>
        <a:stretch>
          <a:fillRect/>
        </a:stretch>
      </xdr:blipFill>
      <xdr:spPr>
        <a:xfrm>
          <a:off x="2697480" y="13258800"/>
          <a:ext cx="11582400" cy="130468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358140</xdr:colOff>
      <xdr:row>2</xdr:row>
      <xdr:rowOff>68580</xdr:rowOff>
    </xdr:from>
    <xdr:to>
      <xdr:col>23</xdr:col>
      <xdr:colOff>243169</xdr:colOff>
      <xdr:row>28</xdr:row>
      <xdr:rowOff>85129</xdr:rowOff>
    </xdr:to>
    <xdr:pic>
      <xdr:nvPicPr>
        <xdr:cNvPr id="2" name="Picture 1">
          <a:extLst>
            <a:ext uri="{FF2B5EF4-FFF2-40B4-BE49-F238E27FC236}">
              <a16:creationId xmlns:a16="http://schemas.microsoft.com/office/drawing/2014/main" id="{2D8E340A-6E5E-42B8-B38D-56512EDF4EC1}"/>
            </a:ext>
          </a:extLst>
        </xdr:cNvPr>
        <xdr:cNvPicPr>
          <a:picLocks noChangeAspect="1"/>
        </xdr:cNvPicPr>
      </xdr:nvPicPr>
      <xdr:blipFill>
        <a:blip xmlns:r="http://schemas.openxmlformats.org/officeDocument/2006/relationships" r:embed="rId1"/>
        <a:stretch>
          <a:fillRect/>
        </a:stretch>
      </xdr:blipFill>
      <xdr:spPr>
        <a:xfrm>
          <a:off x="8892540" y="434340"/>
          <a:ext cx="5371429" cy="4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12</xdr:col>
      <xdr:colOff>351619</xdr:colOff>
      <xdr:row>31</xdr:row>
      <xdr:rowOff>151738</xdr:rowOff>
    </xdr:to>
    <xdr:pic>
      <xdr:nvPicPr>
        <xdr:cNvPr id="2" name="Picture 1">
          <a:extLst>
            <a:ext uri="{FF2B5EF4-FFF2-40B4-BE49-F238E27FC236}">
              <a16:creationId xmlns:a16="http://schemas.microsoft.com/office/drawing/2014/main" id="{E2B0D7FA-9063-41DF-8EF2-33FEB384D240}"/>
            </a:ext>
          </a:extLst>
        </xdr:cNvPr>
        <xdr:cNvPicPr>
          <a:picLocks noChangeAspect="1"/>
        </xdr:cNvPicPr>
      </xdr:nvPicPr>
      <xdr:blipFill>
        <a:blip xmlns:r="http://schemas.openxmlformats.org/officeDocument/2006/relationships" r:embed="rId1"/>
        <a:stretch>
          <a:fillRect/>
        </a:stretch>
      </xdr:blipFill>
      <xdr:spPr>
        <a:xfrm>
          <a:off x="1219200" y="762000"/>
          <a:ext cx="6447619" cy="52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12</xdr:col>
      <xdr:colOff>27733</xdr:colOff>
      <xdr:row>67</xdr:row>
      <xdr:rowOff>85024</xdr:rowOff>
    </xdr:to>
    <xdr:pic>
      <xdr:nvPicPr>
        <xdr:cNvPr id="2" name="Picture 1">
          <a:extLst>
            <a:ext uri="{FF2B5EF4-FFF2-40B4-BE49-F238E27FC236}">
              <a16:creationId xmlns:a16="http://schemas.microsoft.com/office/drawing/2014/main" id="{6FD3856B-88E7-499B-966D-B4989390167E}"/>
            </a:ext>
          </a:extLst>
        </xdr:cNvPr>
        <xdr:cNvPicPr>
          <a:picLocks noChangeAspect="1"/>
        </xdr:cNvPicPr>
      </xdr:nvPicPr>
      <xdr:blipFill>
        <a:blip xmlns:r="http://schemas.openxmlformats.org/officeDocument/2006/relationships" r:embed="rId1"/>
        <a:stretch>
          <a:fillRect/>
        </a:stretch>
      </xdr:blipFill>
      <xdr:spPr>
        <a:xfrm>
          <a:off x="609600" y="7239000"/>
          <a:ext cx="6733333" cy="5609524"/>
        </a:xfrm>
        <a:prstGeom prst="rect">
          <a:avLst/>
        </a:prstGeom>
      </xdr:spPr>
    </xdr:pic>
    <xdr:clientData/>
  </xdr:twoCellAnchor>
  <xdr:twoCellAnchor editAs="oneCell">
    <xdr:from>
      <xdr:col>1</xdr:col>
      <xdr:colOff>0</xdr:colOff>
      <xdr:row>5</xdr:row>
      <xdr:rowOff>0</xdr:rowOff>
    </xdr:from>
    <xdr:to>
      <xdr:col>10</xdr:col>
      <xdr:colOff>457200</xdr:colOff>
      <xdr:row>25</xdr:row>
      <xdr:rowOff>175895</xdr:rowOff>
    </xdr:to>
    <xdr:pic>
      <xdr:nvPicPr>
        <xdr:cNvPr id="3" name="Picture 2">
          <a:extLst>
            <a:ext uri="{FF2B5EF4-FFF2-40B4-BE49-F238E27FC236}">
              <a16:creationId xmlns:a16="http://schemas.microsoft.com/office/drawing/2014/main" id="{0A3B8943-BFD2-4FD7-A378-CBF171D671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2500"/>
          <a:ext cx="5943600" cy="3985895"/>
        </a:xfrm>
        <a:prstGeom prst="rect">
          <a:avLst/>
        </a:prstGeom>
        <a:noFill/>
        <a:ln>
          <a:noFill/>
        </a:ln>
      </xdr:spPr>
    </xdr:pic>
    <xdr:clientData/>
  </xdr:twoCellAnchor>
  <xdr:twoCellAnchor editAs="oneCell">
    <xdr:from>
      <xdr:col>14</xdr:col>
      <xdr:colOff>0</xdr:colOff>
      <xdr:row>38</xdr:row>
      <xdr:rowOff>0</xdr:rowOff>
    </xdr:from>
    <xdr:to>
      <xdr:col>23</xdr:col>
      <xdr:colOff>246933</xdr:colOff>
      <xdr:row>60</xdr:row>
      <xdr:rowOff>85190</xdr:rowOff>
    </xdr:to>
    <xdr:pic>
      <xdr:nvPicPr>
        <xdr:cNvPr id="4" name="Picture 3">
          <a:extLst>
            <a:ext uri="{FF2B5EF4-FFF2-40B4-BE49-F238E27FC236}">
              <a16:creationId xmlns:a16="http://schemas.microsoft.com/office/drawing/2014/main" id="{7F77FB58-088F-489D-A7A8-1F5FF37B781E}"/>
            </a:ext>
          </a:extLst>
        </xdr:cNvPr>
        <xdr:cNvPicPr>
          <a:picLocks noChangeAspect="1"/>
        </xdr:cNvPicPr>
      </xdr:nvPicPr>
      <xdr:blipFill>
        <a:blip xmlns:r="http://schemas.openxmlformats.org/officeDocument/2006/relationships" r:embed="rId3"/>
        <a:stretch>
          <a:fillRect/>
        </a:stretch>
      </xdr:blipFill>
      <xdr:spPr>
        <a:xfrm>
          <a:off x="8534400" y="7239000"/>
          <a:ext cx="5733333" cy="4276190"/>
        </a:xfrm>
        <a:prstGeom prst="rect">
          <a:avLst/>
        </a:prstGeom>
      </xdr:spPr>
    </xdr:pic>
    <xdr:clientData/>
  </xdr:twoCellAnchor>
  <xdr:twoCellAnchor editAs="oneCell">
    <xdr:from>
      <xdr:col>12</xdr:col>
      <xdr:colOff>0</xdr:colOff>
      <xdr:row>6</xdr:row>
      <xdr:rowOff>0</xdr:rowOff>
    </xdr:from>
    <xdr:to>
      <xdr:col>21</xdr:col>
      <xdr:colOff>219075</xdr:colOff>
      <xdr:row>28</xdr:row>
      <xdr:rowOff>9525</xdr:rowOff>
    </xdr:to>
    <xdr:pic>
      <xdr:nvPicPr>
        <xdr:cNvPr id="5" name="Picture 4">
          <a:extLst>
            <a:ext uri="{FF2B5EF4-FFF2-40B4-BE49-F238E27FC236}">
              <a16:creationId xmlns:a16="http://schemas.microsoft.com/office/drawing/2014/main" id="{A515C3F9-06A3-4452-ACEC-97CB3EEECA3E}"/>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15200" y="1143000"/>
          <a:ext cx="5705475" cy="420052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276225</xdr:colOff>
      <xdr:row>20</xdr:row>
      <xdr:rowOff>161924</xdr:rowOff>
    </xdr:from>
    <xdr:to>
      <xdr:col>14</xdr:col>
      <xdr:colOff>295275</xdr:colOff>
      <xdr:row>41</xdr:row>
      <xdr:rowOff>57149</xdr:rowOff>
    </xdr:to>
    <xdr:graphicFrame macro="">
      <xdr:nvGraphicFramePr>
        <xdr:cNvPr id="2" name="Chart 1">
          <a:extLst>
            <a:ext uri="{FF2B5EF4-FFF2-40B4-BE49-F238E27FC236}">
              <a16:creationId xmlns:a16="http://schemas.microsoft.com/office/drawing/2014/main" id="{1EF2CBDF-6B0F-4F9D-847E-D21483120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43</xdr:row>
      <xdr:rowOff>0</xdr:rowOff>
    </xdr:from>
    <xdr:to>
      <xdr:col>18</xdr:col>
      <xdr:colOff>533400</xdr:colOff>
      <xdr:row>75</xdr:row>
      <xdr:rowOff>152400</xdr:rowOff>
    </xdr:to>
    <xdr:pic>
      <xdr:nvPicPr>
        <xdr:cNvPr id="3" name="Picture 2">
          <a:extLst>
            <a:ext uri="{FF2B5EF4-FFF2-40B4-BE49-F238E27FC236}">
              <a16:creationId xmlns:a16="http://schemas.microsoft.com/office/drawing/2014/main" id="{07DAA2F3-CFF3-4580-8424-BEB811B7A7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8924925"/>
          <a:ext cx="7153275"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85725</xdr:colOff>
      <xdr:row>19</xdr:row>
      <xdr:rowOff>85725</xdr:rowOff>
    </xdr:from>
    <xdr:to>
      <xdr:col>31</xdr:col>
      <xdr:colOff>447675</xdr:colOff>
      <xdr:row>33</xdr:row>
      <xdr:rowOff>161925</xdr:rowOff>
    </xdr:to>
    <xdr:graphicFrame macro="">
      <xdr:nvGraphicFramePr>
        <xdr:cNvPr id="9" name="Chart 8">
          <a:extLst>
            <a:ext uri="{FF2B5EF4-FFF2-40B4-BE49-F238E27FC236}">
              <a16:creationId xmlns:a16="http://schemas.microsoft.com/office/drawing/2014/main" id="{86F56B22-19D2-4BEC-AE43-3374AC606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1152525</xdr:colOff>
      <xdr:row>34</xdr:row>
      <xdr:rowOff>85725</xdr:rowOff>
    </xdr:from>
    <xdr:to>
      <xdr:col>28</xdr:col>
      <xdr:colOff>589832</xdr:colOff>
      <xdr:row>52</xdr:row>
      <xdr:rowOff>28154</xdr:rowOff>
    </xdr:to>
    <xdr:pic>
      <xdr:nvPicPr>
        <xdr:cNvPr id="10" name="Picture 9">
          <a:extLst>
            <a:ext uri="{FF2B5EF4-FFF2-40B4-BE49-F238E27FC236}">
              <a16:creationId xmlns:a16="http://schemas.microsoft.com/office/drawing/2014/main" id="{A8BC1B67-02BF-42D4-882F-ED990E3EC940}"/>
            </a:ext>
          </a:extLst>
        </xdr:cNvPr>
        <xdr:cNvPicPr>
          <a:picLocks noChangeAspect="1"/>
        </xdr:cNvPicPr>
      </xdr:nvPicPr>
      <xdr:blipFill>
        <a:blip xmlns:r="http://schemas.openxmlformats.org/officeDocument/2006/relationships" r:embed="rId4"/>
        <a:stretch>
          <a:fillRect/>
        </a:stretch>
      </xdr:blipFill>
      <xdr:spPr>
        <a:xfrm>
          <a:off x="15411450" y="7296150"/>
          <a:ext cx="5742857" cy="3371429"/>
        </a:xfrm>
        <a:prstGeom prst="rect">
          <a:avLst/>
        </a:prstGeom>
      </xdr:spPr>
    </xdr:pic>
    <xdr:clientData/>
  </xdr:twoCellAnchor>
  <xdr:twoCellAnchor editAs="oneCell">
    <xdr:from>
      <xdr:col>20</xdr:col>
      <xdr:colOff>0</xdr:colOff>
      <xdr:row>54</xdr:row>
      <xdr:rowOff>0</xdr:rowOff>
    </xdr:from>
    <xdr:to>
      <xdr:col>27</xdr:col>
      <xdr:colOff>599467</xdr:colOff>
      <xdr:row>78</xdr:row>
      <xdr:rowOff>151809</xdr:rowOff>
    </xdr:to>
    <xdr:pic>
      <xdr:nvPicPr>
        <xdr:cNvPr id="11" name="Picture 10">
          <a:extLst>
            <a:ext uri="{FF2B5EF4-FFF2-40B4-BE49-F238E27FC236}">
              <a16:creationId xmlns:a16="http://schemas.microsoft.com/office/drawing/2014/main" id="{5E61EA2C-1D37-4E18-8065-073E85BED190}"/>
            </a:ext>
          </a:extLst>
        </xdr:cNvPr>
        <xdr:cNvPicPr>
          <a:picLocks noChangeAspect="1"/>
        </xdr:cNvPicPr>
      </xdr:nvPicPr>
      <xdr:blipFill>
        <a:blip xmlns:r="http://schemas.openxmlformats.org/officeDocument/2006/relationships" r:embed="rId5"/>
        <a:stretch>
          <a:fillRect/>
        </a:stretch>
      </xdr:blipFill>
      <xdr:spPr>
        <a:xfrm>
          <a:off x="15687675" y="11020425"/>
          <a:ext cx="4866667" cy="4723809"/>
        </a:xfrm>
        <a:prstGeom prst="rect">
          <a:avLst/>
        </a:prstGeom>
      </xdr:spPr>
    </xdr:pic>
    <xdr:clientData/>
  </xdr:twoCellAnchor>
  <xdr:twoCellAnchor editAs="oneCell">
    <xdr:from>
      <xdr:col>20</xdr:col>
      <xdr:colOff>0</xdr:colOff>
      <xdr:row>80</xdr:row>
      <xdr:rowOff>0</xdr:rowOff>
    </xdr:from>
    <xdr:to>
      <xdr:col>29</xdr:col>
      <xdr:colOff>246933</xdr:colOff>
      <xdr:row>98</xdr:row>
      <xdr:rowOff>18619</xdr:rowOff>
    </xdr:to>
    <xdr:pic>
      <xdr:nvPicPr>
        <xdr:cNvPr id="12" name="Picture 11">
          <a:extLst>
            <a:ext uri="{FF2B5EF4-FFF2-40B4-BE49-F238E27FC236}">
              <a16:creationId xmlns:a16="http://schemas.microsoft.com/office/drawing/2014/main" id="{7A40B6E1-2CD6-44D5-AE51-D06805920ED1}"/>
            </a:ext>
          </a:extLst>
        </xdr:cNvPr>
        <xdr:cNvPicPr>
          <a:picLocks noChangeAspect="1"/>
        </xdr:cNvPicPr>
      </xdr:nvPicPr>
      <xdr:blipFill>
        <a:blip xmlns:r="http://schemas.openxmlformats.org/officeDocument/2006/relationships" r:embed="rId6"/>
        <a:stretch>
          <a:fillRect/>
        </a:stretch>
      </xdr:blipFill>
      <xdr:spPr>
        <a:xfrm>
          <a:off x="15687675" y="15973425"/>
          <a:ext cx="5733333" cy="34476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276225</xdr:colOff>
      <xdr:row>20</xdr:row>
      <xdr:rowOff>161924</xdr:rowOff>
    </xdr:from>
    <xdr:to>
      <xdr:col>14</xdr:col>
      <xdr:colOff>295275</xdr:colOff>
      <xdr:row>41</xdr:row>
      <xdr:rowOff>57149</xdr:rowOff>
    </xdr:to>
    <xdr:graphicFrame macro="">
      <xdr:nvGraphicFramePr>
        <xdr:cNvPr id="2" name="Chart 1">
          <a:extLst>
            <a:ext uri="{FF2B5EF4-FFF2-40B4-BE49-F238E27FC236}">
              <a16:creationId xmlns:a16="http://schemas.microsoft.com/office/drawing/2014/main" id="{ED47B062-F15E-4A73-BE63-464AB2CDB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43</xdr:row>
      <xdr:rowOff>0</xdr:rowOff>
    </xdr:from>
    <xdr:to>
      <xdr:col>18</xdr:col>
      <xdr:colOff>533400</xdr:colOff>
      <xdr:row>75</xdr:row>
      <xdr:rowOff>152400</xdr:rowOff>
    </xdr:to>
    <xdr:pic>
      <xdr:nvPicPr>
        <xdr:cNvPr id="3" name="Picture 2">
          <a:extLst>
            <a:ext uri="{FF2B5EF4-FFF2-40B4-BE49-F238E27FC236}">
              <a16:creationId xmlns:a16="http://schemas.microsoft.com/office/drawing/2014/main" id="{8E8F70A6-1299-443D-8131-F30C406232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8924925"/>
          <a:ext cx="7153275"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85725</xdr:colOff>
      <xdr:row>19</xdr:row>
      <xdr:rowOff>85725</xdr:rowOff>
    </xdr:from>
    <xdr:to>
      <xdr:col>31</xdr:col>
      <xdr:colOff>447675</xdr:colOff>
      <xdr:row>33</xdr:row>
      <xdr:rowOff>161925</xdr:rowOff>
    </xdr:to>
    <xdr:graphicFrame macro="">
      <xdr:nvGraphicFramePr>
        <xdr:cNvPr id="4" name="Chart 3">
          <a:extLst>
            <a:ext uri="{FF2B5EF4-FFF2-40B4-BE49-F238E27FC236}">
              <a16:creationId xmlns:a16="http://schemas.microsoft.com/office/drawing/2014/main" id="{196C39AE-994F-44C7-A6D7-52239A35D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1152525</xdr:colOff>
      <xdr:row>34</xdr:row>
      <xdr:rowOff>85725</xdr:rowOff>
    </xdr:from>
    <xdr:to>
      <xdr:col>28</xdr:col>
      <xdr:colOff>589832</xdr:colOff>
      <xdr:row>52</xdr:row>
      <xdr:rowOff>28154</xdr:rowOff>
    </xdr:to>
    <xdr:pic>
      <xdr:nvPicPr>
        <xdr:cNvPr id="5" name="Picture 4">
          <a:extLst>
            <a:ext uri="{FF2B5EF4-FFF2-40B4-BE49-F238E27FC236}">
              <a16:creationId xmlns:a16="http://schemas.microsoft.com/office/drawing/2014/main" id="{9ED562A3-E356-4390-A273-3CD66822FD4D}"/>
            </a:ext>
          </a:extLst>
        </xdr:cNvPr>
        <xdr:cNvPicPr>
          <a:picLocks noChangeAspect="1"/>
        </xdr:cNvPicPr>
      </xdr:nvPicPr>
      <xdr:blipFill>
        <a:blip xmlns:r="http://schemas.openxmlformats.org/officeDocument/2006/relationships" r:embed="rId4"/>
        <a:stretch>
          <a:fillRect/>
        </a:stretch>
      </xdr:blipFill>
      <xdr:spPr>
        <a:xfrm>
          <a:off x="15506700" y="7296150"/>
          <a:ext cx="5742857" cy="3371429"/>
        </a:xfrm>
        <a:prstGeom prst="rect">
          <a:avLst/>
        </a:prstGeom>
      </xdr:spPr>
    </xdr:pic>
    <xdr:clientData/>
  </xdr:twoCellAnchor>
  <xdr:twoCellAnchor editAs="oneCell">
    <xdr:from>
      <xdr:col>20</xdr:col>
      <xdr:colOff>0</xdr:colOff>
      <xdr:row>54</xdr:row>
      <xdr:rowOff>0</xdr:rowOff>
    </xdr:from>
    <xdr:to>
      <xdr:col>27</xdr:col>
      <xdr:colOff>599467</xdr:colOff>
      <xdr:row>78</xdr:row>
      <xdr:rowOff>151809</xdr:rowOff>
    </xdr:to>
    <xdr:pic>
      <xdr:nvPicPr>
        <xdr:cNvPr id="6" name="Picture 5">
          <a:extLst>
            <a:ext uri="{FF2B5EF4-FFF2-40B4-BE49-F238E27FC236}">
              <a16:creationId xmlns:a16="http://schemas.microsoft.com/office/drawing/2014/main" id="{55A16618-04A0-4449-8B20-AE65846FE751}"/>
            </a:ext>
          </a:extLst>
        </xdr:cNvPr>
        <xdr:cNvPicPr>
          <a:picLocks noChangeAspect="1"/>
        </xdr:cNvPicPr>
      </xdr:nvPicPr>
      <xdr:blipFill>
        <a:blip xmlns:r="http://schemas.openxmlformats.org/officeDocument/2006/relationships" r:embed="rId5"/>
        <a:stretch>
          <a:fillRect/>
        </a:stretch>
      </xdr:blipFill>
      <xdr:spPr>
        <a:xfrm>
          <a:off x="15782925" y="11020425"/>
          <a:ext cx="4866667" cy="4723809"/>
        </a:xfrm>
        <a:prstGeom prst="rect">
          <a:avLst/>
        </a:prstGeom>
      </xdr:spPr>
    </xdr:pic>
    <xdr:clientData/>
  </xdr:twoCellAnchor>
  <xdr:twoCellAnchor editAs="oneCell">
    <xdr:from>
      <xdr:col>20</xdr:col>
      <xdr:colOff>0</xdr:colOff>
      <xdr:row>80</xdr:row>
      <xdr:rowOff>0</xdr:rowOff>
    </xdr:from>
    <xdr:to>
      <xdr:col>29</xdr:col>
      <xdr:colOff>246933</xdr:colOff>
      <xdr:row>98</xdr:row>
      <xdr:rowOff>18619</xdr:rowOff>
    </xdr:to>
    <xdr:pic>
      <xdr:nvPicPr>
        <xdr:cNvPr id="7" name="Picture 6">
          <a:extLst>
            <a:ext uri="{FF2B5EF4-FFF2-40B4-BE49-F238E27FC236}">
              <a16:creationId xmlns:a16="http://schemas.microsoft.com/office/drawing/2014/main" id="{51621E6A-445F-48C9-8E5B-5423D13CFFD5}"/>
            </a:ext>
          </a:extLst>
        </xdr:cNvPr>
        <xdr:cNvPicPr>
          <a:picLocks noChangeAspect="1"/>
        </xdr:cNvPicPr>
      </xdr:nvPicPr>
      <xdr:blipFill>
        <a:blip xmlns:r="http://schemas.openxmlformats.org/officeDocument/2006/relationships" r:embed="rId6"/>
        <a:stretch>
          <a:fillRect/>
        </a:stretch>
      </xdr:blipFill>
      <xdr:spPr>
        <a:xfrm>
          <a:off x="15782925" y="15973425"/>
          <a:ext cx="5733333" cy="34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0</xdr:colOff>
      <xdr:row>39</xdr:row>
      <xdr:rowOff>0</xdr:rowOff>
    </xdr:from>
    <xdr:to>
      <xdr:col>19</xdr:col>
      <xdr:colOff>571500</xdr:colOff>
      <xdr:row>51</xdr:row>
      <xdr:rowOff>104775</xdr:rowOff>
    </xdr:to>
    <xdr:pic>
      <xdr:nvPicPr>
        <xdr:cNvPr id="2" name="Picture 1" descr="cid:image001.png@01D35298.8211D630">
          <a:extLst>
            <a:ext uri="{FF2B5EF4-FFF2-40B4-BE49-F238E27FC236}">
              <a16:creationId xmlns:a16="http://schemas.microsoft.com/office/drawing/2014/main" id="{80CE7664-7C06-4D83-A8BF-B68EFAE15A0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124950" y="9439275"/>
          <a:ext cx="4838700" cy="239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600075</xdr:colOff>
      <xdr:row>1</xdr:row>
      <xdr:rowOff>161925</xdr:rowOff>
    </xdr:from>
    <xdr:to>
      <xdr:col>23</xdr:col>
      <xdr:colOff>265599</xdr:colOff>
      <xdr:row>19</xdr:row>
      <xdr:rowOff>56734</xdr:rowOff>
    </xdr:to>
    <xdr:pic>
      <xdr:nvPicPr>
        <xdr:cNvPr id="2" name="Picture 1">
          <a:extLst>
            <a:ext uri="{FF2B5EF4-FFF2-40B4-BE49-F238E27FC236}">
              <a16:creationId xmlns:a16="http://schemas.microsoft.com/office/drawing/2014/main" id="{6FC0727C-CB3D-40E3-B094-ECC42564435E}"/>
            </a:ext>
          </a:extLst>
        </xdr:cNvPr>
        <xdr:cNvPicPr>
          <a:picLocks noChangeAspect="1"/>
        </xdr:cNvPicPr>
      </xdr:nvPicPr>
      <xdr:blipFill>
        <a:blip xmlns:r="http://schemas.openxmlformats.org/officeDocument/2006/relationships" r:embed="rId1"/>
        <a:stretch>
          <a:fillRect/>
        </a:stretch>
      </xdr:blipFill>
      <xdr:spPr>
        <a:xfrm>
          <a:off x="6600825" y="352425"/>
          <a:ext cx="8809524" cy="3323809"/>
        </a:xfrm>
        <a:prstGeom prst="rect">
          <a:avLst/>
        </a:prstGeom>
      </xdr:spPr>
    </xdr:pic>
    <xdr:clientData/>
  </xdr:twoCellAnchor>
  <xdr:twoCellAnchor editAs="oneCell">
    <xdr:from>
      <xdr:col>9</xdr:col>
      <xdr:colOff>0</xdr:colOff>
      <xdr:row>26</xdr:row>
      <xdr:rowOff>0</xdr:rowOff>
    </xdr:from>
    <xdr:to>
      <xdr:col>19</xdr:col>
      <xdr:colOff>56381</xdr:colOff>
      <xdr:row>47</xdr:row>
      <xdr:rowOff>170929</xdr:rowOff>
    </xdr:to>
    <xdr:pic>
      <xdr:nvPicPr>
        <xdr:cNvPr id="3" name="Picture 2">
          <a:extLst>
            <a:ext uri="{FF2B5EF4-FFF2-40B4-BE49-F238E27FC236}">
              <a16:creationId xmlns:a16="http://schemas.microsoft.com/office/drawing/2014/main" id="{281FEB2B-A7B0-449B-A64A-B9E0CB9878CC}"/>
            </a:ext>
          </a:extLst>
        </xdr:cNvPr>
        <xdr:cNvPicPr>
          <a:picLocks noChangeAspect="1"/>
        </xdr:cNvPicPr>
      </xdr:nvPicPr>
      <xdr:blipFill>
        <a:blip xmlns:r="http://schemas.openxmlformats.org/officeDocument/2006/relationships" r:embed="rId2"/>
        <a:stretch>
          <a:fillRect/>
        </a:stretch>
      </xdr:blipFill>
      <xdr:spPr>
        <a:xfrm>
          <a:off x="6953250" y="4191000"/>
          <a:ext cx="6152381" cy="41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mailto:krjones@rti.or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who.int/bulletin/volumes/85/9/06-038414/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56"/>
  <sheetViews>
    <sheetView workbookViewId="0">
      <selection activeCell="B10" sqref="B10"/>
    </sheetView>
  </sheetViews>
  <sheetFormatPr defaultRowHeight="14.4" x14ac:dyDescent="0.3"/>
  <cols>
    <col min="2" max="2" width="38.6640625" customWidth="1"/>
    <col min="3" max="3" width="23.33203125" customWidth="1"/>
    <col min="4" max="4" width="28.6640625" customWidth="1"/>
    <col min="16" max="16" width="24.6640625" customWidth="1"/>
    <col min="18" max="18" width="26.33203125" customWidth="1"/>
    <col min="19" max="19" width="32.44140625" customWidth="1"/>
    <col min="20" max="20" width="10.5546875" customWidth="1"/>
    <col min="21" max="21" width="26.44140625" customWidth="1"/>
    <col min="22" max="22" width="21.88671875" customWidth="1"/>
    <col min="23" max="23" width="18.109375" customWidth="1"/>
    <col min="24" max="24" width="20.5546875" customWidth="1"/>
  </cols>
  <sheetData>
    <row r="1" spans="2:24" x14ac:dyDescent="0.3">
      <c r="R1" s="105" t="s">
        <v>0</v>
      </c>
      <c r="S1" s="105"/>
      <c r="U1" s="105" t="s">
        <v>1</v>
      </c>
      <c r="V1" s="105"/>
      <c r="W1" s="105"/>
      <c r="X1" s="105"/>
    </row>
    <row r="2" spans="2:24" ht="15" thickBot="1" x14ac:dyDescent="0.35">
      <c r="E2" s="109" t="s">
        <v>2</v>
      </c>
      <c r="F2" s="109"/>
      <c r="G2" s="109"/>
      <c r="H2" s="109"/>
      <c r="I2" s="109" t="s">
        <v>3</v>
      </c>
      <c r="J2" s="109"/>
      <c r="K2" s="109"/>
      <c r="L2" s="109"/>
      <c r="M2" s="91"/>
      <c r="N2" s="112" t="s">
        <v>4</v>
      </c>
      <c r="O2" s="112"/>
      <c r="P2" s="94" t="s">
        <v>5</v>
      </c>
      <c r="Q2" s="91"/>
      <c r="R2" s="92" t="s">
        <v>6</v>
      </c>
      <c r="S2" s="92" t="s">
        <v>7</v>
      </c>
      <c r="U2" t="s">
        <v>8</v>
      </c>
      <c r="V2" t="s">
        <v>9</v>
      </c>
      <c r="W2" t="s">
        <v>10</v>
      </c>
      <c r="X2" t="s">
        <v>11</v>
      </c>
    </row>
    <row r="3" spans="2:24" ht="27.6" thickTop="1" thickBot="1" x14ac:dyDescent="0.35">
      <c r="B3" s="1" t="s">
        <v>12</v>
      </c>
      <c r="C3" s="2" t="s">
        <v>13</v>
      </c>
      <c r="D3" s="1" t="s">
        <v>14</v>
      </c>
      <c r="E3" s="11" t="s">
        <v>15</v>
      </c>
      <c r="F3" s="11" t="s">
        <v>16</v>
      </c>
      <c r="G3" s="11" t="s">
        <v>17</v>
      </c>
      <c r="H3" s="12" t="s">
        <v>18</v>
      </c>
      <c r="I3" s="11" t="s">
        <v>15</v>
      </c>
      <c r="J3" s="11" t="s">
        <v>19</v>
      </c>
      <c r="K3" s="11" t="s">
        <v>17</v>
      </c>
      <c r="L3" s="12" t="s">
        <v>18</v>
      </c>
      <c r="M3" s="25"/>
      <c r="N3" s="58" t="s">
        <v>15</v>
      </c>
      <c r="O3" s="58" t="s">
        <v>20</v>
      </c>
      <c r="P3" s="58"/>
      <c r="Q3" s="25"/>
      <c r="R3" s="111" t="s">
        <v>21</v>
      </c>
      <c r="S3" s="111"/>
      <c r="U3" s="106" t="s">
        <v>22</v>
      </c>
      <c r="V3" s="106" t="s">
        <v>23</v>
      </c>
      <c r="W3" s="106" t="s">
        <v>24</v>
      </c>
      <c r="X3" s="106" t="s">
        <v>25</v>
      </c>
    </row>
    <row r="4" spans="2:24" ht="15" thickTop="1" x14ac:dyDescent="0.3">
      <c r="B4" s="3" t="s">
        <v>26</v>
      </c>
      <c r="C4" s="4" t="s">
        <v>27</v>
      </c>
      <c r="D4" s="3"/>
      <c r="E4" s="8">
        <v>2.5009999999999999</v>
      </c>
      <c r="F4" s="8">
        <v>0.86599999999999999</v>
      </c>
      <c r="G4" s="8">
        <v>1</v>
      </c>
      <c r="H4" s="23">
        <v>4</v>
      </c>
      <c r="I4" s="8">
        <v>3.234</v>
      </c>
      <c r="J4" s="8">
        <v>0.57799999999999996</v>
      </c>
      <c r="K4" s="8">
        <v>1.19</v>
      </c>
      <c r="L4" s="23">
        <v>4</v>
      </c>
      <c r="M4" s="26"/>
      <c r="N4" s="63">
        <v>5</v>
      </c>
      <c r="O4" s="64" t="s">
        <v>28</v>
      </c>
      <c r="P4" s="113" t="s">
        <v>29</v>
      </c>
      <c r="Q4" s="26"/>
      <c r="S4" s="110" t="s">
        <v>30</v>
      </c>
      <c r="U4" s="106"/>
      <c r="V4" s="106"/>
      <c r="W4" s="106"/>
      <c r="X4" s="106"/>
    </row>
    <row r="5" spans="2:24" ht="26.4" x14ac:dyDescent="0.3">
      <c r="B5" s="3" t="s">
        <v>31</v>
      </c>
      <c r="C5" s="4" t="s">
        <v>32</v>
      </c>
      <c r="D5" s="3"/>
      <c r="E5" s="8">
        <v>4.5060000000000002</v>
      </c>
      <c r="F5" s="8">
        <v>2.0190000000000001</v>
      </c>
      <c r="G5" s="8">
        <v>1</v>
      </c>
      <c r="H5" s="23">
        <v>8</v>
      </c>
      <c r="I5" s="8">
        <v>4.9009999999999998</v>
      </c>
      <c r="J5" s="8">
        <v>1.8009999999999999</v>
      </c>
      <c r="K5" s="8">
        <v>1.17</v>
      </c>
      <c r="L5" s="23">
        <v>8</v>
      </c>
      <c r="M5" s="26"/>
      <c r="N5" s="63">
        <v>7</v>
      </c>
      <c r="O5" s="65" t="s">
        <v>33</v>
      </c>
      <c r="P5" s="113"/>
      <c r="Q5" s="26"/>
      <c r="S5" s="110"/>
      <c r="U5" s="106"/>
      <c r="V5" s="106"/>
      <c r="W5" s="106"/>
      <c r="X5" s="106"/>
    </row>
    <row r="6" spans="2:24" ht="20.25" customHeight="1" x14ac:dyDescent="0.3">
      <c r="B6" s="3" t="s">
        <v>34</v>
      </c>
      <c r="C6" s="4" t="s">
        <v>32</v>
      </c>
      <c r="D6" s="3" t="s">
        <v>35</v>
      </c>
      <c r="E6" s="8">
        <v>7.1280000000000001</v>
      </c>
      <c r="F6" s="8">
        <v>1.022</v>
      </c>
      <c r="G6" s="8">
        <v>1.2</v>
      </c>
      <c r="H6" s="23">
        <v>8</v>
      </c>
      <c r="I6" s="8">
        <v>7.2850000000000001</v>
      </c>
      <c r="J6" s="8">
        <v>0.78</v>
      </c>
      <c r="K6" s="8">
        <v>3.21</v>
      </c>
      <c r="L6" s="23">
        <v>8</v>
      </c>
      <c r="M6" s="26"/>
      <c r="N6" s="63">
        <v>9</v>
      </c>
      <c r="O6" s="65" t="s">
        <v>33</v>
      </c>
      <c r="P6" s="113"/>
      <c r="Q6" s="26"/>
      <c r="S6" s="110"/>
      <c r="U6" s="106"/>
      <c r="V6" s="106"/>
      <c r="W6" s="106"/>
      <c r="X6" s="106"/>
    </row>
    <row r="7" spans="2:24" ht="25.5" customHeight="1" x14ac:dyDescent="0.3">
      <c r="B7" s="3" t="s">
        <v>36</v>
      </c>
      <c r="C7" s="4" t="s">
        <v>32</v>
      </c>
      <c r="D7" s="3" t="s">
        <v>37</v>
      </c>
      <c r="E7" s="8">
        <v>6.2560000000000002</v>
      </c>
      <c r="F7" s="8">
        <v>1.5389999999999999</v>
      </c>
      <c r="G7" s="8">
        <v>1.01</v>
      </c>
      <c r="H7" s="23">
        <v>8</v>
      </c>
      <c r="I7" s="8">
        <v>6.5519999999999996</v>
      </c>
      <c r="J7" s="8">
        <v>1.25</v>
      </c>
      <c r="K7" s="8">
        <v>2.74</v>
      </c>
      <c r="L7" s="23">
        <v>8</v>
      </c>
      <c r="M7" s="26"/>
      <c r="N7" s="63">
        <v>8</v>
      </c>
      <c r="O7" s="65" t="s">
        <v>33</v>
      </c>
      <c r="P7" s="113"/>
      <c r="Q7" s="26"/>
      <c r="S7" s="110"/>
      <c r="U7" s="106"/>
      <c r="V7" s="106"/>
      <c r="W7" s="106"/>
      <c r="X7" s="106"/>
    </row>
    <row r="8" spans="2:24" x14ac:dyDescent="0.3">
      <c r="B8" s="3" t="s">
        <v>38</v>
      </c>
      <c r="C8" s="4" t="s">
        <v>39</v>
      </c>
      <c r="D8" s="3"/>
      <c r="E8" s="8">
        <v>3.05</v>
      </c>
      <c r="F8" s="8">
        <v>1.704</v>
      </c>
      <c r="G8" s="8">
        <v>0.1</v>
      </c>
      <c r="H8" s="23">
        <v>6</v>
      </c>
      <c r="I8" s="8">
        <v>3.8279999999999998</v>
      </c>
      <c r="J8" s="8">
        <v>1.4039999999999999</v>
      </c>
      <c r="K8" s="8">
        <v>0.23</v>
      </c>
      <c r="L8" s="23">
        <v>6</v>
      </c>
      <c r="M8" s="26"/>
      <c r="N8" s="63">
        <v>3</v>
      </c>
      <c r="O8" s="65" t="s">
        <v>40</v>
      </c>
      <c r="P8" s="107" t="s">
        <v>41</v>
      </c>
      <c r="Q8" s="26"/>
      <c r="S8" t="s">
        <v>42</v>
      </c>
      <c r="U8" s="106"/>
      <c r="V8" s="106"/>
      <c r="W8" s="106"/>
      <c r="X8" s="106"/>
    </row>
    <row r="9" spans="2:24" x14ac:dyDescent="0.3">
      <c r="B9" s="3" t="s">
        <v>43</v>
      </c>
      <c r="C9" s="4" t="s">
        <v>39</v>
      </c>
      <c r="D9" s="3"/>
      <c r="E9" s="8">
        <v>3.0529999999999999</v>
      </c>
      <c r="F9" s="8">
        <v>1.7010000000000001</v>
      </c>
      <c r="G9" s="8">
        <v>0.1</v>
      </c>
      <c r="H9" s="23">
        <v>6</v>
      </c>
      <c r="I9" s="8">
        <v>2.778</v>
      </c>
      <c r="J9" s="8">
        <v>1.4359999999999999</v>
      </c>
      <c r="K9" s="8">
        <v>0.21</v>
      </c>
      <c r="L9" s="23">
        <v>5.99</v>
      </c>
      <c r="M9" s="26"/>
      <c r="N9" s="63">
        <v>2</v>
      </c>
      <c r="O9" s="65" t="s">
        <v>40</v>
      </c>
      <c r="P9" s="107"/>
      <c r="Q9" s="26"/>
      <c r="U9" s="106"/>
      <c r="V9" s="106"/>
      <c r="W9" s="106"/>
      <c r="X9" s="106"/>
    </row>
    <row r="10" spans="2:24" x14ac:dyDescent="0.3">
      <c r="B10" s="3" t="s">
        <v>44</v>
      </c>
      <c r="C10" s="4" t="s">
        <v>39</v>
      </c>
      <c r="D10" s="3"/>
      <c r="E10" s="8">
        <v>3.044</v>
      </c>
      <c r="F10" s="8">
        <v>1.702</v>
      </c>
      <c r="G10" s="8">
        <v>0.1</v>
      </c>
      <c r="H10" s="23">
        <v>6</v>
      </c>
      <c r="I10" s="8">
        <v>3.1280000000000001</v>
      </c>
      <c r="J10" s="8">
        <v>1.61</v>
      </c>
      <c r="K10" s="8">
        <v>0.13</v>
      </c>
      <c r="L10" s="23">
        <v>5.98</v>
      </c>
      <c r="M10" s="26"/>
      <c r="N10" s="63">
        <v>3</v>
      </c>
      <c r="O10" s="65" t="s">
        <v>40</v>
      </c>
      <c r="P10" s="107"/>
      <c r="Q10" s="26"/>
      <c r="U10" s="106"/>
      <c r="V10" s="106"/>
      <c r="W10" s="106"/>
      <c r="X10" s="106"/>
    </row>
    <row r="11" spans="2:24" x14ac:dyDescent="0.3">
      <c r="B11" s="3" t="s">
        <v>45</v>
      </c>
      <c r="C11" s="4" t="s">
        <v>39</v>
      </c>
      <c r="D11" s="3"/>
      <c r="E11" s="8">
        <v>3.0539999999999998</v>
      </c>
      <c r="F11" s="8">
        <v>1.7030000000000001</v>
      </c>
      <c r="G11" s="8">
        <v>0.1</v>
      </c>
      <c r="H11" s="23">
        <v>6</v>
      </c>
      <c r="I11" s="8">
        <v>2.7770000000000001</v>
      </c>
      <c r="J11" s="8">
        <v>1.5669999999999999</v>
      </c>
      <c r="K11" s="8">
        <v>0.12</v>
      </c>
      <c r="L11" s="23">
        <v>5.98</v>
      </c>
      <c r="M11" s="26"/>
      <c r="N11" s="63">
        <v>2</v>
      </c>
      <c r="O11" s="65" t="s">
        <v>40</v>
      </c>
      <c r="P11" s="107"/>
      <c r="Q11" s="26"/>
      <c r="U11" s="106"/>
      <c r="V11" s="106"/>
      <c r="W11" s="106"/>
      <c r="X11" s="106"/>
    </row>
    <row r="12" spans="2:24" x14ac:dyDescent="0.3">
      <c r="B12" s="3" t="s">
        <v>46</v>
      </c>
      <c r="C12" s="4" t="s">
        <v>47</v>
      </c>
      <c r="D12" s="3"/>
      <c r="N12" s="66">
        <v>0.05</v>
      </c>
      <c r="O12" s="93" t="s">
        <v>47</v>
      </c>
      <c r="P12" s="59"/>
      <c r="U12" s="106"/>
      <c r="V12" s="106"/>
      <c r="W12" s="106"/>
      <c r="X12" s="106"/>
    </row>
    <row r="13" spans="2:24" x14ac:dyDescent="0.3">
      <c r="B13" s="3" t="s">
        <v>48</v>
      </c>
      <c r="C13" s="4" t="s">
        <v>47</v>
      </c>
      <c r="D13" s="3"/>
      <c r="N13" s="66">
        <v>0.05</v>
      </c>
      <c r="O13" s="93" t="s">
        <v>47</v>
      </c>
      <c r="P13" s="59"/>
      <c r="U13" s="106"/>
      <c r="V13" s="106"/>
      <c r="W13" s="106"/>
      <c r="X13" s="106"/>
    </row>
    <row r="14" spans="2:24" x14ac:dyDescent="0.3">
      <c r="B14" s="3" t="s">
        <v>49</v>
      </c>
      <c r="C14" s="4" t="s">
        <v>50</v>
      </c>
      <c r="D14" s="3"/>
      <c r="N14" s="85">
        <v>0.5</v>
      </c>
      <c r="O14" s="93" t="s">
        <v>50</v>
      </c>
      <c r="P14" s="59"/>
      <c r="U14" s="106"/>
      <c r="V14" s="106"/>
      <c r="W14" s="106"/>
      <c r="X14" s="106"/>
    </row>
    <row r="15" spans="2:24" x14ac:dyDescent="0.3">
      <c r="B15" s="3" t="s">
        <v>51</v>
      </c>
      <c r="C15" s="4" t="s">
        <v>47</v>
      </c>
      <c r="D15" s="3"/>
      <c r="N15" s="66">
        <v>0.05</v>
      </c>
      <c r="O15" s="93" t="s">
        <v>47</v>
      </c>
      <c r="P15" s="59"/>
    </row>
    <row r="16" spans="2:24" x14ac:dyDescent="0.3">
      <c r="B16" s="3" t="s">
        <v>52</v>
      </c>
      <c r="C16" s="4" t="s">
        <v>53</v>
      </c>
      <c r="D16" s="3"/>
      <c r="E16" s="8">
        <v>2.25</v>
      </c>
      <c r="F16" s="8">
        <v>1.0109999999999999</v>
      </c>
      <c r="G16" s="8">
        <v>0.5</v>
      </c>
      <c r="H16" s="23">
        <v>4</v>
      </c>
      <c r="I16" s="8">
        <v>2.0979999999999999</v>
      </c>
      <c r="J16" s="8">
        <v>0.97399999999999998</v>
      </c>
      <c r="K16" s="8">
        <v>0.51</v>
      </c>
      <c r="L16" s="23">
        <v>4</v>
      </c>
      <c r="M16" s="26"/>
      <c r="N16" s="63">
        <v>2</v>
      </c>
      <c r="O16" s="93" t="s">
        <v>53</v>
      </c>
      <c r="P16" s="58"/>
      <c r="Q16" s="26"/>
    </row>
    <row r="17" spans="2:19" x14ac:dyDescent="0.3">
      <c r="B17" s="3" t="s">
        <v>54</v>
      </c>
      <c r="C17" s="4" t="s">
        <v>55</v>
      </c>
      <c r="D17" s="3"/>
      <c r="E17" s="8">
        <v>2.0499999999999998</v>
      </c>
      <c r="F17" s="8">
        <v>1.1259999999999999</v>
      </c>
      <c r="G17" s="8">
        <v>0.1</v>
      </c>
      <c r="H17" s="23">
        <v>4</v>
      </c>
      <c r="I17" s="8">
        <v>0.80100000000000005</v>
      </c>
      <c r="J17" s="8">
        <v>0.55100000000000005</v>
      </c>
      <c r="K17" s="8">
        <v>0.1</v>
      </c>
      <c r="L17" s="23">
        <v>3.06</v>
      </c>
      <c r="M17" s="26"/>
      <c r="N17" s="63">
        <v>1</v>
      </c>
      <c r="O17" s="93" t="s">
        <v>55</v>
      </c>
      <c r="P17" s="58"/>
      <c r="Q17" s="26"/>
    </row>
    <row r="18" spans="2:19" x14ac:dyDescent="0.3">
      <c r="B18" s="3" t="s">
        <v>56</v>
      </c>
      <c r="C18" s="4" t="s">
        <v>57</v>
      </c>
      <c r="D18" s="3"/>
      <c r="E18" s="8">
        <v>3.2530000000000001</v>
      </c>
      <c r="F18" s="8">
        <v>1.5880000000000001</v>
      </c>
      <c r="G18" s="8">
        <v>0.5</v>
      </c>
      <c r="H18" s="23">
        <v>6</v>
      </c>
      <c r="I18" s="8">
        <v>3.3919999999999999</v>
      </c>
      <c r="J18" s="8">
        <v>1.508</v>
      </c>
      <c r="K18" s="8">
        <v>0.51</v>
      </c>
      <c r="L18" s="23">
        <v>5.99</v>
      </c>
      <c r="M18" s="26"/>
      <c r="N18" s="63">
        <v>3</v>
      </c>
      <c r="O18" s="93" t="s">
        <v>57</v>
      </c>
      <c r="P18" s="58"/>
      <c r="Q18" s="26"/>
    </row>
    <row r="19" spans="2:19" x14ac:dyDescent="0.3">
      <c r="B19" s="3" t="s">
        <v>58</v>
      </c>
      <c r="C19" s="4" t="s">
        <v>55</v>
      </c>
      <c r="D19" s="3"/>
      <c r="E19" s="8">
        <v>2.0510000000000002</v>
      </c>
      <c r="F19" s="8">
        <v>1.1259999999999999</v>
      </c>
      <c r="G19" s="8">
        <v>0.1</v>
      </c>
      <c r="H19" s="23">
        <v>4</v>
      </c>
      <c r="I19" s="8">
        <v>1.8640000000000001</v>
      </c>
      <c r="J19" s="8">
        <v>0.99099999999999999</v>
      </c>
      <c r="K19" s="8">
        <v>0.16</v>
      </c>
      <c r="L19" s="23">
        <v>3.99</v>
      </c>
      <c r="M19" s="26"/>
      <c r="N19" s="63">
        <v>2</v>
      </c>
      <c r="O19" s="93" t="s">
        <v>55</v>
      </c>
      <c r="P19" s="58"/>
      <c r="Q19" s="26"/>
    </row>
    <row r="20" spans="2:19" x14ac:dyDescent="0.3">
      <c r="B20" s="3" t="s">
        <v>59</v>
      </c>
      <c r="C20" s="4" t="s">
        <v>60</v>
      </c>
      <c r="D20" s="3"/>
      <c r="E20" s="8">
        <v>2</v>
      </c>
      <c r="F20" s="8">
        <v>0.57699999999999996</v>
      </c>
      <c r="G20" s="8">
        <v>1</v>
      </c>
      <c r="H20" s="23">
        <v>3</v>
      </c>
      <c r="I20" s="8">
        <v>1.966</v>
      </c>
      <c r="J20" s="8">
        <v>0.57899999999999996</v>
      </c>
      <c r="K20" s="8">
        <v>1</v>
      </c>
      <c r="L20" s="23">
        <v>3</v>
      </c>
      <c r="M20" s="26"/>
      <c r="N20" s="63">
        <v>2</v>
      </c>
      <c r="O20" s="93" t="s">
        <v>60</v>
      </c>
      <c r="P20" s="58"/>
      <c r="Q20" s="26"/>
    </row>
    <row r="21" spans="2:19" x14ac:dyDescent="0.3">
      <c r="B21" s="3" t="s">
        <v>61</v>
      </c>
      <c r="C21" s="4" t="s">
        <v>62</v>
      </c>
      <c r="D21" s="3"/>
      <c r="E21" s="8">
        <v>3</v>
      </c>
      <c r="F21" s="8">
        <v>1.155</v>
      </c>
      <c r="G21" s="8">
        <v>1</v>
      </c>
      <c r="H21" s="23">
        <v>5</v>
      </c>
      <c r="I21" s="8">
        <v>3.4510000000000001</v>
      </c>
      <c r="J21" s="8">
        <v>0.96199999999999997</v>
      </c>
      <c r="K21" s="8">
        <v>1.23</v>
      </c>
      <c r="L21" s="23">
        <v>4.99</v>
      </c>
      <c r="M21" s="26"/>
      <c r="N21" s="63">
        <v>3</v>
      </c>
      <c r="O21" s="93" t="s">
        <v>62</v>
      </c>
      <c r="P21" s="58"/>
      <c r="Q21" s="26"/>
    </row>
    <row r="22" spans="2:19" ht="15" thickBot="1" x14ac:dyDescent="0.35">
      <c r="B22" s="5" t="s">
        <v>63</v>
      </c>
      <c r="C22" s="6" t="s">
        <v>62</v>
      </c>
      <c r="D22" s="5"/>
      <c r="E22" s="8">
        <v>3.0019999999999998</v>
      </c>
      <c r="F22" s="8">
        <v>1.155</v>
      </c>
      <c r="G22" s="8">
        <v>1</v>
      </c>
      <c r="H22" s="23">
        <v>5</v>
      </c>
      <c r="I22" s="8">
        <v>3.3559999999999999</v>
      </c>
      <c r="J22" s="8">
        <v>1.0169999999999999</v>
      </c>
      <c r="K22" s="8">
        <v>1.04</v>
      </c>
      <c r="L22" s="23">
        <v>5</v>
      </c>
      <c r="M22" s="26"/>
      <c r="N22" s="63">
        <v>3</v>
      </c>
      <c r="O22" s="68" t="s">
        <v>62</v>
      </c>
      <c r="P22" s="58"/>
      <c r="Q22" s="26"/>
    </row>
    <row r="23" spans="2:19" ht="15.6" thickTop="1" thickBot="1" x14ac:dyDescent="0.35">
      <c r="N23" s="67"/>
      <c r="O23" s="62"/>
      <c r="P23" s="59"/>
    </row>
    <row r="24" spans="2:19" ht="27.6" thickTop="1" thickBot="1" x14ac:dyDescent="0.35">
      <c r="B24" s="1" t="s">
        <v>64</v>
      </c>
      <c r="C24" s="2" t="s">
        <v>65</v>
      </c>
      <c r="D24" s="1" t="s">
        <v>14</v>
      </c>
      <c r="N24" s="67"/>
      <c r="O24" s="62"/>
      <c r="P24" s="59"/>
    </row>
    <row r="25" spans="2:19" ht="15" thickTop="1" x14ac:dyDescent="0.3">
      <c r="B25" s="3" t="s">
        <v>66</v>
      </c>
      <c r="C25" s="4" t="s">
        <v>67</v>
      </c>
      <c r="D25" s="3"/>
      <c r="E25" s="15">
        <v>3.75</v>
      </c>
      <c r="F25" s="15">
        <v>1.3009999999999999</v>
      </c>
      <c r="G25" s="15">
        <v>1.5</v>
      </c>
      <c r="H25" s="16">
        <v>6</v>
      </c>
      <c r="I25" s="15">
        <v>4.5999999999999996</v>
      </c>
      <c r="J25" s="15">
        <v>0.82799999999999996</v>
      </c>
      <c r="K25" s="15">
        <v>2.4900000000000002</v>
      </c>
      <c r="L25" s="16">
        <v>6</v>
      </c>
      <c r="N25" s="67">
        <v>4</v>
      </c>
      <c r="O25" s="93" t="s">
        <v>67</v>
      </c>
      <c r="P25" s="108" t="s">
        <v>68</v>
      </c>
      <c r="S25" t="s">
        <v>69</v>
      </c>
    </row>
    <row r="26" spans="2:19" x14ac:dyDescent="0.3">
      <c r="B26" s="3" t="s">
        <v>70</v>
      </c>
      <c r="C26" s="4" t="s">
        <v>67</v>
      </c>
      <c r="D26" s="3"/>
      <c r="E26" s="15">
        <v>3.7509999999999999</v>
      </c>
      <c r="F26" s="15">
        <v>1.2989999999999999</v>
      </c>
      <c r="G26" s="15">
        <v>1.5</v>
      </c>
      <c r="H26" s="16">
        <v>6</v>
      </c>
      <c r="I26" s="15">
        <v>3.9630000000000001</v>
      </c>
      <c r="J26" s="15">
        <v>1.087</v>
      </c>
      <c r="K26" s="15">
        <v>1.65</v>
      </c>
      <c r="L26" s="16">
        <v>5.99</v>
      </c>
      <c r="N26" s="67">
        <v>4</v>
      </c>
      <c r="O26" s="93" t="s">
        <v>67</v>
      </c>
      <c r="P26" s="108"/>
    </row>
    <row r="27" spans="2:19" x14ac:dyDescent="0.3">
      <c r="B27" s="3" t="s">
        <v>71</v>
      </c>
      <c r="C27" s="4" t="s">
        <v>67</v>
      </c>
      <c r="D27" s="3"/>
      <c r="E27" s="15">
        <v>3.7480000000000002</v>
      </c>
      <c r="F27" s="15">
        <v>1.3009999999999999</v>
      </c>
      <c r="G27" s="15">
        <v>1.5</v>
      </c>
      <c r="H27" s="16">
        <v>6</v>
      </c>
      <c r="I27" s="15">
        <v>3.641</v>
      </c>
      <c r="J27" s="15">
        <v>1.163</v>
      </c>
      <c r="K27" s="15">
        <v>1.51</v>
      </c>
      <c r="L27" s="16">
        <v>6</v>
      </c>
      <c r="N27" s="67">
        <v>3</v>
      </c>
      <c r="O27" s="93" t="s">
        <v>67</v>
      </c>
      <c r="P27" s="108"/>
    </row>
    <row r="28" spans="2:19" ht="27" thickBot="1" x14ac:dyDescent="0.35">
      <c r="B28" s="3" t="s">
        <v>72</v>
      </c>
      <c r="C28" s="4" t="s">
        <v>67</v>
      </c>
      <c r="D28" s="3" t="s">
        <v>73</v>
      </c>
      <c r="E28" s="18">
        <v>3.7480000000000002</v>
      </c>
      <c r="F28" s="18">
        <v>1.3009999999999999</v>
      </c>
      <c r="G28" s="18">
        <v>1.5</v>
      </c>
      <c r="H28" s="19">
        <v>6</v>
      </c>
      <c r="I28" s="18">
        <v>3.641</v>
      </c>
      <c r="J28" s="18">
        <v>1.163</v>
      </c>
      <c r="K28" s="18">
        <v>1.51</v>
      </c>
      <c r="L28" s="19">
        <v>6</v>
      </c>
      <c r="N28" s="67">
        <v>3</v>
      </c>
      <c r="O28" s="93" t="s">
        <v>67</v>
      </c>
      <c r="P28" s="108"/>
    </row>
    <row r="29" spans="2:19" ht="15" thickTop="1" x14ac:dyDescent="0.3">
      <c r="B29" s="3" t="s">
        <v>74</v>
      </c>
      <c r="C29" s="4" t="s">
        <v>75</v>
      </c>
      <c r="D29" s="3"/>
      <c r="E29" s="15">
        <v>2.7509999999999999</v>
      </c>
      <c r="F29" s="15">
        <v>1.3</v>
      </c>
      <c r="G29" s="15">
        <v>0.5</v>
      </c>
      <c r="H29" s="16">
        <v>5</v>
      </c>
      <c r="I29" s="15">
        <v>2.5009999999999999</v>
      </c>
      <c r="J29" s="15">
        <v>1.1819999999999999</v>
      </c>
      <c r="K29" s="15">
        <v>0.5</v>
      </c>
      <c r="L29" s="16">
        <v>4.99</v>
      </c>
      <c r="N29" s="67">
        <v>2.5</v>
      </c>
      <c r="O29" s="93" t="s">
        <v>75</v>
      </c>
      <c r="P29" s="108"/>
    </row>
    <row r="30" spans="2:19" x14ac:dyDescent="0.3">
      <c r="B30" s="3" t="s">
        <v>76</v>
      </c>
      <c r="C30" s="4" t="s">
        <v>75</v>
      </c>
      <c r="D30" s="3"/>
      <c r="E30" s="15">
        <v>2.7519999999999998</v>
      </c>
      <c r="F30" s="15">
        <v>1.3</v>
      </c>
      <c r="G30" s="15">
        <v>0.5</v>
      </c>
      <c r="H30" s="16">
        <v>5</v>
      </c>
      <c r="I30" s="15">
        <v>3.2490000000000001</v>
      </c>
      <c r="J30" s="15">
        <v>1.167</v>
      </c>
      <c r="K30" s="15">
        <v>0.51</v>
      </c>
      <c r="L30" s="16">
        <v>5</v>
      </c>
      <c r="N30" s="67">
        <v>3</v>
      </c>
      <c r="O30" s="93" t="s">
        <v>75</v>
      </c>
      <c r="P30" s="108"/>
    </row>
    <row r="31" spans="2:19" x14ac:dyDescent="0.3">
      <c r="B31" s="3" t="s">
        <v>77</v>
      </c>
      <c r="C31" s="4" t="s">
        <v>75</v>
      </c>
      <c r="D31" s="3"/>
      <c r="E31" s="15">
        <v>2.7530000000000001</v>
      </c>
      <c r="F31" s="15">
        <v>1.298</v>
      </c>
      <c r="G31" s="15">
        <v>0.5</v>
      </c>
      <c r="H31" s="16">
        <v>5</v>
      </c>
      <c r="I31" s="15">
        <v>3.4260000000000002</v>
      </c>
      <c r="J31" s="15">
        <v>1.0469999999999999</v>
      </c>
      <c r="K31" s="15">
        <v>0.66</v>
      </c>
      <c r="L31" s="16">
        <v>5</v>
      </c>
      <c r="N31" s="67">
        <v>3</v>
      </c>
      <c r="O31" s="93" t="s">
        <v>75</v>
      </c>
      <c r="P31" s="108"/>
    </row>
    <row r="32" spans="2:19" x14ac:dyDescent="0.3">
      <c r="B32" s="3" t="s">
        <v>78</v>
      </c>
      <c r="C32" s="4" t="s">
        <v>75</v>
      </c>
      <c r="D32" s="3" t="s">
        <v>79</v>
      </c>
      <c r="E32" s="15">
        <v>2.7530000000000001</v>
      </c>
      <c r="F32" s="15">
        <v>1.298</v>
      </c>
      <c r="G32" s="15">
        <v>0.5</v>
      </c>
      <c r="H32" s="16">
        <v>5</v>
      </c>
      <c r="I32" s="15">
        <v>3.4260000000000002</v>
      </c>
      <c r="J32" s="15">
        <v>1.0469999999999999</v>
      </c>
      <c r="K32" s="15">
        <v>0.66</v>
      </c>
      <c r="L32" s="16">
        <v>5</v>
      </c>
      <c r="N32" s="67">
        <v>3</v>
      </c>
      <c r="O32" s="93" t="s">
        <v>75</v>
      </c>
      <c r="P32" s="108"/>
    </row>
    <row r="33" spans="2:17" ht="26.4" x14ac:dyDescent="0.3">
      <c r="B33" s="3" t="s">
        <v>80</v>
      </c>
      <c r="C33" s="4" t="s">
        <v>75</v>
      </c>
      <c r="D33" s="3" t="s">
        <v>81</v>
      </c>
      <c r="E33" s="15">
        <v>2.7509999999999999</v>
      </c>
      <c r="F33" s="15">
        <v>1.3</v>
      </c>
      <c r="G33" s="15">
        <v>0.5</v>
      </c>
      <c r="H33" s="16">
        <v>5</v>
      </c>
      <c r="I33" s="15">
        <v>2.5009999999999999</v>
      </c>
      <c r="J33" s="15">
        <v>1.1819999999999999</v>
      </c>
      <c r="K33" s="15">
        <v>0.5</v>
      </c>
      <c r="L33" s="16">
        <v>4.99</v>
      </c>
      <c r="N33" s="67">
        <v>2.5</v>
      </c>
      <c r="O33" s="93" t="s">
        <v>75</v>
      </c>
      <c r="P33" s="108"/>
    </row>
    <row r="34" spans="2:17" ht="26.4" x14ac:dyDescent="0.3">
      <c r="B34" s="3" t="s">
        <v>82</v>
      </c>
      <c r="C34" s="4" t="s">
        <v>75</v>
      </c>
      <c r="D34" s="3" t="s">
        <v>83</v>
      </c>
      <c r="E34" s="15">
        <v>2.7519999999999998</v>
      </c>
      <c r="F34" s="15">
        <v>1.3</v>
      </c>
      <c r="G34" s="15">
        <v>0.5</v>
      </c>
      <c r="H34" s="16">
        <v>5</v>
      </c>
      <c r="I34" s="15">
        <v>3.2490000000000001</v>
      </c>
      <c r="J34" s="15">
        <v>1.167</v>
      </c>
      <c r="K34" s="15">
        <v>0.51</v>
      </c>
      <c r="L34" s="16">
        <v>5</v>
      </c>
      <c r="N34" s="67">
        <v>3</v>
      </c>
      <c r="O34" s="93" t="s">
        <v>75</v>
      </c>
      <c r="P34" s="108"/>
    </row>
    <row r="35" spans="2:17" x14ac:dyDescent="0.3">
      <c r="B35" s="3" t="s">
        <v>84</v>
      </c>
      <c r="C35" s="4" t="s">
        <v>75</v>
      </c>
      <c r="D35" s="3" t="s">
        <v>79</v>
      </c>
      <c r="E35" s="15">
        <v>2.7530000000000001</v>
      </c>
      <c r="F35" s="15">
        <v>1.298</v>
      </c>
      <c r="G35" s="15">
        <v>0.5</v>
      </c>
      <c r="H35" s="16">
        <v>5</v>
      </c>
      <c r="I35" s="15">
        <v>3.4260000000000002</v>
      </c>
      <c r="J35" s="15">
        <v>1.0469999999999999</v>
      </c>
      <c r="K35" s="15">
        <v>0.66</v>
      </c>
      <c r="L35" s="16">
        <v>5</v>
      </c>
      <c r="N35" s="67">
        <v>3</v>
      </c>
      <c r="O35" s="93" t="s">
        <v>75</v>
      </c>
      <c r="P35" s="108"/>
    </row>
    <row r="36" spans="2:17" x14ac:dyDescent="0.3">
      <c r="B36" s="3" t="s">
        <v>85</v>
      </c>
      <c r="C36" s="4" t="s">
        <v>75</v>
      </c>
      <c r="D36" s="3" t="s">
        <v>86</v>
      </c>
      <c r="E36" s="15">
        <v>2.7530000000000001</v>
      </c>
      <c r="F36" s="15">
        <v>1.298</v>
      </c>
      <c r="G36" s="15">
        <v>0.5</v>
      </c>
      <c r="H36" s="16">
        <v>5</v>
      </c>
      <c r="I36" s="15">
        <v>3.4260000000000002</v>
      </c>
      <c r="J36" s="15">
        <v>1.0469999999999999</v>
      </c>
      <c r="K36" s="15">
        <v>0.66</v>
      </c>
      <c r="L36" s="16">
        <v>5</v>
      </c>
      <c r="N36" s="67">
        <v>3</v>
      </c>
      <c r="O36" s="93" t="s">
        <v>75</v>
      </c>
      <c r="P36" s="108"/>
    </row>
    <row r="37" spans="2:17" x14ac:dyDescent="0.3">
      <c r="B37" s="3" t="s">
        <v>87</v>
      </c>
      <c r="C37" s="4" t="s">
        <v>75</v>
      </c>
      <c r="D37" s="3"/>
      <c r="E37" s="15">
        <v>2.7480000000000002</v>
      </c>
      <c r="F37" s="15">
        <v>1.2989999999999999</v>
      </c>
      <c r="G37" s="15">
        <v>0.5</v>
      </c>
      <c r="H37" s="16">
        <v>5</v>
      </c>
      <c r="I37" s="15">
        <v>2.9279999999999999</v>
      </c>
      <c r="J37" s="15">
        <v>1.2170000000000001</v>
      </c>
      <c r="K37" s="15">
        <v>0.5</v>
      </c>
      <c r="L37" s="16">
        <v>5</v>
      </c>
      <c r="N37" s="67">
        <v>3</v>
      </c>
      <c r="O37" s="93" t="s">
        <v>75</v>
      </c>
      <c r="P37" s="108"/>
    </row>
    <row r="38" spans="2:17" x14ac:dyDescent="0.3">
      <c r="B38" s="3" t="s">
        <v>88</v>
      </c>
      <c r="C38" s="4" t="s">
        <v>75</v>
      </c>
      <c r="D38" s="3"/>
      <c r="E38" s="15">
        <v>2.7530000000000001</v>
      </c>
      <c r="F38" s="15">
        <v>1.3</v>
      </c>
      <c r="G38" s="15">
        <v>0.5</v>
      </c>
      <c r="H38" s="16">
        <v>5</v>
      </c>
      <c r="I38" s="15">
        <v>2.9820000000000002</v>
      </c>
      <c r="J38" s="15">
        <v>1.25</v>
      </c>
      <c r="K38" s="15">
        <v>0.5</v>
      </c>
      <c r="L38" s="16">
        <v>5</v>
      </c>
      <c r="N38" s="67">
        <v>3</v>
      </c>
      <c r="O38" s="93" t="s">
        <v>75</v>
      </c>
      <c r="P38" s="108"/>
    </row>
    <row r="39" spans="2:17" x14ac:dyDescent="0.3">
      <c r="B39" s="3" t="s">
        <v>89</v>
      </c>
      <c r="C39" s="4" t="s">
        <v>75</v>
      </c>
      <c r="D39" s="3"/>
      <c r="E39" s="15">
        <v>2.7530000000000001</v>
      </c>
      <c r="F39" s="15">
        <v>1.2969999999999999</v>
      </c>
      <c r="G39" s="15">
        <v>0.5</v>
      </c>
      <c r="H39" s="16">
        <v>5</v>
      </c>
      <c r="I39" s="15">
        <v>2.6</v>
      </c>
      <c r="J39" s="15">
        <v>1.2070000000000001</v>
      </c>
      <c r="K39" s="15">
        <v>0.52</v>
      </c>
      <c r="L39" s="16">
        <v>4.99</v>
      </c>
      <c r="N39" s="67">
        <v>2.5</v>
      </c>
      <c r="O39" s="93" t="s">
        <v>75</v>
      </c>
      <c r="P39" s="108"/>
    </row>
    <row r="40" spans="2:17" x14ac:dyDescent="0.3">
      <c r="B40" s="3" t="s">
        <v>90</v>
      </c>
      <c r="C40" s="4" t="s">
        <v>75</v>
      </c>
      <c r="D40" s="3"/>
      <c r="E40" s="15">
        <v>2.7530000000000001</v>
      </c>
      <c r="F40" s="15">
        <v>1.2989999999999999</v>
      </c>
      <c r="G40" s="15">
        <v>0.5</v>
      </c>
      <c r="H40" s="16">
        <v>5</v>
      </c>
      <c r="I40" s="15">
        <v>2.802</v>
      </c>
      <c r="J40" s="15">
        <v>1.2569999999999999</v>
      </c>
      <c r="K40" s="15">
        <v>0.53</v>
      </c>
      <c r="L40" s="16">
        <v>4.99</v>
      </c>
      <c r="N40" s="67">
        <v>2.5</v>
      </c>
      <c r="O40" s="93" t="s">
        <v>75</v>
      </c>
      <c r="P40" s="108"/>
    </row>
    <row r="41" spans="2:17" ht="26.4" x14ac:dyDescent="0.3">
      <c r="B41" s="3" t="s">
        <v>91</v>
      </c>
      <c r="C41" s="4" t="s">
        <v>75</v>
      </c>
      <c r="D41" s="3" t="s">
        <v>92</v>
      </c>
      <c r="E41" s="15">
        <v>2.7480000000000002</v>
      </c>
      <c r="F41" s="15">
        <v>1.2989999999999999</v>
      </c>
      <c r="G41" s="15">
        <v>0.5</v>
      </c>
      <c r="H41" s="16">
        <v>5</v>
      </c>
      <c r="I41" s="15">
        <v>2.9279999999999999</v>
      </c>
      <c r="J41" s="15">
        <v>1.2170000000000001</v>
      </c>
      <c r="K41" s="15">
        <v>0.5</v>
      </c>
      <c r="L41" s="16">
        <v>5</v>
      </c>
      <c r="N41" s="67">
        <v>3</v>
      </c>
      <c r="O41" s="93" t="s">
        <v>75</v>
      </c>
      <c r="P41" s="108"/>
    </row>
    <row r="42" spans="2:17" ht="26.4" x14ac:dyDescent="0.3">
      <c r="B42" s="3" t="s">
        <v>93</v>
      </c>
      <c r="C42" s="4" t="s">
        <v>75</v>
      </c>
      <c r="D42" s="3" t="s">
        <v>94</v>
      </c>
      <c r="E42" s="15">
        <v>2.7530000000000001</v>
      </c>
      <c r="F42" s="15">
        <v>1.3</v>
      </c>
      <c r="G42" s="15">
        <v>0.5</v>
      </c>
      <c r="H42" s="16">
        <v>5</v>
      </c>
      <c r="I42" s="15">
        <v>2.9820000000000002</v>
      </c>
      <c r="J42" s="15">
        <v>1.25</v>
      </c>
      <c r="K42" s="15">
        <v>0.5</v>
      </c>
      <c r="L42" s="16">
        <v>5</v>
      </c>
      <c r="N42" s="67">
        <v>3</v>
      </c>
      <c r="O42" s="93" t="s">
        <v>75</v>
      </c>
      <c r="P42" s="108"/>
    </row>
    <row r="43" spans="2:17" x14ac:dyDescent="0.3">
      <c r="B43" s="3" t="s">
        <v>95</v>
      </c>
      <c r="C43" s="4" t="s">
        <v>75</v>
      </c>
      <c r="D43" s="3" t="s">
        <v>96</v>
      </c>
      <c r="E43" s="15">
        <v>2.7530000000000001</v>
      </c>
      <c r="F43" s="15">
        <v>1.2969999999999999</v>
      </c>
      <c r="G43" s="15">
        <v>0.5</v>
      </c>
      <c r="H43" s="16">
        <v>5</v>
      </c>
      <c r="I43" s="15">
        <v>2.6</v>
      </c>
      <c r="J43" s="15">
        <v>1.2070000000000001</v>
      </c>
      <c r="K43" s="15">
        <v>0.52</v>
      </c>
      <c r="L43" s="16">
        <v>4.99</v>
      </c>
      <c r="N43" s="67">
        <v>2.5</v>
      </c>
      <c r="O43" s="93" t="s">
        <v>75</v>
      </c>
      <c r="P43" s="108"/>
    </row>
    <row r="44" spans="2:17" x14ac:dyDescent="0.3">
      <c r="B44" s="3" t="s">
        <v>97</v>
      </c>
      <c r="C44" s="4" t="s">
        <v>75</v>
      </c>
      <c r="D44" s="3" t="s">
        <v>98</v>
      </c>
      <c r="E44" s="15">
        <v>2.7530000000000001</v>
      </c>
      <c r="F44" s="15">
        <v>1.2989999999999999</v>
      </c>
      <c r="G44" s="15">
        <v>0.5</v>
      </c>
      <c r="H44" s="16">
        <v>5</v>
      </c>
      <c r="I44" s="15">
        <v>2.802</v>
      </c>
      <c r="J44" s="15">
        <v>1.2569999999999999</v>
      </c>
      <c r="K44" s="15">
        <v>0.53</v>
      </c>
      <c r="L44" s="16">
        <v>4.99</v>
      </c>
      <c r="N44" s="67">
        <v>2.5</v>
      </c>
      <c r="O44" s="93" t="s">
        <v>75</v>
      </c>
      <c r="P44" s="108"/>
    </row>
    <row r="45" spans="2:17" ht="26.4" x14ac:dyDescent="0.3">
      <c r="B45" s="3" t="s">
        <v>99</v>
      </c>
      <c r="C45" s="4" t="s">
        <v>75</v>
      </c>
      <c r="D45" s="3" t="s">
        <v>92</v>
      </c>
      <c r="E45" s="8">
        <v>2.7480000000000002</v>
      </c>
      <c r="F45" s="8">
        <v>1.2989999999999999</v>
      </c>
      <c r="G45" s="8">
        <v>0.5</v>
      </c>
      <c r="H45" s="23">
        <v>5</v>
      </c>
      <c r="I45" s="8">
        <v>2.9279999999999999</v>
      </c>
      <c r="J45" s="8">
        <v>1.2170000000000001</v>
      </c>
      <c r="K45" s="8">
        <v>0.5</v>
      </c>
      <c r="L45" s="23">
        <v>5</v>
      </c>
      <c r="M45" s="26"/>
      <c r="N45" s="63">
        <v>3</v>
      </c>
      <c r="O45" s="93" t="s">
        <v>75</v>
      </c>
      <c r="P45" s="108"/>
      <c r="Q45" s="26"/>
    </row>
    <row r="46" spans="2:17" ht="26.4" x14ac:dyDescent="0.3">
      <c r="B46" s="3" t="s">
        <v>100</v>
      </c>
      <c r="C46" s="4" t="s">
        <v>75</v>
      </c>
      <c r="D46" s="3" t="s">
        <v>94</v>
      </c>
      <c r="E46" s="8">
        <v>2.7530000000000001</v>
      </c>
      <c r="F46" s="8">
        <v>1.3</v>
      </c>
      <c r="G46" s="8">
        <v>0.5</v>
      </c>
      <c r="H46" s="23">
        <v>5</v>
      </c>
      <c r="I46" s="8">
        <v>2.9820000000000002</v>
      </c>
      <c r="J46" s="8">
        <v>1.25</v>
      </c>
      <c r="K46" s="8">
        <v>0.5</v>
      </c>
      <c r="L46" s="23">
        <v>5</v>
      </c>
      <c r="M46" s="26"/>
      <c r="N46" s="63">
        <v>3</v>
      </c>
      <c r="O46" s="93" t="s">
        <v>75</v>
      </c>
      <c r="P46" s="108"/>
      <c r="Q46" s="26"/>
    </row>
    <row r="47" spans="2:17" x14ac:dyDescent="0.3">
      <c r="B47" s="3" t="s">
        <v>101</v>
      </c>
      <c r="C47" s="4" t="s">
        <v>75</v>
      </c>
      <c r="D47" s="3" t="s">
        <v>96</v>
      </c>
      <c r="E47" s="8">
        <v>2.7530000000000001</v>
      </c>
      <c r="F47" s="8">
        <v>1.2969999999999999</v>
      </c>
      <c r="G47" s="8">
        <v>0.5</v>
      </c>
      <c r="H47" s="23">
        <v>5</v>
      </c>
      <c r="I47" s="8">
        <v>2.6</v>
      </c>
      <c r="J47" s="8">
        <v>1.2070000000000001</v>
      </c>
      <c r="K47" s="8">
        <v>0.52</v>
      </c>
      <c r="L47" s="23">
        <v>4.99</v>
      </c>
      <c r="M47" s="26"/>
      <c r="N47" s="63">
        <v>2.5</v>
      </c>
      <c r="O47" s="93" t="s">
        <v>75</v>
      </c>
      <c r="P47" s="108"/>
      <c r="Q47" s="26"/>
    </row>
    <row r="48" spans="2:17" ht="15" thickBot="1" x14ac:dyDescent="0.35">
      <c r="B48" s="5" t="s">
        <v>102</v>
      </c>
      <c r="C48" s="6" t="s">
        <v>75</v>
      </c>
      <c r="D48" s="5" t="s">
        <v>98</v>
      </c>
      <c r="E48" s="8">
        <v>2.7530000000000001</v>
      </c>
      <c r="F48" s="8">
        <v>1.2989999999999999</v>
      </c>
      <c r="G48" s="8">
        <v>0.5</v>
      </c>
      <c r="H48" s="23">
        <v>5</v>
      </c>
      <c r="I48" s="8">
        <v>2.802</v>
      </c>
      <c r="J48" s="8">
        <v>1.2569999999999999</v>
      </c>
      <c r="K48" s="8">
        <v>0.53</v>
      </c>
      <c r="L48" s="23">
        <v>4.99</v>
      </c>
      <c r="M48" s="26"/>
      <c r="N48" s="63">
        <v>2.5</v>
      </c>
      <c r="O48" s="68" t="s">
        <v>75</v>
      </c>
      <c r="P48" s="108"/>
      <c r="Q48" s="26"/>
    </row>
    <row r="49" spans="2:17" ht="15" thickTop="1" x14ac:dyDescent="0.3">
      <c r="B49" s="60"/>
      <c r="C49" s="61"/>
      <c r="D49" s="60"/>
      <c r="E49" s="8"/>
      <c r="F49" s="8"/>
      <c r="G49" s="8"/>
      <c r="H49" s="26"/>
      <c r="I49" s="8"/>
      <c r="J49" s="8"/>
      <c r="K49" s="8"/>
      <c r="L49" s="26"/>
      <c r="M49" s="26"/>
      <c r="N49" s="63"/>
      <c r="O49" s="65"/>
      <c r="P49" s="58"/>
      <c r="Q49" s="26"/>
    </row>
    <row r="50" spans="2:17" x14ac:dyDescent="0.3">
      <c r="B50" s="60"/>
      <c r="C50" s="61"/>
      <c r="D50" s="60"/>
      <c r="E50" s="8"/>
      <c r="F50" s="8"/>
      <c r="G50" s="8"/>
      <c r="H50" s="26"/>
      <c r="I50" s="8"/>
      <c r="J50" s="8"/>
      <c r="K50" s="8"/>
      <c r="L50" s="26"/>
      <c r="M50" s="26"/>
      <c r="N50" s="63"/>
      <c r="O50" s="65"/>
      <c r="P50" s="58"/>
      <c r="Q50" s="26"/>
    </row>
    <row r="51" spans="2:17" ht="15" thickBot="1" x14ac:dyDescent="0.35">
      <c r="B51" s="24"/>
      <c r="N51" s="67"/>
      <c r="O51" s="62"/>
      <c r="P51" s="59"/>
    </row>
    <row r="52" spans="2:17" ht="15.6" thickTop="1" thickBot="1" x14ac:dyDescent="0.35">
      <c r="B52" s="1" t="s">
        <v>103</v>
      </c>
      <c r="C52" s="2" t="s">
        <v>65</v>
      </c>
      <c r="D52" s="1" t="s">
        <v>14</v>
      </c>
      <c r="N52" s="67"/>
      <c r="O52" s="62"/>
      <c r="P52" s="59"/>
    </row>
    <row r="53" spans="2:17" ht="15" thickTop="1" x14ac:dyDescent="0.3">
      <c r="B53" s="3" t="s">
        <v>104</v>
      </c>
      <c r="C53" s="4" t="s">
        <v>105</v>
      </c>
      <c r="D53" s="3"/>
      <c r="E53" s="8">
        <v>0.5</v>
      </c>
      <c r="F53" s="8">
        <v>0.28799999999999998</v>
      </c>
      <c r="G53" s="8">
        <v>0</v>
      </c>
      <c r="H53" s="23">
        <v>1</v>
      </c>
      <c r="I53" s="8">
        <v>0.54300000000000004</v>
      </c>
      <c r="J53" s="8">
        <v>0.20599999999999999</v>
      </c>
      <c r="K53" s="8">
        <v>0</v>
      </c>
      <c r="L53" s="23">
        <v>0.88</v>
      </c>
      <c r="M53" s="26"/>
      <c r="N53" s="63">
        <v>0.5</v>
      </c>
      <c r="O53" s="65" t="s">
        <v>106</v>
      </c>
      <c r="P53" s="107" t="s">
        <v>107</v>
      </c>
      <c r="Q53" s="26"/>
    </row>
    <row r="54" spans="2:17" ht="26.4" x14ac:dyDescent="0.3">
      <c r="B54" s="3" t="s">
        <v>108</v>
      </c>
      <c r="C54" s="4" t="s">
        <v>105</v>
      </c>
      <c r="D54" s="3" t="s">
        <v>109</v>
      </c>
      <c r="E54" s="8">
        <v>0.75</v>
      </c>
      <c r="F54" s="8">
        <v>0.221</v>
      </c>
      <c r="G54" s="8">
        <v>0</v>
      </c>
      <c r="H54" s="23">
        <v>1</v>
      </c>
      <c r="I54" s="8">
        <v>0.78500000000000003</v>
      </c>
      <c r="J54" s="8">
        <v>0.13800000000000001</v>
      </c>
      <c r="K54" s="8">
        <v>0.21</v>
      </c>
      <c r="L54" s="23">
        <v>1</v>
      </c>
      <c r="M54" s="26"/>
      <c r="N54" s="63">
        <v>0.7</v>
      </c>
      <c r="O54" s="65" t="s">
        <v>106</v>
      </c>
      <c r="P54" s="107"/>
      <c r="Q54" s="26"/>
    </row>
    <row r="55" spans="2:17" ht="27" thickBot="1" x14ac:dyDescent="0.35">
      <c r="B55" s="5" t="s">
        <v>110</v>
      </c>
      <c r="C55" s="6" t="s">
        <v>105</v>
      </c>
      <c r="D55" s="5" t="s">
        <v>109</v>
      </c>
      <c r="E55" s="8">
        <v>0.749</v>
      </c>
      <c r="F55" s="8">
        <v>0.221</v>
      </c>
      <c r="G55" s="8">
        <v>0</v>
      </c>
      <c r="H55" s="23">
        <v>1</v>
      </c>
      <c r="I55" s="8">
        <v>0.78600000000000003</v>
      </c>
      <c r="J55" s="8">
        <v>0.16800000000000001</v>
      </c>
      <c r="K55" s="8">
        <v>7.0000000000000007E-2</v>
      </c>
      <c r="L55" s="23">
        <v>1</v>
      </c>
      <c r="M55" s="26"/>
      <c r="N55" s="63">
        <v>0.7</v>
      </c>
      <c r="O55" s="65" t="s">
        <v>106</v>
      </c>
      <c r="P55" s="107"/>
      <c r="Q55" s="26"/>
    </row>
    <row r="56" spans="2:17" ht="15" thickTop="1" x14ac:dyDescent="0.3"/>
  </sheetData>
  <mergeCells count="15">
    <mergeCell ref="P53:P55"/>
    <mergeCell ref="P25:P48"/>
    <mergeCell ref="E2:H2"/>
    <mergeCell ref="I2:L2"/>
    <mergeCell ref="R1:S1"/>
    <mergeCell ref="S4:S7"/>
    <mergeCell ref="R3:S3"/>
    <mergeCell ref="N2:O2"/>
    <mergeCell ref="P4:P7"/>
    <mergeCell ref="P8:P11"/>
    <mergeCell ref="U1:X1"/>
    <mergeCell ref="U3:U14"/>
    <mergeCell ref="V3:V14"/>
    <mergeCell ref="W3:W14"/>
    <mergeCell ref="X3:X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34"/>
  <sheetViews>
    <sheetView topLeftCell="G18" workbookViewId="0">
      <selection activeCell="R30" sqref="R30"/>
    </sheetView>
  </sheetViews>
  <sheetFormatPr defaultRowHeight="14.4" x14ac:dyDescent="0.3"/>
  <cols>
    <col min="1" max="1" width="20.44140625" customWidth="1"/>
    <col min="4" max="4" width="15.44140625" customWidth="1"/>
    <col min="17" max="17" width="12.33203125" customWidth="1"/>
    <col min="18" max="18" width="23" customWidth="1"/>
    <col min="19" max="19" width="16.109375" customWidth="1"/>
    <col min="20" max="20" width="21.44140625" customWidth="1"/>
  </cols>
  <sheetData>
    <row r="2" spans="1:17" ht="15" thickBot="1" x14ac:dyDescent="0.35">
      <c r="B2" t="s">
        <v>379</v>
      </c>
    </row>
    <row r="3" spans="1:17" ht="24.6" thickBot="1" x14ac:dyDescent="0.35">
      <c r="B3" s="27"/>
      <c r="C3" s="28" t="s">
        <v>307</v>
      </c>
      <c r="D3" s="29" t="s">
        <v>380</v>
      </c>
      <c r="E3" s="29" t="s">
        <v>381</v>
      </c>
      <c r="F3" s="29" t="s">
        <v>382</v>
      </c>
      <c r="G3" s="29" t="s">
        <v>383</v>
      </c>
      <c r="H3" s="29" t="s">
        <v>384</v>
      </c>
      <c r="I3" s="29" t="s">
        <v>385</v>
      </c>
      <c r="J3" s="29" t="s">
        <v>386</v>
      </c>
      <c r="K3" s="29" t="s">
        <v>387</v>
      </c>
      <c r="L3" s="29" t="s">
        <v>388</v>
      </c>
      <c r="M3" s="29" t="s">
        <v>389</v>
      </c>
      <c r="N3" s="28" t="s">
        <v>390</v>
      </c>
      <c r="O3" s="30" t="s">
        <v>391</v>
      </c>
      <c r="P3" s="30" t="s">
        <v>392</v>
      </c>
      <c r="Q3" s="31" t="s">
        <v>393</v>
      </c>
    </row>
    <row r="4" spans="1:17" ht="15" thickBot="1" x14ac:dyDescent="0.35"/>
    <row r="5" spans="1:17" ht="23.4" thickBot="1" x14ac:dyDescent="0.35">
      <c r="A5" s="32" t="s">
        <v>394</v>
      </c>
      <c r="B5" s="33" t="s">
        <v>395</v>
      </c>
      <c r="C5" s="34">
        <v>250</v>
      </c>
      <c r="D5" s="35" t="s">
        <v>349</v>
      </c>
      <c r="E5" s="34">
        <v>16.3</v>
      </c>
      <c r="F5" s="34">
        <v>55.4</v>
      </c>
      <c r="G5" s="34">
        <v>60.5</v>
      </c>
      <c r="H5" s="34">
        <v>63.4</v>
      </c>
      <c r="I5" s="34">
        <v>69.2</v>
      </c>
      <c r="J5" s="34">
        <v>78.5</v>
      </c>
      <c r="K5" s="34">
        <v>95.6</v>
      </c>
      <c r="L5" s="34">
        <v>118.9</v>
      </c>
      <c r="M5" s="34">
        <v>150.1</v>
      </c>
      <c r="N5" s="34">
        <v>24.6</v>
      </c>
      <c r="O5" s="36">
        <v>30.3</v>
      </c>
      <c r="P5" s="36" t="s">
        <v>396</v>
      </c>
      <c r="Q5" s="37" t="s">
        <v>397</v>
      </c>
    </row>
    <row r="6" spans="1:17" ht="23.4" thickBot="1" x14ac:dyDescent="0.35">
      <c r="A6" t="s">
        <v>398</v>
      </c>
      <c r="B6" s="32" t="s">
        <v>395</v>
      </c>
      <c r="C6" s="34">
        <v>4802</v>
      </c>
      <c r="D6" s="38">
        <v>0</v>
      </c>
      <c r="E6" s="34">
        <v>11.3</v>
      </c>
      <c r="F6" s="34">
        <v>63.5</v>
      </c>
      <c r="G6" s="34">
        <v>84</v>
      </c>
      <c r="H6" s="34">
        <v>104.5</v>
      </c>
      <c r="I6" s="34">
        <v>131.30000000000001</v>
      </c>
      <c r="J6" s="34">
        <v>151.80000000000001</v>
      </c>
      <c r="K6" s="34">
        <v>158</v>
      </c>
      <c r="L6" s="34">
        <v>152.4</v>
      </c>
      <c r="M6" s="34">
        <v>134.6</v>
      </c>
      <c r="N6" s="34">
        <v>22.4</v>
      </c>
      <c r="O6" s="36">
        <v>40.1</v>
      </c>
      <c r="P6" s="36" t="s">
        <v>399</v>
      </c>
      <c r="Q6" s="37" t="s">
        <v>397</v>
      </c>
    </row>
    <row r="7" spans="1:17" ht="23.4" thickBot="1" x14ac:dyDescent="0.35">
      <c r="A7" t="s">
        <v>400</v>
      </c>
      <c r="B7" s="32" t="s">
        <v>395</v>
      </c>
      <c r="C7" s="34">
        <v>7735</v>
      </c>
      <c r="D7" s="38">
        <v>0</v>
      </c>
      <c r="E7" s="34">
        <v>21.9</v>
      </c>
      <c r="F7" s="34">
        <v>63.4</v>
      </c>
      <c r="G7" s="34">
        <v>68.3</v>
      </c>
      <c r="H7" s="34">
        <v>70.7</v>
      </c>
      <c r="I7" s="34">
        <v>73</v>
      </c>
      <c r="J7" s="34">
        <v>77.400000000000006</v>
      </c>
      <c r="K7" s="34">
        <v>82.7</v>
      </c>
      <c r="L7" s="34">
        <v>88.6</v>
      </c>
      <c r="M7" s="34">
        <v>95.2</v>
      </c>
      <c r="N7" s="34">
        <v>30.2</v>
      </c>
      <c r="O7" s="36">
        <v>31.7</v>
      </c>
      <c r="P7" s="36" t="s">
        <v>396</v>
      </c>
      <c r="Q7" s="37" t="s">
        <v>397</v>
      </c>
    </row>
    <row r="8" spans="1:17" ht="23.4" thickBot="1" x14ac:dyDescent="0.35">
      <c r="A8" t="s">
        <v>401</v>
      </c>
      <c r="B8" s="32" t="s">
        <v>395</v>
      </c>
      <c r="C8" s="34">
        <v>3915</v>
      </c>
      <c r="D8" s="35" t="s">
        <v>349</v>
      </c>
      <c r="E8" s="34">
        <v>13.9</v>
      </c>
      <c r="F8" s="34">
        <v>87.3</v>
      </c>
      <c r="G8" s="34">
        <v>115.5</v>
      </c>
      <c r="H8" s="34">
        <v>132.6</v>
      </c>
      <c r="I8" s="34">
        <v>139.1</v>
      </c>
      <c r="J8" s="34">
        <v>142</v>
      </c>
      <c r="K8" s="34">
        <v>140.80000000000001</v>
      </c>
      <c r="L8" s="34">
        <v>131.9</v>
      </c>
      <c r="M8" s="34">
        <v>117</v>
      </c>
      <c r="N8" s="34">
        <v>22</v>
      </c>
      <c r="O8" s="36">
        <v>44.4</v>
      </c>
      <c r="P8" s="36" t="s">
        <v>402</v>
      </c>
      <c r="Q8" s="37" t="s">
        <v>397</v>
      </c>
    </row>
    <row r="9" spans="1:17" ht="23.4" thickBot="1" x14ac:dyDescent="0.35">
      <c r="A9" t="s">
        <v>403</v>
      </c>
      <c r="B9" s="32" t="s">
        <v>395</v>
      </c>
      <c r="C9" s="34">
        <v>2330</v>
      </c>
      <c r="D9" s="35" t="s">
        <v>349</v>
      </c>
      <c r="E9" s="34">
        <v>31.3</v>
      </c>
      <c r="F9" s="34">
        <v>110.4</v>
      </c>
      <c r="G9" s="34">
        <v>127</v>
      </c>
      <c r="H9" s="34">
        <v>139</v>
      </c>
      <c r="I9" s="34">
        <v>147.80000000000001</v>
      </c>
      <c r="J9" s="34">
        <v>146.4</v>
      </c>
      <c r="K9" s="34">
        <v>162.30000000000001</v>
      </c>
      <c r="L9" s="34">
        <v>192.8</v>
      </c>
      <c r="M9" s="34">
        <v>236.7</v>
      </c>
      <c r="N9" s="34">
        <v>33.700000000000003</v>
      </c>
      <c r="O9" s="36">
        <v>58</v>
      </c>
      <c r="P9" s="36" t="s">
        <v>404</v>
      </c>
      <c r="Q9" s="37" t="s">
        <v>397</v>
      </c>
    </row>
    <row r="12" spans="1:17" ht="15" thickBot="1" x14ac:dyDescent="0.35"/>
    <row r="13" spans="1:17" ht="15" thickBot="1" x14ac:dyDescent="0.35">
      <c r="E13" s="29" t="s">
        <v>381</v>
      </c>
      <c r="F13" s="29" t="s">
        <v>382</v>
      </c>
      <c r="G13" s="29" t="s">
        <v>383</v>
      </c>
      <c r="H13" s="29" t="s">
        <v>384</v>
      </c>
      <c r="I13" s="29" t="s">
        <v>385</v>
      </c>
      <c r="J13" s="29" t="s">
        <v>386</v>
      </c>
      <c r="K13" s="29" t="s">
        <v>387</v>
      </c>
      <c r="L13" s="29" t="s">
        <v>388</v>
      </c>
      <c r="M13" s="29" t="s">
        <v>389</v>
      </c>
      <c r="P13" t="s">
        <v>334</v>
      </c>
    </row>
    <row r="14" spans="1:17" ht="15" thickBot="1" x14ac:dyDescent="0.35">
      <c r="D14" s="32" t="s">
        <v>394</v>
      </c>
      <c r="E14" s="34">
        <v>16.3</v>
      </c>
      <c r="F14" s="34">
        <v>55.4</v>
      </c>
      <c r="G14" s="34">
        <v>60.5</v>
      </c>
      <c r="H14" s="34">
        <v>63.4</v>
      </c>
      <c r="I14" s="34">
        <v>69.2</v>
      </c>
      <c r="J14" s="34">
        <v>78.5</v>
      </c>
      <c r="K14" s="34">
        <v>95.6</v>
      </c>
      <c r="L14" s="34">
        <v>118.9</v>
      </c>
      <c r="M14" s="34">
        <v>150.1</v>
      </c>
    </row>
    <row r="15" spans="1:17" ht="15" thickBot="1" x14ac:dyDescent="0.35">
      <c r="D15" t="s">
        <v>398</v>
      </c>
      <c r="E15" s="34">
        <v>11.3</v>
      </c>
      <c r="F15" s="34">
        <v>63.5</v>
      </c>
      <c r="G15" s="34">
        <v>84</v>
      </c>
      <c r="H15" s="34">
        <v>104.5</v>
      </c>
      <c r="I15" s="34">
        <v>131.30000000000001</v>
      </c>
      <c r="J15" s="34">
        <v>151.80000000000001</v>
      </c>
      <c r="K15" s="34">
        <v>158</v>
      </c>
      <c r="L15" s="34">
        <v>152.4</v>
      </c>
      <c r="M15" s="34">
        <v>134.6</v>
      </c>
    </row>
    <row r="16" spans="1:17" ht="15" thickBot="1" x14ac:dyDescent="0.35">
      <c r="D16" t="s">
        <v>400</v>
      </c>
      <c r="E16" s="34">
        <v>21.9</v>
      </c>
      <c r="F16" s="34">
        <v>63.4</v>
      </c>
      <c r="G16" s="34">
        <v>68.3</v>
      </c>
      <c r="H16" s="34">
        <v>70.7</v>
      </c>
      <c r="I16" s="34">
        <v>73</v>
      </c>
      <c r="J16" s="34">
        <v>77.400000000000006</v>
      </c>
      <c r="K16" s="34">
        <v>82.7</v>
      </c>
      <c r="L16" s="34">
        <v>88.6</v>
      </c>
      <c r="M16" s="34">
        <v>95.2</v>
      </c>
    </row>
    <row r="17" spans="4:20" ht="15" thickBot="1" x14ac:dyDescent="0.35">
      <c r="D17" t="s">
        <v>401</v>
      </c>
      <c r="E17" s="34">
        <v>13.9</v>
      </c>
      <c r="F17" s="34">
        <v>87.3</v>
      </c>
      <c r="G17" s="34">
        <v>115.5</v>
      </c>
      <c r="H17" s="34">
        <v>132.6</v>
      </c>
      <c r="I17" s="34">
        <v>139.1</v>
      </c>
      <c r="J17" s="34">
        <v>142</v>
      </c>
      <c r="K17" s="34">
        <v>140.80000000000001</v>
      </c>
      <c r="L17" s="34">
        <v>131.9</v>
      </c>
      <c r="M17" s="34">
        <v>117</v>
      </c>
    </row>
    <row r="18" spans="4:20" ht="15" thickBot="1" x14ac:dyDescent="0.35">
      <c r="D18" t="s">
        <v>403</v>
      </c>
      <c r="E18" s="34">
        <v>31.3</v>
      </c>
      <c r="F18" s="34">
        <v>110.4</v>
      </c>
      <c r="G18" s="34">
        <v>127</v>
      </c>
      <c r="H18" s="34">
        <v>139</v>
      </c>
      <c r="I18" s="34">
        <v>147.80000000000001</v>
      </c>
      <c r="J18" s="34">
        <v>146.4</v>
      </c>
      <c r="K18" s="34">
        <v>162.30000000000001</v>
      </c>
      <c r="L18" s="34">
        <v>192.8</v>
      </c>
      <c r="M18" s="34">
        <v>236.7</v>
      </c>
    </row>
    <row r="21" spans="4:20" x14ac:dyDescent="0.3">
      <c r="S21" t="s">
        <v>405</v>
      </c>
    </row>
    <row r="22" spans="4:20" x14ac:dyDescent="0.3">
      <c r="Q22" t="s">
        <v>406</v>
      </c>
      <c r="R22" t="s">
        <v>407</v>
      </c>
      <c r="S22" t="s">
        <v>408</v>
      </c>
      <c r="T22" t="s">
        <v>409</v>
      </c>
    </row>
    <row r="23" spans="4:20" x14ac:dyDescent="0.3">
      <c r="Q23" s="83" t="s">
        <v>410</v>
      </c>
      <c r="R23">
        <v>0</v>
      </c>
      <c r="S23">
        <v>0</v>
      </c>
      <c r="T23">
        <v>0</v>
      </c>
    </row>
    <row r="24" spans="4:20" x14ac:dyDescent="0.3">
      <c r="Q24" s="83" t="s">
        <v>411</v>
      </c>
      <c r="R24">
        <v>10</v>
      </c>
      <c r="S24">
        <f>3*R24</f>
        <v>30</v>
      </c>
      <c r="T24">
        <f>S24/1.5</f>
        <v>20</v>
      </c>
    </row>
    <row r="25" spans="4:20" x14ac:dyDescent="0.3">
      <c r="Q25" s="83" t="s">
        <v>412</v>
      </c>
      <c r="R25">
        <v>31.3</v>
      </c>
      <c r="S25">
        <f>3*31.3</f>
        <v>93.9</v>
      </c>
      <c r="T25">
        <f>S25/1.5</f>
        <v>62.6</v>
      </c>
    </row>
    <row r="26" spans="4:20" x14ac:dyDescent="0.3">
      <c r="Q26" s="83" t="s">
        <v>413</v>
      </c>
      <c r="R26">
        <f>AVERAGE(R25,R27)</f>
        <v>70.850000000000009</v>
      </c>
      <c r="S26">
        <f>4*R26</f>
        <v>283.40000000000003</v>
      </c>
      <c r="T26">
        <f>S26/2</f>
        <v>141.70000000000002</v>
      </c>
    </row>
    <row r="27" spans="4:20" x14ac:dyDescent="0.3">
      <c r="Q27" s="83" t="s">
        <v>382</v>
      </c>
      <c r="R27">
        <v>110.4</v>
      </c>
      <c r="S27">
        <f>3*R27</f>
        <v>331.20000000000005</v>
      </c>
      <c r="T27">
        <f>S27/1.5</f>
        <v>220.80000000000004</v>
      </c>
    </row>
    <row r="28" spans="4:20" x14ac:dyDescent="0.3">
      <c r="Q28" s="83" t="s">
        <v>383</v>
      </c>
      <c r="R28">
        <v>127</v>
      </c>
      <c r="S28">
        <f>2.5*R28</f>
        <v>317.5</v>
      </c>
      <c r="T28" s="84">
        <f>S28/1.5</f>
        <v>211.66666666666666</v>
      </c>
    </row>
    <row r="29" spans="4:20" x14ac:dyDescent="0.3">
      <c r="Q29" s="83" t="s">
        <v>384</v>
      </c>
      <c r="R29">
        <v>139</v>
      </c>
      <c r="S29">
        <f>2*R29</f>
        <v>278</v>
      </c>
      <c r="T29" s="84">
        <f>S29/1.5</f>
        <v>185.33333333333334</v>
      </c>
    </row>
    <row r="30" spans="4:20" x14ac:dyDescent="0.3">
      <c r="Q30" s="83" t="s">
        <v>385</v>
      </c>
      <c r="R30">
        <v>147.80000000000001</v>
      </c>
      <c r="S30">
        <f>1*R30</f>
        <v>147.80000000000001</v>
      </c>
      <c r="T30">
        <f>1*S30</f>
        <v>147.80000000000001</v>
      </c>
    </row>
    <row r="31" spans="4:20" x14ac:dyDescent="0.3">
      <c r="Q31" s="83" t="s">
        <v>386</v>
      </c>
      <c r="R31">
        <v>146.4</v>
      </c>
      <c r="S31">
        <f>0.75*R31</f>
        <v>109.80000000000001</v>
      </c>
      <c r="T31">
        <f>S31</f>
        <v>109.80000000000001</v>
      </c>
    </row>
    <row r="32" spans="4:20" x14ac:dyDescent="0.3">
      <c r="Q32" s="83" t="s">
        <v>387</v>
      </c>
      <c r="R32">
        <v>162.30000000000001</v>
      </c>
      <c r="S32">
        <f>0.6*R32</f>
        <v>97.38000000000001</v>
      </c>
      <c r="T32">
        <f>S32</f>
        <v>97.38000000000001</v>
      </c>
    </row>
    <row r="33" spans="17:20" x14ac:dyDescent="0.3">
      <c r="Q33" s="83" t="s">
        <v>388</v>
      </c>
      <c r="R33">
        <v>192.8</v>
      </c>
      <c r="S33">
        <f>0.4*R33</f>
        <v>77.12</v>
      </c>
      <c r="T33">
        <f>S33</f>
        <v>77.12</v>
      </c>
    </row>
    <row r="34" spans="17:20" x14ac:dyDescent="0.3">
      <c r="Q34" s="83" t="s">
        <v>414</v>
      </c>
      <c r="R34">
        <v>236.7</v>
      </c>
      <c r="S34">
        <f>0.2*R34</f>
        <v>47.34</v>
      </c>
      <c r="T34">
        <f>S34</f>
        <v>47.34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P8"/>
  <sheetViews>
    <sheetView workbookViewId="0">
      <selection activeCell="F18" sqref="F18"/>
    </sheetView>
  </sheetViews>
  <sheetFormatPr defaultRowHeight="14.4" x14ac:dyDescent="0.3"/>
  <cols>
    <col min="3" max="3" width="19.44140625" customWidth="1"/>
  </cols>
  <sheetData>
    <row r="2" spans="3:16" ht="15" thickBot="1" x14ac:dyDescent="0.35">
      <c r="D2" t="s">
        <v>415</v>
      </c>
    </row>
    <row r="3" spans="3:16" ht="15" thickBot="1" x14ac:dyDescent="0.35">
      <c r="E3" s="28" t="s">
        <v>307</v>
      </c>
      <c r="F3" s="29" t="s">
        <v>380</v>
      </c>
      <c r="G3" s="29" t="s">
        <v>381</v>
      </c>
      <c r="H3" s="29" t="s">
        <v>382</v>
      </c>
      <c r="I3" s="29" t="s">
        <v>383</v>
      </c>
      <c r="J3" s="29" t="s">
        <v>384</v>
      </c>
      <c r="K3" s="29" t="s">
        <v>385</v>
      </c>
      <c r="L3" s="29" t="s">
        <v>386</v>
      </c>
      <c r="M3" s="29" t="s">
        <v>387</v>
      </c>
      <c r="N3" s="29" t="s">
        <v>388</v>
      </c>
      <c r="O3" s="29" t="s">
        <v>389</v>
      </c>
      <c r="P3" s="28"/>
    </row>
    <row r="4" spans="3:16" ht="23.4" thickBot="1" x14ac:dyDescent="0.35">
      <c r="C4" s="32" t="s">
        <v>394</v>
      </c>
      <c r="D4" s="32" t="s">
        <v>395</v>
      </c>
      <c r="E4" s="69">
        <v>250</v>
      </c>
      <c r="F4" s="35" t="s">
        <v>349</v>
      </c>
      <c r="G4" s="34">
        <v>75</v>
      </c>
      <c r="H4" s="34">
        <v>23</v>
      </c>
      <c r="I4" s="34">
        <v>23</v>
      </c>
      <c r="J4" s="34">
        <v>24</v>
      </c>
      <c r="K4" s="34">
        <v>25</v>
      </c>
      <c r="L4" s="34">
        <v>21</v>
      </c>
      <c r="M4" s="34">
        <v>18</v>
      </c>
      <c r="N4" s="34">
        <v>17</v>
      </c>
      <c r="O4" s="34">
        <v>24</v>
      </c>
      <c r="P4" s="37" t="s">
        <v>397</v>
      </c>
    </row>
    <row r="5" spans="3:16" ht="15" thickBot="1" x14ac:dyDescent="0.35">
      <c r="C5" t="s">
        <v>398</v>
      </c>
      <c r="E5" s="69">
        <v>4802</v>
      </c>
      <c r="F5" s="34">
        <v>4</v>
      </c>
      <c r="G5" s="34">
        <v>1000</v>
      </c>
      <c r="H5" s="34">
        <v>521</v>
      </c>
      <c r="I5" s="34">
        <v>555</v>
      </c>
      <c r="J5" s="34">
        <v>598</v>
      </c>
      <c r="K5" s="34">
        <v>640</v>
      </c>
      <c r="L5" s="34">
        <v>560</v>
      </c>
      <c r="M5" s="34">
        <v>378</v>
      </c>
      <c r="N5" s="34">
        <v>253</v>
      </c>
      <c r="O5" s="34">
        <v>293</v>
      </c>
      <c r="P5" s="37" t="s">
        <v>397</v>
      </c>
    </row>
    <row r="6" spans="3:16" ht="15" thickBot="1" x14ac:dyDescent="0.35">
      <c r="C6" t="s">
        <v>400</v>
      </c>
      <c r="E6" s="69">
        <v>7735</v>
      </c>
      <c r="F6" s="34">
        <v>2</v>
      </c>
      <c r="G6" s="34">
        <v>2371</v>
      </c>
      <c r="H6" s="34">
        <v>883</v>
      </c>
      <c r="I6" s="34">
        <v>874</v>
      </c>
      <c r="J6" s="34">
        <v>846</v>
      </c>
      <c r="K6" s="34">
        <v>768</v>
      </c>
      <c r="L6" s="34">
        <v>632</v>
      </c>
      <c r="M6" s="34">
        <v>502</v>
      </c>
      <c r="N6" s="34">
        <v>381</v>
      </c>
      <c r="O6" s="34">
        <v>476</v>
      </c>
      <c r="P6" s="37" t="s">
        <v>397</v>
      </c>
    </row>
    <row r="7" spans="3:16" ht="15" thickBot="1" x14ac:dyDescent="0.35">
      <c r="C7" t="s">
        <v>401</v>
      </c>
      <c r="E7" s="34">
        <v>3915</v>
      </c>
      <c r="F7" s="35" t="s">
        <v>349</v>
      </c>
      <c r="G7" s="34">
        <v>945</v>
      </c>
      <c r="H7" s="34">
        <v>516</v>
      </c>
      <c r="I7" s="34">
        <v>503</v>
      </c>
      <c r="J7" s="34">
        <v>482</v>
      </c>
      <c r="K7" s="34">
        <v>451</v>
      </c>
      <c r="L7" s="34">
        <v>378</v>
      </c>
      <c r="M7" s="34">
        <v>283</v>
      </c>
      <c r="N7" s="34">
        <v>174</v>
      </c>
      <c r="O7" s="34">
        <v>183</v>
      </c>
      <c r="P7" s="37" t="s">
        <v>397</v>
      </c>
    </row>
    <row r="8" spans="3:16" ht="15" thickBot="1" x14ac:dyDescent="0.35">
      <c r="C8" t="s">
        <v>403</v>
      </c>
      <c r="E8" s="69">
        <v>2330</v>
      </c>
      <c r="F8" s="35" t="s">
        <v>349</v>
      </c>
      <c r="G8" s="34">
        <v>834</v>
      </c>
      <c r="H8" s="34">
        <v>252</v>
      </c>
      <c r="I8" s="34">
        <v>213</v>
      </c>
      <c r="J8" s="34">
        <v>202</v>
      </c>
      <c r="K8" s="34">
        <v>198</v>
      </c>
      <c r="L8" s="34">
        <v>176</v>
      </c>
      <c r="M8" s="34">
        <v>156</v>
      </c>
      <c r="N8" s="34">
        <v>129</v>
      </c>
      <c r="O8" s="34">
        <v>170</v>
      </c>
      <c r="P8" s="3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M39"/>
  <sheetViews>
    <sheetView topLeftCell="A30" workbookViewId="0">
      <selection activeCell="N43" sqref="N43"/>
    </sheetView>
  </sheetViews>
  <sheetFormatPr defaultRowHeight="14.4" x14ac:dyDescent="0.3"/>
  <cols>
    <col min="2" max="2" width="11.6640625" customWidth="1"/>
    <col min="3" max="3" width="12.6640625" customWidth="1"/>
    <col min="4" max="4" width="17.33203125" customWidth="1"/>
    <col min="5" max="5" width="22" customWidth="1"/>
  </cols>
  <sheetData>
    <row r="2" spans="2:8" x14ac:dyDescent="0.3">
      <c r="B2" t="s">
        <v>416</v>
      </c>
    </row>
    <row r="4" spans="2:8" ht="18" x14ac:dyDescent="0.35">
      <c r="B4" s="53" t="s">
        <v>417</v>
      </c>
    </row>
    <row r="5" spans="2:8" ht="18" x14ac:dyDescent="0.35">
      <c r="B5" s="53" t="s">
        <v>418</v>
      </c>
    </row>
    <row r="6" spans="2:8" x14ac:dyDescent="0.3">
      <c r="B6" t="s">
        <v>419</v>
      </c>
      <c r="E6" t="s">
        <v>420</v>
      </c>
    </row>
    <row r="7" spans="2:8" ht="15" thickBot="1" x14ac:dyDescent="0.35">
      <c r="C7" t="s">
        <v>421</v>
      </c>
      <c r="D7" t="s">
        <v>422</v>
      </c>
      <c r="E7" t="s">
        <v>423</v>
      </c>
    </row>
    <row r="8" spans="2:8" ht="16.2" thickBot="1" x14ac:dyDescent="0.35">
      <c r="B8" s="32" t="s">
        <v>394</v>
      </c>
      <c r="C8">
        <v>22.2</v>
      </c>
      <c r="D8">
        <v>57</v>
      </c>
      <c r="E8" s="51" t="s">
        <v>424</v>
      </c>
    </row>
    <row r="9" spans="2:8" ht="15.6" x14ac:dyDescent="0.3">
      <c r="B9" t="s">
        <v>398</v>
      </c>
      <c r="C9">
        <v>5.9</v>
      </c>
      <c r="D9">
        <v>58</v>
      </c>
      <c r="E9" s="52" t="s">
        <v>425</v>
      </c>
    </row>
    <row r="10" spans="2:8" ht="15.6" x14ac:dyDescent="0.3">
      <c r="B10" t="s">
        <v>400</v>
      </c>
      <c r="C10">
        <v>19.2</v>
      </c>
      <c r="D10">
        <v>60</v>
      </c>
      <c r="E10" s="52" t="s">
        <v>426</v>
      </c>
    </row>
    <row r="11" spans="2:8" ht="15.6" x14ac:dyDescent="0.3">
      <c r="B11" t="s">
        <v>401</v>
      </c>
      <c r="C11">
        <v>7.1</v>
      </c>
      <c r="D11">
        <v>58</v>
      </c>
      <c r="E11" s="52" t="s">
        <v>427</v>
      </c>
    </row>
    <row r="12" spans="2:8" ht="15.6" x14ac:dyDescent="0.3">
      <c r="B12" t="s">
        <v>403</v>
      </c>
      <c r="C12">
        <v>12.9</v>
      </c>
      <c r="D12">
        <v>57</v>
      </c>
      <c r="E12" s="52" t="s">
        <v>428</v>
      </c>
    </row>
    <row r="15" spans="2:8" ht="93" customHeight="1" x14ac:dyDescent="0.3">
      <c r="B15" s="106" t="s">
        <v>429</v>
      </c>
      <c r="C15" s="106"/>
      <c r="D15" s="106"/>
      <c r="E15" s="106"/>
      <c r="F15" s="106"/>
      <c r="G15" s="106"/>
      <c r="H15" s="106"/>
    </row>
    <row r="16" spans="2:8" ht="15.6" thickBot="1" x14ac:dyDescent="0.35">
      <c r="B16" s="49" t="s">
        <v>430</v>
      </c>
    </row>
    <row r="17" spans="2:13" ht="15" thickBot="1" x14ac:dyDescent="0.35">
      <c r="B17" s="127" t="s">
        <v>431</v>
      </c>
      <c r="C17" s="129" t="s">
        <v>432</v>
      </c>
      <c r="D17" s="130"/>
      <c r="E17" s="127" t="s">
        <v>433</v>
      </c>
    </row>
    <row r="18" spans="2:13" ht="15" thickBot="1" x14ac:dyDescent="0.35">
      <c r="B18" s="128"/>
      <c r="C18" s="47" t="s">
        <v>434</v>
      </c>
      <c r="D18" s="47" t="s">
        <v>435</v>
      </c>
      <c r="E18" s="128"/>
    </row>
    <row r="19" spans="2:13" ht="28.2" thickBot="1" x14ac:dyDescent="0.35">
      <c r="B19" s="48" t="s">
        <v>400</v>
      </c>
      <c r="C19" s="50">
        <v>13.1</v>
      </c>
      <c r="D19" s="48">
        <v>4</v>
      </c>
      <c r="E19" s="48">
        <v>3.3</v>
      </c>
      <c r="M19" s="78"/>
    </row>
    <row r="20" spans="2:13" ht="15" thickBot="1" x14ac:dyDescent="0.35">
      <c r="B20" s="48" t="s">
        <v>436</v>
      </c>
      <c r="C20" s="48">
        <v>12.4</v>
      </c>
      <c r="D20" s="48">
        <v>7.1</v>
      </c>
      <c r="E20" s="48">
        <v>1.7</v>
      </c>
      <c r="M20" s="78"/>
    </row>
    <row r="21" spans="2:13" ht="15" thickBot="1" x14ac:dyDescent="0.35">
      <c r="B21" s="48" t="s">
        <v>437</v>
      </c>
      <c r="C21" s="48">
        <v>10.5</v>
      </c>
      <c r="D21" s="48">
        <v>5.8</v>
      </c>
      <c r="E21" s="48">
        <v>1.8</v>
      </c>
      <c r="M21" s="78" t="s">
        <v>438</v>
      </c>
    </row>
    <row r="22" spans="2:13" ht="15" thickBot="1" x14ac:dyDescent="0.35">
      <c r="B22" s="48" t="s">
        <v>439</v>
      </c>
      <c r="C22" s="48">
        <v>6.6</v>
      </c>
      <c r="D22" s="48">
        <v>4.0999999999999996</v>
      </c>
      <c r="E22" s="48">
        <v>1.6</v>
      </c>
      <c r="M22" s="78"/>
    </row>
    <row r="23" spans="2:13" ht="28.2" thickBot="1" x14ac:dyDescent="0.35">
      <c r="B23" s="48" t="s">
        <v>440</v>
      </c>
      <c r="C23" s="48">
        <v>6.1</v>
      </c>
      <c r="D23" s="48">
        <v>2.7</v>
      </c>
      <c r="E23" s="48">
        <v>2.2999999999999998</v>
      </c>
      <c r="M23" s="78" t="s">
        <v>441</v>
      </c>
    </row>
    <row r="24" spans="2:13" ht="15" thickBot="1" x14ac:dyDescent="0.35">
      <c r="B24" s="48" t="s">
        <v>394</v>
      </c>
      <c r="C24" s="50">
        <v>6</v>
      </c>
      <c r="D24" s="48">
        <v>3.5</v>
      </c>
      <c r="E24" s="48">
        <v>1.7</v>
      </c>
      <c r="M24" s="78" t="s">
        <v>442</v>
      </c>
    </row>
    <row r="25" spans="2:13" ht="15" thickBot="1" x14ac:dyDescent="0.35">
      <c r="B25" s="48" t="s">
        <v>403</v>
      </c>
      <c r="C25" s="50">
        <v>4.5</v>
      </c>
      <c r="D25" s="48">
        <v>4.4000000000000004</v>
      </c>
      <c r="E25" s="48">
        <v>1</v>
      </c>
      <c r="M25" s="78" t="s">
        <v>443</v>
      </c>
    </row>
    <row r="26" spans="2:13" ht="15" thickBot="1" x14ac:dyDescent="0.35">
      <c r="B26" s="48" t="s">
        <v>401</v>
      </c>
      <c r="C26" s="50">
        <v>4.2</v>
      </c>
      <c r="D26" s="48">
        <v>2.4</v>
      </c>
      <c r="E26" s="48">
        <v>1.8</v>
      </c>
      <c r="M26" s="78" t="s">
        <v>444</v>
      </c>
    </row>
    <row r="27" spans="2:13" ht="15" thickBot="1" x14ac:dyDescent="0.35">
      <c r="B27" s="48" t="s">
        <v>445</v>
      </c>
      <c r="C27" s="48">
        <v>3.8</v>
      </c>
      <c r="D27" s="48">
        <v>2.4</v>
      </c>
      <c r="E27" s="48">
        <v>1.6</v>
      </c>
      <c r="M27" s="78"/>
    </row>
    <row r="28" spans="2:13" ht="15" thickBot="1" x14ac:dyDescent="0.35">
      <c r="B28" s="48" t="s">
        <v>398</v>
      </c>
      <c r="C28" s="50">
        <v>2.8</v>
      </c>
      <c r="D28" s="48">
        <v>1.7</v>
      </c>
      <c r="E28" s="48">
        <v>1.6</v>
      </c>
      <c r="M28" s="78" t="s">
        <v>446</v>
      </c>
    </row>
    <row r="29" spans="2:13" ht="15" thickBot="1" x14ac:dyDescent="0.35">
      <c r="B29" s="48" t="s">
        <v>447</v>
      </c>
      <c r="C29" s="48">
        <v>2.2000000000000002</v>
      </c>
      <c r="D29" s="48">
        <v>1.4</v>
      </c>
      <c r="E29" s="48">
        <v>1.6</v>
      </c>
      <c r="M29" s="78"/>
    </row>
    <row r="30" spans="2:13" ht="42" thickBot="1" x14ac:dyDescent="0.35">
      <c r="B30" s="48" t="s">
        <v>448</v>
      </c>
      <c r="C30" s="48">
        <v>1.5</v>
      </c>
      <c r="D30" s="48">
        <v>0.9</v>
      </c>
      <c r="E30" s="48">
        <v>1.7</v>
      </c>
      <c r="M30" s="78" t="s">
        <v>449</v>
      </c>
    </row>
    <row r="31" spans="2:13" ht="15" thickBot="1" x14ac:dyDescent="0.35">
      <c r="B31" s="48" t="s">
        <v>450</v>
      </c>
      <c r="C31" s="48">
        <v>1.2</v>
      </c>
      <c r="D31" s="48">
        <v>0.7</v>
      </c>
      <c r="E31" s="48">
        <v>1.7</v>
      </c>
      <c r="M31" s="86" t="s">
        <v>451</v>
      </c>
    </row>
    <row r="32" spans="2:13" ht="15" thickBot="1" x14ac:dyDescent="0.35">
      <c r="B32" s="48" t="s">
        <v>452</v>
      </c>
      <c r="C32" s="48">
        <v>1.2</v>
      </c>
      <c r="D32" s="48">
        <v>0.9</v>
      </c>
      <c r="E32" s="48">
        <v>1.3</v>
      </c>
      <c r="M32" s="86" t="s">
        <v>453</v>
      </c>
    </row>
    <row r="33" spans="13:13" x14ac:dyDescent="0.3">
      <c r="M33" s="87" t="s">
        <v>454</v>
      </c>
    </row>
    <row r="34" spans="13:13" x14ac:dyDescent="0.3">
      <c r="M34" s="86" t="s">
        <v>455</v>
      </c>
    </row>
    <row r="35" spans="13:13" x14ac:dyDescent="0.3">
      <c r="M35" s="78"/>
    </row>
    <row r="36" spans="13:13" x14ac:dyDescent="0.3">
      <c r="M36" s="78" t="s">
        <v>456</v>
      </c>
    </row>
    <row r="37" spans="13:13" x14ac:dyDescent="0.3">
      <c r="M37" s="78"/>
    </row>
    <row r="38" spans="13:13" x14ac:dyDescent="0.3">
      <c r="M38" s="78" t="s">
        <v>457</v>
      </c>
    </row>
    <row r="39" spans="13:13" x14ac:dyDescent="0.3">
      <c r="M39" s="78"/>
    </row>
  </sheetData>
  <mergeCells count="4">
    <mergeCell ref="B17:B18"/>
    <mergeCell ref="C17:D17"/>
    <mergeCell ref="E17:E18"/>
    <mergeCell ref="B15:H15"/>
  </mergeCells>
  <hyperlinks>
    <hyperlink ref="M33" r:id="rId1" display="mailto:krjones@rti.org" xr:uid="{00000000-0004-0000-0A00-000000000000}"/>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2:L13"/>
  <sheetViews>
    <sheetView workbookViewId="0">
      <selection activeCell="C8" sqref="C8:L8"/>
    </sheetView>
  </sheetViews>
  <sheetFormatPr defaultRowHeight="14.4" x14ac:dyDescent="0.3"/>
  <sheetData>
    <row r="2" spans="3:12" x14ac:dyDescent="0.3">
      <c r="C2" t="s">
        <v>458</v>
      </c>
    </row>
    <row r="3" spans="3:12" x14ac:dyDescent="0.3">
      <c r="C3" t="s">
        <v>322</v>
      </c>
    </row>
    <row r="6" spans="3:12" ht="63" customHeight="1" x14ac:dyDescent="0.3">
      <c r="C6" s="131" t="s">
        <v>459</v>
      </c>
      <c r="D6" s="131"/>
      <c r="E6" s="131"/>
      <c r="F6" s="131"/>
      <c r="G6" s="131"/>
      <c r="H6" s="131"/>
      <c r="I6" s="131"/>
      <c r="J6" s="131"/>
      <c r="K6" s="131"/>
      <c r="L6" s="131"/>
    </row>
    <row r="8" spans="3:12" ht="104.25" customHeight="1" x14ac:dyDescent="0.3">
      <c r="C8" s="106" t="s">
        <v>460</v>
      </c>
      <c r="D8" s="126"/>
      <c r="E8" s="126"/>
      <c r="F8" s="126"/>
      <c r="G8" s="126"/>
      <c r="H8" s="126"/>
      <c r="I8" s="126"/>
      <c r="J8" s="126"/>
      <c r="K8" s="126"/>
      <c r="L8" s="126"/>
    </row>
    <row r="11" spans="3:12" ht="63.75" customHeight="1" x14ac:dyDescent="0.3">
      <c r="C11" s="106" t="s">
        <v>461</v>
      </c>
      <c r="D11" s="126"/>
      <c r="E11" s="126"/>
      <c r="F11" s="126"/>
      <c r="G11" s="126"/>
      <c r="H11" s="126"/>
      <c r="I11" s="126"/>
      <c r="J11" s="126"/>
      <c r="K11" s="126"/>
      <c r="L11" s="126"/>
    </row>
    <row r="12" spans="3:12" ht="16.5" customHeight="1" x14ac:dyDescent="0.3"/>
    <row r="13" spans="3:12" ht="75.75" customHeight="1" x14ac:dyDescent="0.3">
      <c r="C13" s="106" t="s">
        <v>462</v>
      </c>
      <c r="D13" s="126"/>
      <c r="E13" s="126"/>
      <c r="F13" s="126"/>
      <c r="G13" s="126"/>
      <c r="H13" s="126"/>
      <c r="I13" s="126"/>
      <c r="J13" s="126"/>
      <c r="K13" s="126"/>
      <c r="L13" s="126"/>
    </row>
  </sheetData>
  <mergeCells count="4">
    <mergeCell ref="C6:L6"/>
    <mergeCell ref="C8:L8"/>
    <mergeCell ref="C11:L11"/>
    <mergeCell ref="C13:L1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O39"/>
  <sheetViews>
    <sheetView topLeftCell="A32" workbookViewId="0">
      <selection activeCell="I21" sqref="I21"/>
    </sheetView>
  </sheetViews>
  <sheetFormatPr defaultRowHeight="14.4" x14ac:dyDescent="0.3"/>
  <sheetData>
    <row r="3" spans="2:15" ht="72.75" customHeight="1" x14ac:dyDescent="0.3">
      <c r="B3" s="106" t="s">
        <v>463</v>
      </c>
      <c r="C3" s="126"/>
      <c r="D3" s="126"/>
      <c r="E3" s="126"/>
      <c r="F3" s="126"/>
      <c r="G3" s="126"/>
      <c r="H3" s="126"/>
      <c r="I3" s="126"/>
      <c r="J3" s="126"/>
      <c r="K3" s="126"/>
      <c r="L3" s="126"/>
      <c r="M3" s="126"/>
      <c r="N3" s="126"/>
      <c r="O3" s="126"/>
    </row>
    <row r="4" spans="2:15" x14ac:dyDescent="0.3">
      <c r="B4" t="s">
        <v>464</v>
      </c>
      <c r="G4" t="s">
        <v>465</v>
      </c>
    </row>
    <row r="5" spans="2:15" x14ac:dyDescent="0.3">
      <c r="B5" t="s">
        <v>334</v>
      </c>
    </row>
    <row r="6" spans="2:15" ht="80.25" customHeight="1" x14ac:dyDescent="0.3">
      <c r="B6" s="106" t="s">
        <v>466</v>
      </c>
      <c r="C6" s="126"/>
      <c r="D6" s="126"/>
      <c r="E6" s="126"/>
      <c r="F6" s="126"/>
      <c r="G6" s="126"/>
      <c r="H6" s="126"/>
      <c r="I6" s="126"/>
      <c r="J6" s="126"/>
      <c r="K6" s="126"/>
      <c r="L6" s="126"/>
      <c r="M6" s="126"/>
      <c r="N6" s="126"/>
      <c r="O6" s="126"/>
    </row>
    <row r="7" spans="2:15" x14ac:dyDescent="0.3">
      <c r="B7" t="s">
        <v>334</v>
      </c>
    </row>
    <row r="8" spans="2:15" x14ac:dyDescent="0.3">
      <c r="B8" t="s">
        <v>467</v>
      </c>
    </row>
    <row r="9" spans="2:15" x14ac:dyDescent="0.3">
      <c r="B9" t="s">
        <v>468</v>
      </c>
    </row>
    <row r="10" spans="2:15" x14ac:dyDescent="0.3">
      <c r="B10" t="s">
        <v>334</v>
      </c>
    </row>
    <row r="11" spans="2:15" ht="192.75" customHeight="1" x14ac:dyDescent="0.3">
      <c r="B11" s="106" t="s">
        <v>469</v>
      </c>
      <c r="C11" s="126"/>
      <c r="D11" s="126"/>
      <c r="E11" s="126"/>
      <c r="F11" s="126"/>
      <c r="G11" s="126"/>
      <c r="H11" s="126"/>
      <c r="I11" s="126"/>
      <c r="J11" s="126"/>
      <c r="K11" s="126"/>
      <c r="L11" s="126"/>
      <c r="M11" s="126"/>
      <c r="N11" s="126"/>
      <c r="O11" s="126"/>
    </row>
    <row r="14" spans="2:15" x14ac:dyDescent="0.3">
      <c r="B14" t="s">
        <v>334</v>
      </c>
      <c r="C14" s="109" t="s">
        <v>470</v>
      </c>
      <c r="D14" s="109"/>
      <c r="E14" s="109" t="s">
        <v>471</v>
      </c>
      <c r="F14" s="109"/>
    </row>
    <row r="15" spans="2:15" x14ac:dyDescent="0.3">
      <c r="B15" t="s">
        <v>334</v>
      </c>
      <c r="C15" t="s">
        <v>15</v>
      </c>
      <c r="D15" t="s">
        <v>20</v>
      </c>
      <c r="E15" t="s">
        <v>15</v>
      </c>
      <c r="F15" t="s">
        <v>20</v>
      </c>
    </row>
    <row r="16" spans="2:15" x14ac:dyDescent="0.3">
      <c r="B16" t="s">
        <v>472</v>
      </c>
      <c r="C16" t="s">
        <v>473</v>
      </c>
      <c r="E16" t="s">
        <v>474</v>
      </c>
    </row>
    <row r="19" spans="2:2" x14ac:dyDescent="0.3">
      <c r="B19" t="s">
        <v>475</v>
      </c>
    </row>
    <row r="23" spans="2:2" x14ac:dyDescent="0.3">
      <c r="B23" s="77" t="s">
        <v>476</v>
      </c>
    </row>
    <row r="24" spans="2:2" x14ac:dyDescent="0.3">
      <c r="B24" s="78"/>
    </row>
    <row r="25" spans="2:2" x14ac:dyDescent="0.3">
      <c r="B25" s="74" t="s">
        <v>467</v>
      </c>
    </row>
    <row r="26" spans="2:2" x14ac:dyDescent="0.3">
      <c r="B26" s="74" t="s">
        <v>477</v>
      </c>
    </row>
    <row r="27" spans="2:2" x14ac:dyDescent="0.3">
      <c r="B27" s="74"/>
    </row>
    <row r="28" spans="2:2" x14ac:dyDescent="0.3">
      <c r="B28" s="74" t="s">
        <v>478</v>
      </c>
    </row>
    <row r="29" spans="2:2" x14ac:dyDescent="0.3">
      <c r="B29" s="74"/>
    </row>
    <row r="30" spans="2:2" x14ac:dyDescent="0.3">
      <c r="B30" s="74" t="s">
        <v>479</v>
      </c>
    </row>
    <row r="31" spans="2:2" x14ac:dyDescent="0.3">
      <c r="B31" s="74"/>
    </row>
    <row r="32" spans="2:2" x14ac:dyDescent="0.3">
      <c r="B32" s="74" t="s">
        <v>480</v>
      </c>
    </row>
    <row r="33" spans="2:6" x14ac:dyDescent="0.3">
      <c r="B33" s="79"/>
      <c r="C33" s="132" t="s">
        <v>470</v>
      </c>
      <c r="D33" s="132"/>
      <c r="E33" s="132" t="s">
        <v>471</v>
      </c>
      <c r="F33" s="132"/>
    </row>
    <row r="34" spans="2:6" x14ac:dyDescent="0.3">
      <c r="B34" s="79"/>
      <c r="C34" s="80" t="s">
        <v>15</v>
      </c>
      <c r="D34" s="80" t="s">
        <v>20</v>
      </c>
      <c r="E34" s="80" t="s">
        <v>15</v>
      </c>
      <c r="F34" s="80" t="s">
        <v>20</v>
      </c>
    </row>
    <row r="35" spans="2:6" x14ac:dyDescent="0.3">
      <c r="B35" s="80" t="s">
        <v>472</v>
      </c>
      <c r="C35" s="80" t="s">
        <v>473</v>
      </c>
      <c r="D35" s="79"/>
      <c r="E35" s="80" t="s">
        <v>474</v>
      </c>
      <c r="F35" s="79"/>
    </row>
    <row r="36" spans="2:6" x14ac:dyDescent="0.3">
      <c r="B36" s="78"/>
    </row>
    <row r="37" spans="2:6" x14ac:dyDescent="0.3">
      <c r="B37" s="78"/>
    </row>
    <row r="38" spans="2:6" x14ac:dyDescent="0.3">
      <c r="B38" s="77" t="s">
        <v>481</v>
      </c>
    </row>
    <row r="39" spans="2:6" x14ac:dyDescent="0.3">
      <c r="B39" s="78" t="s">
        <v>482</v>
      </c>
    </row>
  </sheetData>
  <mergeCells count="7">
    <mergeCell ref="C33:D33"/>
    <mergeCell ref="E33:F33"/>
    <mergeCell ref="B3:O3"/>
    <mergeCell ref="B6:O6"/>
    <mergeCell ref="B11:O11"/>
    <mergeCell ref="E14:F14"/>
    <mergeCell ref="C14:D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3:H10"/>
  <sheetViews>
    <sheetView workbookViewId="0">
      <selection activeCell="C26" sqref="C26"/>
    </sheetView>
  </sheetViews>
  <sheetFormatPr defaultRowHeight="14.4" x14ac:dyDescent="0.3"/>
  <cols>
    <col min="4" max="4" width="14.88671875" customWidth="1"/>
  </cols>
  <sheetData>
    <row r="3" spans="3:8" x14ac:dyDescent="0.3">
      <c r="D3" t="s">
        <v>483</v>
      </c>
    </row>
    <row r="4" spans="3:8" x14ac:dyDescent="0.3">
      <c r="D4" t="s">
        <v>484</v>
      </c>
      <c r="E4" t="s">
        <v>485</v>
      </c>
      <c r="F4" t="s">
        <v>486</v>
      </c>
    </row>
    <row r="5" spans="3:8" x14ac:dyDescent="0.3">
      <c r="C5" t="s">
        <v>487</v>
      </c>
      <c r="D5">
        <v>0.2</v>
      </c>
      <c r="E5">
        <v>0.1</v>
      </c>
      <c r="F5">
        <v>0.3</v>
      </c>
    </row>
    <row r="6" spans="3:8" x14ac:dyDescent="0.3">
      <c r="C6" t="s">
        <v>488</v>
      </c>
      <c r="D6">
        <v>0.5</v>
      </c>
      <c r="E6">
        <v>0.4</v>
      </c>
      <c r="F6">
        <v>0.6</v>
      </c>
      <c r="H6" t="s">
        <v>489</v>
      </c>
    </row>
    <row r="7" spans="3:8" x14ac:dyDescent="0.3">
      <c r="C7" t="s">
        <v>490</v>
      </c>
      <c r="D7">
        <v>0.9</v>
      </c>
      <c r="E7">
        <v>0.8</v>
      </c>
      <c r="F7">
        <v>1</v>
      </c>
    </row>
    <row r="9" spans="3:8" x14ac:dyDescent="0.3">
      <c r="C9" t="s">
        <v>491</v>
      </c>
      <c r="D9" t="s">
        <v>492</v>
      </c>
    </row>
    <row r="10" spans="3:8" x14ac:dyDescent="0.3">
      <c r="D10" t="s">
        <v>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J31"/>
  <sheetViews>
    <sheetView zoomScaleNormal="100" workbookViewId="0">
      <selection activeCell="I13" sqref="I13"/>
    </sheetView>
  </sheetViews>
  <sheetFormatPr defaultRowHeight="14.4" x14ac:dyDescent="0.3"/>
  <cols>
    <col min="1" max="1" width="31.109375" customWidth="1"/>
  </cols>
  <sheetData>
    <row r="4" spans="1:6" x14ac:dyDescent="0.3">
      <c r="B4" t="s">
        <v>494</v>
      </c>
      <c r="C4" t="s">
        <v>485</v>
      </c>
      <c r="D4" t="s">
        <v>486</v>
      </c>
      <c r="E4" t="s">
        <v>495</v>
      </c>
      <c r="F4" t="s">
        <v>496</v>
      </c>
    </row>
    <row r="5" spans="1:6" x14ac:dyDescent="0.3">
      <c r="A5" t="s">
        <v>497</v>
      </c>
      <c r="B5" s="76">
        <v>15</v>
      </c>
      <c r="C5" s="76">
        <v>12</v>
      </c>
      <c r="D5" s="76">
        <v>25</v>
      </c>
      <c r="F5" t="s">
        <v>498</v>
      </c>
    </row>
    <row r="6" spans="1:6" x14ac:dyDescent="0.3">
      <c r="A6" t="s">
        <v>472</v>
      </c>
      <c r="B6" s="97">
        <v>2.52</v>
      </c>
      <c r="C6" s="97">
        <v>1.6</v>
      </c>
      <c r="D6" s="97">
        <v>3.52</v>
      </c>
      <c r="E6" t="s">
        <v>499</v>
      </c>
      <c r="F6" s="96">
        <v>2.52</v>
      </c>
    </row>
    <row r="7" spans="1:6" x14ac:dyDescent="0.3">
      <c r="A7" t="s">
        <v>500</v>
      </c>
      <c r="B7">
        <v>18</v>
      </c>
      <c r="C7" s="97">
        <v>8.52</v>
      </c>
      <c r="D7" s="97">
        <v>25</v>
      </c>
      <c r="E7" t="s">
        <v>501</v>
      </c>
    </row>
    <row r="8" spans="1:6" x14ac:dyDescent="0.3">
      <c r="A8" t="s">
        <v>502</v>
      </c>
      <c r="B8" s="97">
        <v>1.52</v>
      </c>
      <c r="C8" s="98" t="s">
        <v>349</v>
      </c>
      <c r="D8" s="97">
        <v>11.39</v>
      </c>
      <c r="E8" t="s">
        <v>499</v>
      </c>
    </row>
    <row r="9" spans="1:6" x14ac:dyDescent="0.3">
      <c r="A9" t="s">
        <v>503</v>
      </c>
      <c r="B9">
        <v>32</v>
      </c>
      <c r="C9" s="98" t="s">
        <v>349</v>
      </c>
      <c r="D9" s="97">
        <v>47.72</v>
      </c>
      <c r="E9" t="s">
        <v>499</v>
      </c>
      <c r="F9" t="s">
        <v>504</v>
      </c>
    </row>
    <row r="10" spans="1:6" x14ac:dyDescent="0.3">
      <c r="A10" t="s">
        <v>509</v>
      </c>
      <c r="B10">
        <f>B27+B29</f>
        <v>1186</v>
      </c>
      <c r="C10" s="98" t="s">
        <v>349</v>
      </c>
      <c r="D10" s="97">
        <v>1765</v>
      </c>
      <c r="F10" t="s">
        <v>504</v>
      </c>
    </row>
    <row r="11" spans="1:6" x14ac:dyDescent="0.3">
      <c r="A11" t="s">
        <v>510</v>
      </c>
      <c r="B11">
        <f>B27+B28+B29</f>
        <v>1389</v>
      </c>
      <c r="C11" s="98" t="s">
        <v>349</v>
      </c>
      <c r="D11" s="97">
        <v>2494</v>
      </c>
    </row>
    <row r="12" spans="1:6" x14ac:dyDescent="0.3">
      <c r="A12" t="s">
        <v>511</v>
      </c>
      <c r="B12">
        <f>B28+B29+B30</f>
        <v>1146</v>
      </c>
      <c r="C12" s="98" t="s">
        <v>349</v>
      </c>
      <c r="D12" s="97">
        <v>1689</v>
      </c>
    </row>
    <row r="20" spans="1:10" x14ac:dyDescent="0.3">
      <c r="A20" t="s">
        <v>512</v>
      </c>
      <c r="B20" s="76">
        <v>251</v>
      </c>
      <c r="E20" t="s">
        <v>513</v>
      </c>
    </row>
    <row r="22" spans="1:10" x14ac:dyDescent="0.3">
      <c r="A22" t="s">
        <v>514</v>
      </c>
      <c r="B22">
        <v>250</v>
      </c>
      <c r="E22" t="s">
        <v>515</v>
      </c>
    </row>
    <row r="26" spans="1:10" x14ac:dyDescent="0.3">
      <c r="J26" t="s">
        <v>516</v>
      </c>
    </row>
    <row r="27" spans="1:10" x14ac:dyDescent="0.3">
      <c r="A27" t="s">
        <v>505</v>
      </c>
      <c r="B27">
        <v>582</v>
      </c>
      <c r="C27" s="97"/>
      <c r="D27" s="97"/>
      <c r="E27" t="s">
        <v>499</v>
      </c>
    </row>
    <row r="28" spans="1:10" x14ac:dyDescent="0.3">
      <c r="A28" t="s">
        <v>506</v>
      </c>
      <c r="B28">
        <v>203</v>
      </c>
      <c r="C28" s="97"/>
      <c r="D28" s="97"/>
      <c r="E28" t="s">
        <v>499</v>
      </c>
    </row>
    <row r="29" spans="1:10" x14ac:dyDescent="0.3">
      <c r="A29" t="s">
        <v>507</v>
      </c>
      <c r="B29">
        <v>604</v>
      </c>
      <c r="C29" s="97"/>
      <c r="D29" s="97"/>
      <c r="E29" t="s">
        <v>499</v>
      </c>
    </row>
    <row r="30" spans="1:10" x14ac:dyDescent="0.3">
      <c r="A30" t="s">
        <v>508</v>
      </c>
      <c r="B30">
        <v>339</v>
      </c>
      <c r="C30" s="97"/>
      <c r="D30" s="97"/>
      <c r="E30" t="s">
        <v>499</v>
      </c>
    </row>
    <row r="31" spans="1:10" x14ac:dyDescent="0.3">
      <c r="C31" s="97"/>
      <c r="D31" s="9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C77E-7ECE-44F4-8D61-B1299B4BF00F}">
  <dimension ref="D2:L20"/>
  <sheetViews>
    <sheetView workbookViewId="0">
      <selection activeCell="I9" sqref="I9"/>
    </sheetView>
  </sheetViews>
  <sheetFormatPr defaultRowHeight="14.4" x14ac:dyDescent="0.3"/>
  <sheetData>
    <row r="2" spans="4:12" x14ac:dyDescent="0.3">
      <c r="D2" s="133" t="s">
        <v>525</v>
      </c>
      <c r="E2" s="133"/>
      <c r="F2" s="133"/>
    </row>
    <row r="3" spans="4:12" ht="28.8" x14ac:dyDescent="0.3">
      <c r="D3" s="100" t="s">
        <v>526</v>
      </c>
      <c r="E3" s="100" t="s">
        <v>527</v>
      </c>
      <c r="F3" s="100" t="s">
        <v>528</v>
      </c>
    </row>
    <row r="4" spans="4:12" x14ac:dyDescent="0.3">
      <c r="D4" s="101">
        <v>0.9</v>
      </c>
      <c r="E4" s="101">
        <v>0.56999999999999995</v>
      </c>
      <c r="F4" s="99">
        <v>18</v>
      </c>
      <c r="G4" t="s">
        <v>529</v>
      </c>
    </row>
    <row r="5" spans="4:12" x14ac:dyDescent="0.3">
      <c r="D5" s="99"/>
      <c r="E5" s="99"/>
      <c r="F5" s="99"/>
      <c r="G5" t="s">
        <v>530</v>
      </c>
    </row>
    <row r="6" spans="4:12" x14ac:dyDescent="0.3">
      <c r="D6" s="99"/>
      <c r="E6" s="99"/>
      <c r="F6" s="99"/>
    </row>
    <row r="7" spans="4:12" x14ac:dyDescent="0.3">
      <c r="D7" s="99"/>
      <c r="E7" s="99"/>
      <c r="F7" s="99"/>
    </row>
    <row r="8" spans="4:12" x14ac:dyDescent="0.3">
      <c r="D8" s="102">
        <v>0.99</v>
      </c>
      <c r="E8" s="101">
        <v>0.56999999999999995</v>
      </c>
      <c r="F8" s="99"/>
    </row>
    <row r="9" spans="4:12" x14ac:dyDescent="0.3">
      <c r="D9" s="102">
        <v>0.69</v>
      </c>
      <c r="E9" s="101">
        <v>0.56999999999999995</v>
      </c>
      <c r="F9" s="99"/>
    </row>
    <row r="10" spans="4:12" x14ac:dyDescent="0.3">
      <c r="L10" t="s">
        <v>534</v>
      </c>
    </row>
    <row r="13" spans="4:12" x14ac:dyDescent="0.3">
      <c r="D13" s="133" t="s">
        <v>531</v>
      </c>
      <c r="E13" s="133"/>
      <c r="F13" s="133"/>
    </row>
    <row r="14" spans="4:12" ht="28.8" x14ac:dyDescent="0.3">
      <c r="D14" s="100" t="s">
        <v>526</v>
      </c>
      <c r="E14" s="100" t="s">
        <v>527</v>
      </c>
      <c r="F14" s="100" t="s">
        <v>528</v>
      </c>
    </row>
    <row r="15" spans="4:12" x14ac:dyDescent="0.3">
      <c r="D15" s="102">
        <v>0.73</v>
      </c>
      <c r="E15" s="102">
        <v>0.75</v>
      </c>
      <c r="F15" s="103">
        <v>3</v>
      </c>
      <c r="G15" t="s">
        <v>533</v>
      </c>
    </row>
    <row r="16" spans="4:12" x14ac:dyDescent="0.3">
      <c r="D16" s="102"/>
      <c r="E16" s="102"/>
      <c r="F16" s="99"/>
    </row>
    <row r="17" spans="4:7" x14ac:dyDescent="0.3">
      <c r="D17" s="102"/>
      <c r="E17" s="102"/>
      <c r="F17" s="99"/>
    </row>
    <row r="18" spans="4:7" x14ac:dyDescent="0.3">
      <c r="D18" s="102">
        <v>0.84</v>
      </c>
      <c r="E18" s="102">
        <v>0.85</v>
      </c>
      <c r="F18" s="99" t="s">
        <v>334</v>
      </c>
      <c r="G18" t="s">
        <v>530</v>
      </c>
    </row>
    <row r="19" spans="4:7" x14ac:dyDescent="0.3">
      <c r="D19" s="102">
        <v>0.63</v>
      </c>
      <c r="E19" s="102">
        <v>0.75</v>
      </c>
      <c r="F19" s="99" t="s">
        <v>532</v>
      </c>
    </row>
    <row r="20" spans="4:7" x14ac:dyDescent="0.3">
      <c r="D20" s="99"/>
      <c r="E20" s="99"/>
      <c r="F20" s="99"/>
    </row>
  </sheetData>
  <mergeCells count="2">
    <mergeCell ref="D2:F2"/>
    <mergeCell ref="D13:F1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B7"/>
  <sheetViews>
    <sheetView workbookViewId="0">
      <selection activeCell="B3" sqref="B3"/>
    </sheetView>
  </sheetViews>
  <sheetFormatPr defaultRowHeight="14.4" x14ac:dyDescent="0.3"/>
  <sheetData>
    <row r="3" spans="2:2" x14ac:dyDescent="0.3">
      <c r="B3" s="73" t="s">
        <v>517</v>
      </c>
    </row>
    <row r="4" spans="2:2" x14ac:dyDescent="0.3">
      <c r="B4" s="74"/>
    </row>
    <row r="5" spans="2:2" x14ac:dyDescent="0.3">
      <c r="B5" s="73" t="s">
        <v>518</v>
      </c>
    </row>
    <row r="6" spans="2:2" x14ac:dyDescent="0.3">
      <c r="B6" s="74"/>
    </row>
    <row r="7" spans="2:2" x14ac:dyDescent="0.3">
      <c r="B7" s="73" t="s">
        <v>519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B10"/>
  <sheetViews>
    <sheetView workbookViewId="0">
      <selection activeCell="J10" sqref="J10"/>
    </sheetView>
  </sheetViews>
  <sheetFormatPr defaultRowHeight="14.4" x14ac:dyDescent="0.3"/>
  <sheetData>
    <row r="3" spans="2:2" x14ac:dyDescent="0.3">
      <c r="B3" s="70" t="s">
        <v>520</v>
      </c>
    </row>
    <row r="4" spans="2:2" x14ac:dyDescent="0.3">
      <c r="B4" s="71" t="s">
        <v>521</v>
      </c>
    </row>
    <row r="5" spans="2:2" x14ac:dyDescent="0.3">
      <c r="B5" s="71" t="s">
        <v>522</v>
      </c>
    </row>
    <row r="6" spans="2:2" x14ac:dyDescent="0.3">
      <c r="B6" s="71" t="s">
        <v>523</v>
      </c>
    </row>
    <row r="7" spans="2:2" x14ac:dyDescent="0.3">
      <c r="B7" s="70"/>
    </row>
    <row r="8" spans="2:2" x14ac:dyDescent="0.3">
      <c r="B8" s="70" t="s">
        <v>524</v>
      </c>
    </row>
    <row r="9" spans="2:2" x14ac:dyDescent="0.3">
      <c r="B9" s="70"/>
    </row>
    <row r="10" spans="2:2" x14ac:dyDescent="0.3">
      <c r="B10" s="72" t="s">
        <v>334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69"/>
  <sheetViews>
    <sheetView topLeftCell="A22" workbookViewId="0">
      <selection activeCell="C23" sqref="C23"/>
    </sheetView>
  </sheetViews>
  <sheetFormatPr defaultRowHeight="14.4" x14ac:dyDescent="0.3"/>
  <cols>
    <col min="2" max="2" width="23" customWidth="1"/>
  </cols>
  <sheetData>
    <row r="2" spans="2:11" ht="15" thickBot="1" x14ac:dyDescent="0.35"/>
    <row r="3" spans="2:11" ht="69" thickTop="1" x14ac:dyDescent="0.3">
      <c r="B3" s="7"/>
      <c r="C3" s="114" t="s">
        <v>2</v>
      </c>
      <c r="D3" s="114"/>
      <c r="E3" s="114"/>
      <c r="F3" s="115"/>
      <c r="G3" s="116" t="s">
        <v>3</v>
      </c>
      <c r="H3" s="114"/>
      <c r="I3" s="114"/>
      <c r="J3" s="115"/>
      <c r="K3" s="95" t="s">
        <v>111</v>
      </c>
    </row>
    <row r="4" spans="2:11" ht="45.6" x14ac:dyDescent="0.3">
      <c r="B4" s="9"/>
      <c r="C4" s="9"/>
      <c r="D4" s="9"/>
      <c r="E4" s="9"/>
      <c r="F4" s="10"/>
      <c r="G4" s="9"/>
      <c r="H4" s="9"/>
      <c r="I4" s="9"/>
      <c r="J4" s="10"/>
      <c r="K4" s="8" t="s">
        <v>112</v>
      </c>
    </row>
    <row r="5" spans="2:11" ht="15" thickBot="1" x14ac:dyDescent="0.35">
      <c r="B5" s="11"/>
      <c r="C5" s="11" t="s">
        <v>15</v>
      </c>
      <c r="D5" s="11" t="s">
        <v>16</v>
      </c>
      <c r="E5" s="11" t="s">
        <v>17</v>
      </c>
      <c r="F5" s="12" t="s">
        <v>18</v>
      </c>
      <c r="G5" s="11" t="s">
        <v>15</v>
      </c>
      <c r="H5" s="11" t="s">
        <v>19</v>
      </c>
      <c r="I5" s="11" t="s">
        <v>17</v>
      </c>
      <c r="J5" s="12" t="s">
        <v>18</v>
      </c>
      <c r="K5" s="13" t="s">
        <v>113</v>
      </c>
    </row>
    <row r="6" spans="2:11" ht="15" thickTop="1" x14ac:dyDescent="0.3">
      <c r="B6" s="14" t="s">
        <v>114</v>
      </c>
      <c r="C6" s="15"/>
      <c r="D6" s="15"/>
      <c r="E6" s="15"/>
      <c r="F6" s="16"/>
      <c r="G6" s="15"/>
      <c r="H6" s="15"/>
      <c r="I6" s="15"/>
      <c r="J6" s="16"/>
      <c r="K6" s="17"/>
    </row>
    <row r="7" spans="2:11" x14ac:dyDescent="0.3">
      <c r="B7" s="14" t="s">
        <v>115</v>
      </c>
      <c r="C7" s="15">
        <v>0.5</v>
      </c>
      <c r="D7" s="15">
        <v>0.28799999999999998</v>
      </c>
      <c r="E7" s="15">
        <v>0</v>
      </c>
      <c r="F7" s="16">
        <v>1</v>
      </c>
      <c r="G7" s="15">
        <v>0.54300000000000004</v>
      </c>
      <c r="H7" s="15">
        <v>0.20599999999999999</v>
      </c>
      <c r="I7" s="15">
        <v>0</v>
      </c>
      <c r="J7" s="16">
        <v>0.88</v>
      </c>
      <c r="K7" s="17">
        <v>4.3658999999999999</v>
      </c>
    </row>
    <row r="8" spans="2:11" x14ac:dyDescent="0.3">
      <c r="B8" s="14" t="s">
        <v>116</v>
      </c>
      <c r="C8" s="15">
        <v>0.75</v>
      </c>
      <c r="D8" s="15">
        <v>0.221</v>
      </c>
      <c r="E8" s="15">
        <v>0</v>
      </c>
      <c r="F8" s="16">
        <v>1</v>
      </c>
      <c r="G8" s="15">
        <v>0.78500000000000003</v>
      </c>
      <c r="H8" s="15">
        <v>0.13800000000000001</v>
      </c>
      <c r="I8" s="15">
        <v>0.21</v>
      </c>
      <c r="J8" s="16">
        <v>1</v>
      </c>
      <c r="K8" s="17">
        <v>3.5924999999999998</v>
      </c>
    </row>
    <row r="9" spans="2:11" x14ac:dyDescent="0.3">
      <c r="B9" s="14" t="s">
        <v>117</v>
      </c>
      <c r="C9" s="15">
        <v>0.749</v>
      </c>
      <c r="D9" s="15">
        <v>0.221</v>
      </c>
      <c r="E9" s="15">
        <v>0</v>
      </c>
      <c r="F9" s="16">
        <v>1</v>
      </c>
      <c r="G9" s="15">
        <v>0.78600000000000003</v>
      </c>
      <c r="H9" s="15">
        <v>0.16800000000000001</v>
      </c>
      <c r="I9" s="15">
        <v>7.0000000000000007E-2</v>
      </c>
      <c r="J9" s="16">
        <v>1</v>
      </c>
      <c r="K9" s="17">
        <v>3.6101000000000001</v>
      </c>
    </row>
    <row r="10" spans="2:11" x14ac:dyDescent="0.3">
      <c r="B10" s="14"/>
      <c r="C10" s="15"/>
      <c r="D10" s="15"/>
      <c r="E10" s="15"/>
      <c r="F10" s="16"/>
      <c r="G10" s="15"/>
      <c r="H10" s="15"/>
      <c r="I10" s="15"/>
      <c r="J10" s="16"/>
      <c r="K10" s="17"/>
    </row>
    <row r="11" spans="2:11" x14ac:dyDescent="0.3">
      <c r="B11" s="14" t="s">
        <v>118</v>
      </c>
      <c r="C11" s="15"/>
      <c r="D11" s="15"/>
      <c r="E11" s="15"/>
      <c r="F11" s="16"/>
      <c r="G11" s="15"/>
      <c r="H11" s="15"/>
      <c r="I11" s="15"/>
      <c r="J11" s="16"/>
      <c r="K11" s="17"/>
    </row>
    <row r="12" spans="2:11" x14ac:dyDescent="0.3">
      <c r="B12" s="14" t="s">
        <v>119</v>
      </c>
      <c r="C12" s="15">
        <v>2.5009999999999999</v>
      </c>
      <c r="D12" s="15">
        <v>0.86599999999999999</v>
      </c>
      <c r="E12" s="15">
        <v>1</v>
      </c>
      <c r="F12" s="16">
        <v>4</v>
      </c>
      <c r="G12" s="15">
        <v>3.234</v>
      </c>
      <c r="H12" s="15">
        <v>0.57799999999999996</v>
      </c>
      <c r="I12" s="15">
        <v>1.19</v>
      </c>
      <c r="J12" s="16">
        <v>4</v>
      </c>
      <c r="K12" s="17">
        <v>24.459</v>
      </c>
    </row>
    <row r="13" spans="2:11" x14ac:dyDescent="0.3">
      <c r="B13" s="14" t="s">
        <v>120</v>
      </c>
      <c r="C13" s="15">
        <v>4.5060000000000002</v>
      </c>
      <c r="D13" s="15">
        <v>2.0190000000000001</v>
      </c>
      <c r="E13" s="15">
        <v>1</v>
      </c>
      <c r="F13" s="16">
        <v>8</v>
      </c>
      <c r="G13" s="15">
        <v>4.9009999999999998</v>
      </c>
      <c r="H13" s="15">
        <v>1.8009999999999999</v>
      </c>
      <c r="I13" s="15">
        <v>1.17</v>
      </c>
      <c r="J13" s="16">
        <v>8</v>
      </c>
      <c r="K13" s="17">
        <v>5.6482000000000001</v>
      </c>
    </row>
    <row r="14" spans="2:11" x14ac:dyDescent="0.3">
      <c r="B14" s="14" t="s">
        <v>116</v>
      </c>
      <c r="C14" s="15">
        <v>7.1280000000000001</v>
      </c>
      <c r="D14" s="15">
        <v>1.022</v>
      </c>
      <c r="E14" s="15">
        <v>1.2</v>
      </c>
      <c r="F14" s="16">
        <v>8</v>
      </c>
      <c r="G14" s="15">
        <v>7.2850000000000001</v>
      </c>
      <c r="H14" s="15">
        <v>0.78</v>
      </c>
      <c r="I14" s="15">
        <v>3.21</v>
      </c>
      <c r="J14" s="16">
        <v>8</v>
      </c>
      <c r="K14" s="17">
        <v>2.3068</v>
      </c>
    </row>
    <row r="15" spans="2:11" x14ac:dyDescent="0.3">
      <c r="B15" s="14" t="s">
        <v>117</v>
      </c>
      <c r="C15" s="15">
        <v>6.2560000000000002</v>
      </c>
      <c r="D15" s="15">
        <v>1.5389999999999999</v>
      </c>
      <c r="E15" s="15">
        <v>1.01</v>
      </c>
      <c r="F15" s="16">
        <v>8</v>
      </c>
      <c r="G15" s="15">
        <v>6.5519999999999996</v>
      </c>
      <c r="H15" s="15">
        <v>1.25</v>
      </c>
      <c r="I15" s="15">
        <v>2.74</v>
      </c>
      <c r="J15" s="16">
        <v>8</v>
      </c>
      <c r="K15" s="17">
        <v>4.2313999999999998</v>
      </c>
    </row>
    <row r="16" spans="2:11" x14ac:dyDescent="0.3">
      <c r="B16" s="14"/>
      <c r="C16" s="15"/>
      <c r="D16" s="15"/>
      <c r="E16" s="15"/>
      <c r="F16" s="16"/>
      <c r="G16" s="15"/>
      <c r="H16" s="15"/>
      <c r="I16" s="15"/>
      <c r="J16" s="16"/>
      <c r="K16" s="17"/>
    </row>
    <row r="17" spans="2:11" x14ac:dyDescent="0.3">
      <c r="B17" s="14" t="s">
        <v>121</v>
      </c>
      <c r="C17" s="15"/>
      <c r="D17" s="15"/>
      <c r="E17" s="15"/>
      <c r="F17" s="16"/>
      <c r="G17" s="15"/>
      <c r="H17" s="15"/>
      <c r="I17" s="15"/>
      <c r="J17" s="16"/>
      <c r="K17" s="17"/>
    </row>
    <row r="18" spans="2:11" x14ac:dyDescent="0.3">
      <c r="B18" s="14" t="s">
        <v>122</v>
      </c>
      <c r="C18" s="15">
        <v>3.05</v>
      </c>
      <c r="D18" s="15">
        <v>1.704</v>
      </c>
      <c r="E18" s="15">
        <v>0.1</v>
      </c>
      <c r="F18" s="16">
        <v>6</v>
      </c>
      <c r="G18" s="15">
        <v>3.8279999999999998</v>
      </c>
      <c r="H18" s="15">
        <v>1.4039999999999999</v>
      </c>
      <c r="I18" s="15">
        <v>0.23</v>
      </c>
      <c r="J18" s="16">
        <v>6</v>
      </c>
      <c r="K18" s="17">
        <v>13.178699999999999</v>
      </c>
    </row>
    <row r="19" spans="2:11" x14ac:dyDescent="0.3">
      <c r="B19" s="14" t="s">
        <v>120</v>
      </c>
      <c r="C19" s="15">
        <v>3.0529999999999999</v>
      </c>
      <c r="D19" s="15">
        <v>1.7010000000000001</v>
      </c>
      <c r="E19" s="15">
        <v>0.1</v>
      </c>
      <c r="F19" s="16">
        <v>6</v>
      </c>
      <c r="G19" s="15">
        <v>2.778</v>
      </c>
      <c r="H19" s="15">
        <v>1.4359999999999999</v>
      </c>
      <c r="I19" s="15">
        <v>0.21</v>
      </c>
      <c r="J19" s="16">
        <v>5.99</v>
      </c>
      <c r="K19" s="17">
        <v>-4.6662999999999997</v>
      </c>
    </row>
    <row r="20" spans="2:11" x14ac:dyDescent="0.3">
      <c r="B20" s="14" t="s">
        <v>116</v>
      </c>
      <c r="C20" s="15">
        <v>3.044</v>
      </c>
      <c r="D20" s="15">
        <v>1.702</v>
      </c>
      <c r="E20" s="15">
        <v>0.1</v>
      </c>
      <c r="F20" s="16">
        <v>6</v>
      </c>
      <c r="G20" s="15">
        <v>3.1280000000000001</v>
      </c>
      <c r="H20" s="15">
        <v>1.61</v>
      </c>
      <c r="I20" s="15">
        <v>0.13</v>
      </c>
      <c r="J20" s="16">
        <v>5.98</v>
      </c>
      <c r="K20" s="17">
        <v>1.4221999999999999</v>
      </c>
    </row>
    <row r="21" spans="2:11" x14ac:dyDescent="0.3">
      <c r="B21" s="14" t="s">
        <v>117</v>
      </c>
      <c r="C21" s="15">
        <v>3.0539999999999998</v>
      </c>
      <c r="D21" s="15">
        <v>1.7030000000000001</v>
      </c>
      <c r="E21" s="15">
        <v>0.1</v>
      </c>
      <c r="F21" s="16">
        <v>6</v>
      </c>
      <c r="G21" s="15">
        <v>2.7770000000000001</v>
      </c>
      <c r="H21" s="15">
        <v>1.5669999999999999</v>
      </c>
      <c r="I21" s="15">
        <v>0.12</v>
      </c>
      <c r="J21" s="16">
        <v>5.98</v>
      </c>
      <c r="K21" s="17">
        <v>-4.6848000000000001</v>
      </c>
    </row>
    <row r="22" spans="2:11" x14ac:dyDescent="0.3">
      <c r="B22" s="14"/>
      <c r="C22" s="15"/>
      <c r="D22" s="15"/>
      <c r="E22" s="15"/>
      <c r="F22" s="16"/>
      <c r="G22" s="15"/>
      <c r="H22" s="15"/>
      <c r="I22" s="15"/>
      <c r="J22" s="16"/>
      <c r="K22" s="17"/>
    </row>
    <row r="23" spans="2:11" x14ac:dyDescent="0.3">
      <c r="B23" s="14" t="s">
        <v>123</v>
      </c>
      <c r="C23" s="15"/>
      <c r="D23" s="15"/>
      <c r="E23" s="15"/>
      <c r="F23" s="16"/>
      <c r="G23" s="15"/>
      <c r="H23" s="15"/>
      <c r="I23" s="15"/>
      <c r="J23" s="16"/>
      <c r="K23" s="17"/>
    </row>
    <row r="24" spans="2:11" x14ac:dyDescent="0.3">
      <c r="B24" s="14" t="s">
        <v>119</v>
      </c>
      <c r="C24" s="15">
        <v>2.25</v>
      </c>
      <c r="D24" s="15">
        <v>1.0109999999999999</v>
      </c>
      <c r="E24" s="15">
        <v>0.5</v>
      </c>
      <c r="F24" s="16">
        <v>4</v>
      </c>
      <c r="G24" s="15">
        <v>2.0979999999999999</v>
      </c>
      <c r="H24" s="15">
        <v>0.97399999999999998</v>
      </c>
      <c r="I24" s="15">
        <v>0.51</v>
      </c>
      <c r="J24" s="16">
        <v>4</v>
      </c>
      <c r="K24" s="17">
        <v>-4.3319999999999999</v>
      </c>
    </row>
    <row r="25" spans="2:11" x14ac:dyDescent="0.3">
      <c r="B25" s="14" t="s">
        <v>120</v>
      </c>
      <c r="C25" s="15">
        <v>2.0499999999999998</v>
      </c>
      <c r="D25" s="15">
        <v>1.1259999999999999</v>
      </c>
      <c r="E25" s="15">
        <v>0.1</v>
      </c>
      <c r="F25" s="16">
        <v>4</v>
      </c>
      <c r="G25" s="15">
        <v>0.80100000000000005</v>
      </c>
      <c r="H25" s="15">
        <v>0.55100000000000005</v>
      </c>
      <c r="I25" s="15">
        <v>0.1</v>
      </c>
      <c r="J25" s="16">
        <v>3.06</v>
      </c>
      <c r="K25" s="17">
        <v>-32.014099999999999</v>
      </c>
    </row>
    <row r="26" spans="2:11" x14ac:dyDescent="0.3">
      <c r="B26" s="14" t="s">
        <v>124</v>
      </c>
      <c r="C26" s="15">
        <v>3.2530000000000001</v>
      </c>
      <c r="D26" s="15">
        <v>1.5880000000000001</v>
      </c>
      <c r="E26" s="15">
        <v>0.5</v>
      </c>
      <c r="F26" s="16">
        <v>6</v>
      </c>
      <c r="G26" s="15">
        <v>3.3919999999999999</v>
      </c>
      <c r="H26" s="15">
        <v>1.508</v>
      </c>
      <c r="I26" s="15">
        <v>0.51</v>
      </c>
      <c r="J26" s="16">
        <v>5.99</v>
      </c>
      <c r="K26" s="17">
        <v>2.536</v>
      </c>
    </row>
    <row r="27" spans="2:11" x14ac:dyDescent="0.3">
      <c r="B27" s="14" t="s">
        <v>125</v>
      </c>
      <c r="C27" s="15">
        <v>2.0510000000000002</v>
      </c>
      <c r="D27" s="15">
        <v>1.1259999999999999</v>
      </c>
      <c r="E27" s="15">
        <v>0.1</v>
      </c>
      <c r="F27" s="16">
        <v>4</v>
      </c>
      <c r="G27" s="15">
        <v>1.8640000000000001</v>
      </c>
      <c r="H27" s="15">
        <v>0.99099999999999999</v>
      </c>
      <c r="I27" s="15">
        <v>0.16</v>
      </c>
      <c r="J27" s="16">
        <v>3.99</v>
      </c>
      <c r="K27" s="17">
        <v>-4.7938999999999998</v>
      </c>
    </row>
    <row r="28" spans="2:11" x14ac:dyDescent="0.3">
      <c r="B28" s="14"/>
      <c r="C28" s="15"/>
      <c r="D28" s="15"/>
      <c r="E28" s="15"/>
      <c r="F28" s="16"/>
      <c r="G28" s="15"/>
      <c r="H28" s="15"/>
      <c r="I28" s="15"/>
      <c r="J28" s="16"/>
      <c r="K28" s="17"/>
    </row>
    <row r="29" spans="2:11" x14ac:dyDescent="0.3">
      <c r="B29" s="14" t="s">
        <v>126</v>
      </c>
      <c r="C29" s="15"/>
      <c r="D29" s="15"/>
      <c r="E29" s="15"/>
      <c r="F29" s="16"/>
      <c r="G29" s="15"/>
      <c r="H29" s="15"/>
      <c r="I29" s="15"/>
      <c r="J29" s="16"/>
      <c r="K29" s="17"/>
    </row>
    <row r="30" spans="2:11" x14ac:dyDescent="0.3">
      <c r="B30" s="14" t="s">
        <v>120</v>
      </c>
      <c r="C30" s="15">
        <v>2</v>
      </c>
      <c r="D30" s="15">
        <v>0.57699999999999996</v>
      </c>
      <c r="E30" s="15">
        <v>1</v>
      </c>
      <c r="F30" s="16">
        <v>3</v>
      </c>
      <c r="G30" s="15">
        <v>1.966</v>
      </c>
      <c r="H30" s="15">
        <v>0.57899999999999996</v>
      </c>
      <c r="I30" s="15">
        <v>1</v>
      </c>
      <c r="J30" s="16">
        <v>3</v>
      </c>
      <c r="K30" s="17">
        <v>-1.6866000000000001</v>
      </c>
    </row>
    <row r="31" spans="2:11" x14ac:dyDescent="0.3">
      <c r="B31" s="14" t="s">
        <v>116</v>
      </c>
      <c r="C31" s="15">
        <v>3</v>
      </c>
      <c r="D31" s="15">
        <v>1.155</v>
      </c>
      <c r="E31" s="15">
        <v>1</v>
      </c>
      <c r="F31" s="16">
        <v>5</v>
      </c>
      <c r="G31" s="15">
        <v>3.4510000000000001</v>
      </c>
      <c r="H31" s="15">
        <v>0.96199999999999997</v>
      </c>
      <c r="I31" s="15">
        <v>1.23</v>
      </c>
      <c r="J31" s="16">
        <v>4.99</v>
      </c>
      <c r="K31" s="17">
        <v>11.275600000000001</v>
      </c>
    </row>
    <row r="32" spans="2:11" x14ac:dyDescent="0.3">
      <c r="B32" s="14" t="s">
        <v>117</v>
      </c>
      <c r="C32" s="15">
        <v>3.0019999999999998</v>
      </c>
      <c r="D32" s="15">
        <v>1.155</v>
      </c>
      <c r="E32" s="15">
        <v>1</v>
      </c>
      <c r="F32" s="16">
        <v>5</v>
      </c>
      <c r="G32" s="15">
        <v>3.3559999999999999</v>
      </c>
      <c r="H32" s="15">
        <v>1.0169999999999999</v>
      </c>
      <c r="I32" s="15">
        <v>1.04</v>
      </c>
      <c r="J32" s="16">
        <v>5</v>
      </c>
      <c r="K32" s="17">
        <v>8.8423999999999996</v>
      </c>
    </row>
    <row r="33" spans="2:11" x14ac:dyDescent="0.3">
      <c r="B33" s="14"/>
      <c r="C33" s="15"/>
      <c r="D33" s="15"/>
      <c r="E33" s="15"/>
      <c r="F33" s="16"/>
      <c r="G33" s="15"/>
      <c r="H33" s="15"/>
      <c r="I33" s="15"/>
      <c r="J33" s="16"/>
      <c r="K33" s="17"/>
    </row>
    <row r="34" spans="2:11" x14ac:dyDescent="0.3">
      <c r="B34" s="14" t="s">
        <v>127</v>
      </c>
      <c r="C34" s="15"/>
      <c r="D34" s="15"/>
      <c r="E34" s="15"/>
      <c r="F34" s="16"/>
      <c r="G34" s="15"/>
      <c r="H34" s="15"/>
      <c r="I34" s="15"/>
      <c r="J34" s="16"/>
      <c r="K34" s="17"/>
    </row>
    <row r="35" spans="2:11" x14ac:dyDescent="0.3">
      <c r="B35" s="14" t="s">
        <v>119</v>
      </c>
      <c r="C35" s="15">
        <v>2.7480000000000002</v>
      </c>
      <c r="D35" s="15">
        <v>1.2989999999999999</v>
      </c>
      <c r="E35" s="15">
        <v>0.5</v>
      </c>
      <c r="F35" s="16">
        <v>5</v>
      </c>
      <c r="G35" s="15">
        <v>2.9279999999999999</v>
      </c>
      <c r="H35" s="15">
        <v>1.2170000000000001</v>
      </c>
      <c r="I35" s="15">
        <v>0.5</v>
      </c>
      <c r="J35" s="16">
        <v>5</v>
      </c>
      <c r="K35" s="17">
        <v>4.0049999999999999</v>
      </c>
    </row>
    <row r="36" spans="2:11" x14ac:dyDescent="0.3">
      <c r="B36" s="14" t="s">
        <v>120</v>
      </c>
      <c r="C36" s="15">
        <v>2.7530000000000001</v>
      </c>
      <c r="D36" s="15">
        <v>1.3</v>
      </c>
      <c r="E36" s="15">
        <v>0.5</v>
      </c>
      <c r="F36" s="16">
        <v>5</v>
      </c>
      <c r="G36" s="15">
        <v>2.9820000000000002</v>
      </c>
      <c r="H36" s="15">
        <v>1.25</v>
      </c>
      <c r="I36" s="15">
        <v>0.5</v>
      </c>
      <c r="J36" s="16">
        <v>5</v>
      </c>
      <c r="K36" s="17">
        <v>5.0781999999999998</v>
      </c>
    </row>
    <row r="37" spans="2:11" x14ac:dyDescent="0.3">
      <c r="B37" s="14" t="s">
        <v>116</v>
      </c>
      <c r="C37" s="15">
        <v>2.7530000000000001</v>
      </c>
      <c r="D37" s="15">
        <v>1.2969999999999999</v>
      </c>
      <c r="E37" s="15">
        <v>0.5</v>
      </c>
      <c r="F37" s="16">
        <v>5</v>
      </c>
      <c r="G37" s="15">
        <v>2.6</v>
      </c>
      <c r="H37" s="15">
        <v>1.2070000000000001</v>
      </c>
      <c r="I37" s="15">
        <v>0.52</v>
      </c>
      <c r="J37" s="16">
        <v>4.99</v>
      </c>
      <c r="K37" s="17">
        <v>-3.4138999999999999</v>
      </c>
    </row>
    <row r="38" spans="2:11" x14ac:dyDescent="0.3">
      <c r="B38" s="14" t="s">
        <v>117</v>
      </c>
      <c r="C38" s="15">
        <v>2.7530000000000001</v>
      </c>
      <c r="D38" s="15">
        <v>1.2989999999999999</v>
      </c>
      <c r="E38" s="15">
        <v>0.5</v>
      </c>
      <c r="F38" s="16">
        <v>5</v>
      </c>
      <c r="G38" s="15">
        <v>2.802</v>
      </c>
      <c r="H38" s="15">
        <v>1.2569999999999999</v>
      </c>
      <c r="I38" s="15">
        <v>0.53</v>
      </c>
      <c r="J38" s="16">
        <v>4.99</v>
      </c>
      <c r="K38" s="17">
        <v>1.0924</v>
      </c>
    </row>
    <row r="39" spans="2:11" x14ac:dyDescent="0.3">
      <c r="B39" s="14"/>
      <c r="C39" s="15"/>
      <c r="D39" s="15"/>
      <c r="E39" s="15"/>
      <c r="F39" s="16"/>
      <c r="G39" s="15"/>
      <c r="H39" s="15"/>
      <c r="I39" s="15"/>
      <c r="J39" s="16"/>
      <c r="K39" s="17"/>
    </row>
    <row r="40" spans="2:11" x14ac:dyDescent="0.3">
      <c r="B40" s="14" t="s">
        <v>128</v>
      </c>
      <c r="C40" s="15"/>
      <c r="D40" s="15"/>
      <c r="E40" s="15"/>
      <c r="F40" s="16"/>
      <c r="G40" s="15"/>
      <c r="H40" s="15"/>
      <c r="I40" s="15"/>
      <c r="J40" s="16"/>
      <c r="K40" s="17"/>
    </row>
    <row r="41" spans="2:11" x14ac:dyDescent="0.3">
      <c r="B41" s="14" t="s">
        <v>119</v>
      </c>
      <c r="C41" s="15">
        <v>2.7480000000000002</v>
      </c>
      <c r="D41" s="15">
        <v>1.2989999999999999</v>
      </c>
      <c r="E41" s="15">
        <v>0.5</v>
      </c>
      <c r="F41" s="16">
        <v>5</v>
      </c>
      <c r="G41" s="15">
        <v>2.9279999999999999</v>
      </c>
      <c r="H41" s="15">
        <v>1.2170000000000001</v>
      </c>
      <c r="I41" s="15">
        <v>0.5</v>
      </c>
      <c r="J41" s="16">
        <v>5</v>
      </c>
      <c r="K41" s="17">
        <v>4.0049999999999999</v>
      </c>
    </row>
    <row r="42" spans="2:11" x14ac:dyDescent="0.3">
      <c r="B42" s="14" t="s">
        <v>120</v>
      </c>
      <c r="C42" s="15">
        <v>2.7530000000000001</v>
      </c>
      <c r="D42" s="15">
        <v>1.3</v>
      </c>
      <c r="E42" s="15">
        <v>0.5</v>
      </c>
      <c r="F42" s="16">
        <v>5</v>
      </c>
      <c r="G42" s="15">
        <v>2.9820000000000002</v>
      </c>
      <c r="H42" s="15">
        <v>1.25</v>
      </c>
      <c r="I42" s="15">
        <v>0.5</v>
      </c>
      <c r="J42" s="16">
        <v>5</v>
      </c>
      <c r="K42" s="17">
        <v>5.0781999999999998</v>
      </c>
    </row>
    <row r="43" spans="2:11" x14ac:dyDescent="0.3">
      <c r="B43" s="14" t="s">
        <v>129</v>
      </c>
      <c r="C43" s="15">
        <v>2.7530000000000001</v>
      </c>
      <c r="D43" s="15">
        <v>1.2969999999999999</v>
      </c>
      <c r="E43" s="15">
        <v>0.5</v>
      </c>
      <c r="F43" s="16">
        <v>5</v>
      </c>
      <c r="G43" s="15">
        <v>2.6</v>
      </c>
      <c r="H43" s="15">
        <v>1.2070000000000001</v>
      </c>
      <c r="I43" s="15">
        <v>0.52</v>
      </c>
      <c r="J43" s="16">
        <v>4.99</v>
      </c>
      <c r="K43" s="17">
        <v>-3.4138999999999999</v>
      </c>
    </row>
    <row r="44" spans="2:11" x14ac:dyDescent="0.3">
      <c r="B44" s="14" t="s">
        <v>117</v>
      </c>
      <c r="C44" s="15">
        <v>2.7530000000000001</v>
      </c>
      <c r="D44" s="15">
        <v>1.2989999999999999</v>
      </c>
      <c r="E44" s="15">
        <v>0.5</v>
      </c>
      <c r="F44" s="16">
        <v>5</v>
      </c>
      <c r="G44" s="15">
        <v>2.802</v>
      </c>
      <c r="H44" s="15">
        <v>1.2569999999999999</v>
      </c>
      <c r="I44" s="15">
        <v>0.53</v>
      </c>
      <c r="J44" s="16">
        <v>4.99</v>
      </c>
      <c r="K44" s="17">
        <v>1.0924</v>
      </c>
    </row>
    <row r="45" spans="2:11" x14ac:dyDescent="0.3">
      <c r="B45" s="14"/>
      <c r="C45" s="15"/>
      <c r="D45" s="15"/>
      <c r="E45" s="15"/>
      <c r="F45" s="16"/>
      <c r="G45" s="15"/>
      <c r="H45" s="15"/>
      <c r="I45" s="15"/>
      <c r="J45" s="16"/>
      <c r="K45" s="17"/>
    </row>
    <row r="46" spans="2:11" x14ac:dyDescent="0.3">
      <c r="B46" s="14" t="s">
        <v>130</v>
      </c>
      <c r="C46" s="15"/>
      <c r="D46" s="15"/>
      <c r="E46" s="15"/>
      <c r="F46" s="16"/>
      <c r="G46" s="15"/>
      <c r="H46" s="15"/>
      <c r="I46" s="15"/>
      <c r="J46" s="16"/>
      <c r="K46" s="17"/>
    </row>
    <row r="47" spans="2:11" x14ac:dyDescent="0.3">
      <c r="B47" s="14" t="s">
        <v>119</v>
      </c>
      <c r="C47" s="15">
        <v>2.7480000000000002</v>
      </c>
      <c r="D47" s="15">
        <v>1.2989999999999999</v>
      </c>
      <c r="E47" s="15">
        <v>0.5</v>
      </c>
      <c r="F47" s="16">
        <v>5</v>
      </c>
      <c r="G47" s="15">
        <v>2.9279999999999999</v>
      </c>
      <c r="H47" s="15">
        <v>1.2170000000000001</v>
      </c>
      <c r="I47" s="15">
        <v>0.5</v>
      </c>
      <c r="J47" s="16">
        <v>5</v>
      </c>
      <c r="K47" s="17">
        <v>4.0049999999999999</v>
      </c>
    </row>
    <row r="48" spans="2:11" x14ac:dyDescent="0.3">
      <c r="B48" s="14" t="s">
        <v>120</v>
      </c>
      <c r="C48" s="15">
        <v>2.7530000000000001</v>
      </c>
      <c r="D48" s="15">
        <v>1.3</v>
      </c>
      <c r="E48" s="15">
        <v>0.5</v>
      </c>
      <c r="F48" s="16">
        <v>5</v>
      </c>
      <c r="G48" s="15">
        <v>2.9820000000000002</v>
      </c>
      <c r="H48" s="15">
        <v>1.25</v>
      </c>
      <c r="I48" s="15">
        <v>0.5</v>
      </c>
      <c r="J48" s="16">
        <v>5</v>
      </c>
      <c r="K48" s="17">
        <v>5.0781999999999998</v>
      </c>
    </row>
    <row r="49" spans="2:17" x14ac:dyDescent="0.3">
      <c r="B49" s="14" t="s">
        <v>116</v>
      </c>
      <c r="C49" s="15">
        <v>2.7530000000000001</v>
      </c>
      <c r="D49" s="15">
        <v>1.2969999999999999</v>
      </c>
      <c r="E49" s="15">
        <v>0.5</v>
      </c>
      <c r="F49" s="16">
        <v>5</v>
      </c>
      <c r="G49" s="15">
        <v>2.6</v>
      </c>
      <c r="H49" s="15">
        <v>1.2070000000000001</v>
      </c>
      <c r="I49" s="15">
        <v>0.52</v>
      </c>
      <c r="J49" s="16">
        <v>4.99</v>
      </c>
      <c r="K49" s="17">
        <v>-3.4138999999999999</v>
      </c>
    </row>
    <row r="50" spans="2:17" x14ac:dyDescent="0.3">
      <c r="B50" s="14" t="s">
        <v>117</v>
      </c>
      <c r="C50" s="15">
        <v>2.7530000000000001</v>
      </c>
      <c r="D50" s="15">
        <v>1.2989999999999999</v>
      </c>
      <c r="E50" s="15">
        <v>0.5</v>
      </c>
      <c r="F50" s="16">
        <v>5</v>
      </c>
      <c r="G50" s="15">
        <v>2.802</v>
      </c>
      <c r="H50" s="15">
        <v>1.2569999999999999</v>
      </c>
      <c r="I50" s="15">
        <v>0.53</v>
      </c>
      <c r="J50" s="16">
        <v>4.99</v>
      </c>
      <c r="K50" s="17">
        <v>1.0924</v>
      </c>
    </row>
    <row r="51" spans="2:17" x14ac:dyDescent="0.3">
      <c r="B51" s="14"/>
      <c r="C51" s="15"/>
      <c r="D51" s="15"/>
      <c r="E51" s="15"/>
      <c r="F51" s="16"/>
      <c r="G51" s="15"/>
      <c r="H51" s="15"/>
      <c r="I51" s="15"/>
      <c r="J51" s="16"/>
      <c r="K51" s="17"/>
    </row>
    <row r="52" spans="2:17" x14ac:dyDescent="0.3">
      <c r="B52" s="14" t="s">
        <v>131</v>
      </c>
      <c r="C52" s="15"/>
      <c r="D52" s="15"/>
      <c r="E52" s="15"/>
      <c r="F52" s="16"/>
      <c r="G52" s="15"/>
      <c r="H52" s="15"/>
      <c r="I52" s="15"/>
      <c r="J52" s="16"/>
      <c r="K52" s="17"/>
    </row>
    <row r="53" spans="2:17" x14ac:dyDescent="0.3">
      <c r="B53" s="14" t="s">
        <v>119</v>
      </c>
      <c r="C53" s="15">
        <v>2.7509999999999999</v>
      </c>
      <c r="D53" s="15">
        <v>1.3</v>
      </c>
      <c r="E53" s="15">
        <v>0.5</v>
      </c>
      <c r="F53" s="16">
        <v>5</v>
      </c>
      <c r="G53" s="15">
        <v>2.5009999999999999</v>
      </c>
      <c r="H53" s="15">
        <v>1.1819999999999999</v>
      </c>
      <c r="I53" s="15">
        <v>0.5</v>
      </c>
      <c r="J53" s="16">
        <v>4.99</v>
      </c>
      <c r="K53" s="17">
        <v>-5.5377000000000001</v>
      </c>
    </row>
    <row r="54" spans="2:17" x14ac:dyDescent="0.3">
      <c r="B54" s="14" t="s">
        <v>120</v>
      </c>
      <c r="C54" s="15">
        <v>2.7519999999999998</v>
      </c>
      <c r="D54" s="15">
        <v>1.3</v>
      </c>
      <c r="E54" s="15">
        <v>0.5</v>
      </c>
      <c r="F54" s="16">
        <v>5</v>
      </c>
      <c r="G54" s="15">
        <v>3.2490000000000001</v>
      </c>
      <c r="H54" s="15">
        <v>1.167</v>
      </c>
      <c r="I54" s="15">
        <v>0.51</v>
      </c>
      <c r="J54" s="16">
        <v>5</v>
      </c>
      <c r="K54" s="17">
        <v>11.0488</v>
      </c>
    </row>
    <row r="55" spans="2:17" x14ac:dyDescent="0.3">
      <c r="B55" s="14" t="s">
        <v>116</v>
      </c>
      <c r="C55" s="15">
        <v>2.7530000000000001</v>
      </c>
      <c r="D55" s="15">
        <v>1.298</v>
      </c>
      <c r="E55" s="15">
        <v>0.5</v>
      </c>
      <c r="F55" s="16">
        <v>5</v>
      </c>
      <c r="G55" s="15">
        <v>3.4260000000000002</v>
      </c>
      <c r="H55" s="15">
        <v>1.0469999999999999</v>
      </c>
      <c r="I55" s="15">
        <v>0.66</v>
      </c>
      <c r="J55" s="16">
        <v>5</v>
      </c>
      <c r="K55" s="17">
        <v>14.9626</v>
      </c>
    </row>
    <row r="56" spans="2:17" x14ac:dyDescent="0.3">
      <c r="B56" s="14" t="s">
        <v>117</v>
      </c>
      <c r="C56" s="15">
        <v>2.7530000000000001</v>
      </c>
      <c r="D56" s="15">
        <v>1.298</v>
      </c>
      <c r="E56" s="15">
        <v>0.5</v>
      </c>
      <c r="F56" s="16">
        <v>5</v>
      </c>
      <c r="G56" s="15">
        <v>3.4260000000000002</v>
      </c>
      <c r="H56" s="15">
        <v>1.0469999999999999</v>
      </c>
      <c r="I56" s="15">
        <v>0.66</v>
      </c>
      <c r="J56" s="16">
        <v>5</v>
      </c>
      <c r="K56" s="17">
        <v>14.9626</v>
      </c>
    </row>
    <row r="57" spans="2:17" ht="15" thickBot="1" x14ac:dyDescent="0.35">
      <c r="B57" s="14"/>
      <c r="C57" s="18"/>
      <c r="D57" s="18"/>
      <c r="E57" s="18"/>
      <c r="F57" s="19"/>
      <c r="G57" s="15"/>
      <c r="H57" s="15"/>
      <c r="I57" s="15"/>
      <c r="J57" s="16"/>
      <c r="K57" s="17"/>
    </row>
    <row r="58" spans="2:17" ht="15" thickTop="1" x14ac:dyDescent="0.3">
      <c r="B58" s="14" t="s">
        <v>132</v>
      </c>
      <c r="C58" s="15"/>
      <c r="D58" s="15"/>
      <c r="E58" s="15"/>
      <c r="F58" s="16"/>
      <c r="G58" s="15"/>
      <c r="H58" s="15"/>
      <c r="I58" s="15"/>
      <c r="J58" s="16"/>
      <c r="K58" s="17"/>
    </row>
    <row r="59" spans="2:17" x14ac:dyDescent="0.3">
      <c r="B59" s="14" t="s">
        <v>119</v>
      </c>
      <c r="C59" s="15">
        <v>2.7509999999999999</v>
      </c>
      <c r="D59" s="15">
        <v>1.3</v>
      </c>
      <c r="E59" s="15">
        <v>0.5</v>
      </c>
      <c r="F59" s="16">
        <v>5</v>
      </c>
      <c r="G59" s="15">
        <v>2.5009999999999999</v>
      </c>
      <c r="H59" s="15">
        <v>1.1819999999999999</v>
      </c>
      <c r="I59" s="15">
        <v>0.5</v>
      </c>
      <c r="J59" s="16">
        <v>4.99</v>
      </c>
      <c r="K59" s="17">
        <v>-5.5377000000000001</v>
      </c>
    </row>
    <row r="60" spans="2:17" x14ac:dyDescent="0.3">
      <c r="B60" s="14" t="s">
        <v>120</v>
      </c>
      <c r="C60" s="15">
        <v>2.7519999999999998</v>
      </c>
      <c r="D60" s="15">
        <v>1.3</v>
      </c>
      <c r="E60" s="15">
        <v>0.5</v>
      </c>
      <c r="F60" s="16">
        <v>5</v>
      </c>
      <c r="G60" s="15">
        <v>3.2490000000000001</v>
      </c>
      <c r="H60" s="15">
        <v>1.167</v>
      </c>
      <c r="I60" s="15">
        <v>0.51</v>
      </c>
      <c r="J60" s="16">
        <v>5</v>
      </c>
      <c r="K60" s="17">
        <v>11.0488</v>
      </c>
    </row>
    <row r="61" spans="2:17" x14ac:dyDescent="0.3">
      <c r="B61" s="14" t="s">
        <v>116</v>
      </c>
      <c r="C61" s="15">
        <v>2.7530000000000001</v>
      </c>
      <c r="D61" s="15">
        <v>1.298</v>
      </c>
      <c r="E61" s="15">
        <v>0.5</v>
      </c>
      <c r="F61" s="16">
        <v>5</v>
      </c>
      <c r="G61" s="15">
        <v>3.4260000000000002</v>
      </c>
      <c r="H61" s="15">
        <v>1.0469999999999999</v>
      </c>
      <c r="I61" s="15">
        <v>0.66</v>
      </c>
      <c r="J61" s="16">
        <v>5</v>
      </c>
      <c r="K61" s="17">
        <v>14.9626</v>
      </c>
    </row>
    <row r="62" spans="2:17" x14ac:dyDescent="0.3">
      <c r="B62" s="14" t="s">
        <v>117</v>
      </c>
      <c r="C62" s="15">
        <v>2.7530000000000001</v>
      </c>
      <c r="D62" s="15">
        <v>1.298</v>
      </c>
      <c r="E62" s="15">
        <v>0.5</v>
      </c>
      <c r="F62" s="16">
        <v>5</v>
      </c>
      <c r="G62" s="15">
        <v>3.4260000000000002</v>
      </c>
      <c r="H62" s="15">
        <v>1.0469999999999999</v>
      </c>
      <c r="I62" s="15">
        <v>0.66</v>
      </c>
      <c r="J62" s="16">
        <v>5</v>
      </c>
      <c r="K62" s="17">
        <v>14.9626</v>
      </c>
      <c r="Q62" t="s">
        <v>133</v>
      </c>
    </row>
    <row r="63" spans="2:17" x14ac:dyDescent="0.3">
      <c r="B63" s="14"/>
      <c r="C63" s="15"/>
      <c r="D63" s="15"/>
      <c r="E63" s="15"/>
      <c r="F63" s="16"/>
      <c r="G63" s="15"/>
      <c r="H63" s="15"/>
      <c r="I63" s="15"/>
      <c r="J63" s="16"/>
      <c r="K63" s="17"/>
    </row>
    <row r="64" spans="2:17" x14ac:dyDescent="0.3">
      <c r="B64" s="14" t="s">
        <v>134</v>
      </c>
      <c r="C64" s="15"/>
      <c r="D64" s="15"/>
      <c r="E64" s="15"/>
      <c r="F64" s="16"/>
      <c r="G64" s="15"/>
      <c r="H64" s="15"/>
      <c r="I64" s="15"/>
      <c r="J64" s="16"/>
      <c r="K64" s="17"/>
    </row>
    <row r="65" spans="2:11" x14ac:dyDescent="0.3">
      <c r="B65" s="14" t="s">
        <v>119</v>
      </c>
      <c r="C65" s="15">
        <v>3.75</v>
      </c>
      <c r="D65" s="15">
        <v>1.3009999999999999</v>
      </c>
      <c r="E65" s="15">
        <v>1.5</v>
      </c>
      <c r="F65" s="16">
        <v>6</v>
      </c>
      <c r="G65" s="15">
        <v>4.5999999999999996</v>
      </c>
      <c r="H65" s="15">
        <v>0.82799999999999996</v>
      </c>
      <c r="I65" s="15">
        <v>2.4900000000000002</v>
      </c>
      <c r="J65" s="16">
        <v>6</v>
      </c>
      <c r="K65" s="17">
        <v>18.887</v>
      </c>
    </row>
    <row r="66" spans="2:11" x14ac:dyDescent="0.3">
      <c r="B66" s="14" t="s">
        <v>120</v>
      </c>
      <c r="C66" s="15">
        <v>3.7509999999999999</v>
      </c>
      <c r="D66" s="15">
        <v>1.2989999999999999</v>
      </c>
      <c r="E66" s="15">
        <v>1.5</v>
      </c>
      <c r="F66" s="16">
        <v>6</v>
      </c>
      <c r="G66" s="15">
        <v>3.9630000000000001</v>
      </c>
      <c r="H66" s="15">
        <v>1.087</v>
      </c>
      <c r="I66" s="15">
        <v>1.65</v>
      </c>
      <c r="J66" s="16">
        <v>5.99</v>
      </c>
      <c r="K66" s="17">
        <v>4.6932</v>
      </c>
    </row>
    <row r="67" spans="2:11" x14ac:dyDescent="0.3">
      <c r="B67" s="14" t="s">
        <v>116</v>
      </c>
      <c r="C67" s="15">
        <v>3.7480000000000002</v>
      </c>
      <c r="D67" s="15">
        <v>1.3009999999999999</v>
      </c>
      <c r="E67" s="15">
        <v>1.5</v>
      </c>
      <c r="F67" s="16">
        <v>6</v>
      </c>
      <c r="G67" s="15">
        <v>3.641</v>
      </c>
      <c r="H67" s="15">
        <v>1.163</v>
      </c>
      <c r="I67" s="15">
        <v>1.51</v>
      </c>
      <c r="J67" s="16">
        <v>6</v>
      </c>
      <c r="K67" s="17">
        <v>-2.3708999999999998</v>
      </c>
    </row>
    <row r="68" spans="2:11" ht="15" thickBot="1" x14ac:dyDescent="0.35">
      <c r="B68" s="20" t="s">
        <v>117</v>
      </c>
      <c r="C68" s="18">
        <v>3.7480000000000002</v>
      </c>
      <c r="D68" s="18">
        <v>1.3009999999999999</v>
      </c>
      <c r="E68" s="18">
        <v>1.5</v>
      </c>
      <c r="F68" s="19">
        <v>6</v>
      </c>
      <c r="G68" s="18">
        <v>3.641</v>
      </c>
      <c r="H68" s="18">
        <v>1.163</v>
      </c>
      <c r="I68" s="18">
        <v>1.51</v>
      </c>
      <c r="J68" s="19">
        <v>6</v>
      </c>
      <c r="K68" s="21">
        <v>-2.3708999999999998</v>
      </c>
    </row>
    <row r="69" spans="2:11" ht="15" thickTop="1" x14ac:dyDescent="0.3">
      <c r="B69" s="22"/>
    </row>
  </sheetData>
  <mergeCells count="2">
    <mergeCell ref="C3:F3"/>
    <mergeCell ref="G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57"/>
  <sheetViews>
    <sheetView zoomScale="90" zoomScaleNormal="90" workbookViewId="0">
      <selection activeCell="I8" sqref="I8:S8"/>
    </sheetView>
  </sheetViews>
  <sheetFormatPr defaultRowHeight="14.4" x14ac:dyDescent="0.3"/>
  <cols>
    <col min="2" max="2" width="18.88671875" customWidth="1"/>
    <col min="3" max="3" width="12.88671875" customWidth="1"/>
    <col min="4" max="4" width="12.109375" customWidth="1"/>
    <col min="5" max="5" width="10.6640625" customWidth="1"/>
  </cols>
  <sheetData>
    <row r="1" spans="2:19" ht="48.75" customHeight="1" x14ac:dyDescent="0.3">
      <c r="B1" s="117" t="s">
        <v>135</v>
      </c>
      <c r="C1" s="117"/>
      <c r="D1" s="117"/>
      <c r="E1" s="117"/>
      <c r="F1" s="117"/>
      <c r="G1" s="117"/>
      <c r="H1" s="117"/>
      <c r="I1" s="117"/>
      <c r="J1" s="117"/>
      <c r="K1" s="117"/>
    </row>
    <row r="2" spans="2:19" ht="15" thickBot="1" x14ac:dyDescent="0.35"/>
    <row r="3" spans="2:19" ht="43.8" thickBot="1" x14ac:dyDescent="0.35">
      <c r="B3" s="122"/>
      <c r="C3" s="39" t="s">
        <v>136</v>
      </c>
      <c r="D3" s="39" t="s">
        <v>137</v>
      </c>
      <c r="E3" s="39" t="s">
        <v>138</v>
      </c>
      <c r="F3" s="40" t="s">
        <v>139</v>
      </c>
      <c r="I3" s="106" t="s">
        <v>140</v>
      </c>
      <c r="J3" s="106"/>
      <c r="K3" s="106"/>
      <c r="L3" s="106"/>
      <c r="M3" s="106"/>
      <c r="N3" s="106"/>
      <c r="O3" s="106"/>
      <c r="P3" s="106"/>
      <c r="Q3" s="106"/>
      <c r="R3" s="106"/>
      <c r="S3" s="106"/>
    </row>
    <row r="4" spans="2:19" ht="15" thickBot="1" x14ac:dyDescent="0.35">
      <c r="B4" s="123"/>
      <c r="C4" s="40" t="s">
        <v>141</v>
      </c>
      <c r="D4" s="40" t="s">
        <v>142</v>
      </c>
      <c r="E4" s="40" t="s">
        <v>143</v>
      </c>
      <c r="F4" s="39"/>
      <c r="I4" s="106"/>
      <c r="J4" s="106"/>
      <c r="K4" s="106"/>
      <c r="L4" s="106"/>
      <c r="M4" s="106"/>
      <c r="N4" s="106"/>
      <c r="O4" s="106"/>
      <c r="P4" s="106"/>
      <c r="Q4" s="106"/>
      <c r="R4" s="106"/>
      <c r="S4" s="106"/>
    </row>
    <row r="5" spans="2:19" ht="15" thickBot="1" x14ac:dyDescent="0.35">
      <c r="B5" s="118" t="s">
        <v>144</v>
      </c>
      <c r="C5" s="119"/>
      <c r="D5" s="119"/>
      <c r="E5" s="119"/>
      <c r="F5" s="120"/>
      <c r="I5" s="106"/>
      <c r="J5" s="106"/>
      <c r="K5" s="106"/>
      <c r="L5" s="106"/>
      <c r="M5" s="106"/>
      <c r="N5" s="106"/>
      <c r="O5" s="106"/>
      <c r="P5" s="106"/>
      <c r="Q5" s="106"/>
      <c r="R5" s="106"/>
      <c r="S5" s="106"/>
    </row>
    <row r="6" spans="2:19" ht="29.4" thickBot="1" x14ac:dyDescent="0.35">
      <c r="B6" s="41" t="s">
        <v>145</v>
      </c>
      <c r="C6" s="42" t="s">
        <v>146</v>
      </c>
      <c r="D6" s="42" t="s">
        <v>147</v>
      </c>
      <c r="E6" s="42" t="s">
        <v>148</v>
      </c>
      <c r="F6" s="43" t="s">
        <v>149</v>
      </c>
      <c r="I6" s="106"/>
      <c r="J6" s="106"/>
      <c r="K6" s="106"/>
      <c r="L6" s="106"/>
      <c r="M6" s="106"/>
      <c r="N6" s="106"/>
      <c r="O6" s="106"/>
      <c r="P6" s="106"/>
      <c r="Q6" s="106"/>
      <c r="R6" s="106"/>
      <c r="S6" s="106"/>
    </row>
    <row r="7" spans="2:19" ht="29.4" thickBot="1" x14ac:dyDescent="0.35">
      <c r="B7" s="41" t="s">
        <v>150</v>
      </c>
      <c r="C7" s="44" t="s">
        <v>151</v>
      </c>
      <c r="D7" s="44" t="s">
        <v>152</v>
      </c>
      <c r="E7" s="44" t="s">
        <v>153</v>
      </c>
      <c r="F7" s="43">
        <v>8.0000000000000002E-3</v>
      </c>
    </row>
    <row r="8" spans="2:19" ht="29.4" thickBot="1" x14ac:dyDescent="0.35">
      <c r="B8" s="41" t="s">
        <v>154</v>
      </c>
      <c r="C8" s="44" t="s">
        <v>155</v>
      </c>
      <c r="D8" s="44" t="s">
        <v>156</v>
      </c>
      <c r="E8" s="44" t="s">
        <v>157</v>
      </c>
      <c r="F8" s="43">
        <v>2.0000000000000001E-4</v>
      </c>
      <c r="I8" s="124" t="s">
        <v>535</v>
      </c>
      <c r="J8" s="124"/>
      <c r="K8" s="124"/>
      <c r="L8" s="124"/>
      <c r="M8" s="124"/>
      <c r="N8" s="124"/>
      <c r="O8" s="124"/>
      <c r="P8" s="124"/>
      <c r="Q8" s="124"/>
      <c r="R8" s="124"/>
      <c r="S8" s="124"/>
    </row>
    <row r="9" spans="2:19" ht="29.4" thickBot="1" x14ac:dyDescent="0.35">
      <c r="B9" s="41" t="s">
        <v>158</v>
      </c>
      <c r="C9" s="44" t="s">
        <v>159</v>
      </c>
      <c r="D9" s="44" t="s">
        <v>160</v>
      </c>
      <c r="E9" s="44" t="s">
        <v>161</v>
      </c>
      <c r="F9" s="43" t="s">
        <v>149</v>
      </c>
      <c r="I9" s="124" t="s">
        <v>536</v>
      </c>
      <c r="J9" s="124"/>
      <c r="K9" s="124"/>
      <c r="L9" s="124"/>
      <c r="M9" s="124"/>
      <c r="N9" s="124"/>
      <c r="O9" s="124"/>
      <c r="P9" s="124"/>
      <c r="Q9" s="124"/>
      <c r="R9" s="124"/>
      <c r="S9" s="124"/>
    </row>
    <row r="10" spans="2:19" ht="29.4" thickBot="1" x14ac:dyDescent="0.35">
      <c r="B10" s="41" t="s">
        <v>162</v>
      </c>
      <c r="C10" s="44" t="s">
        <v>163</v>
      </c>
      <c r="D10" s="44" t="s">
        <v>164</v>
      </c>
      <c r="E10" s="44" t="s">
        <v>165</v>
      </c>
      <c r="F10" s="43" t="s">
        <v>149</v>
      </c>
      <c r="I10" s="124" t="s">
        <v>538</v>
      </c>
      <c r="J10" s="124"/>
      <c r="K10" s="124"/>
      <c r="L10" s="124"/>
      <c r="M10" s="124"/>
      <c r="N10" s="124"/>
      <c r="O10" s="124"/>
      <c r="P10" s="124"/>
      <c r="Q10" s="124"/>
      <c r="R10" s="124"/>
      <c r="S10" s="124"/>
    </row>
    <row r="11" spans="2:19" ht="15" thickBot="1" x14ac:dyDescent="0.35">
      <c r="B11" s="118" t="s">
        <v>166</v>
      </c>
      <c r="C11" s="119"/>
      <c r="D11" s="119"/>
      <c r="E11" s="119"/>
      <c r="F11" s="120"/>
      <c r="I11" s="124" t="s">
        <v>537</v>
      </c>
      <c r="J11" s="124"/>
      <c r="K11" s="124"/>
      <c r="L11" s="124"/>
      <c r="M11" s="124"/>
      <c r="N11" s="124"/>
      <c r="O11" s="124"/>
      <c r="P11" s="124"/>
      <c r="Q11" s="124"/>
      <c r="R11" s="124"/>
      <c r="S11" s="124"/>
    </row>
    <row r="12" spans="2:19" ht="29.4" thickBot="1" x14ac:dyDescent="0.35">
      <c r="B12" s="41" t="s">
        <v>145</v>
      </c>
      <c r="C12" s="42" t="s">
        <v>167</v>
      </c>
      <c r="D12" s="42" t="s">
        <v>168</v>
      </c>
      <c r="E12" s="42" t="s">
        <v>169</v>
      </c>
      <c r="F12" s="43" t="s">
        <v>149</v>
      </c>
    </row>
    <row r="13" spans="2:19" ht="29.4" thickBot="1" x14ac:dyDescent="0.35">
      <c r="B13" s="41" t="s">
        <v>150</v>
      </c>
      <c r="C13" s="44" t="s">
        <v>170</v>
      </c>
      <c r="D13" s="44" t="s">
        <v>171</v>
      </c>
      <c r="E13" s="44" t="s">
        <v>172</v>
      </c>
      <c r="F13" s="43">
        <v>7.0000000000000001E-3</v>
      </c>
    </row>
    <row r="14" spans="2:19" ht="29.4" thickBot="1" x14ac:dyDescent="0.35">
      <c r="B14" s="41" t="s">
        <v>154</v>
      </c>
      <c r="C14" s="44" t="s">
        <v>173</v>
      </c>
      <c r="D14" s="44" t="s">
        <v>174</v>
      </c>
      <c r="E14" s="44" t="s">
        <v>175</v>
      </c>
      <c r="F14" s="43" t="s">
        <v>149</v>
      </c>
    </row>
    <row r="15" spans="2:19" ht="29.4" thickBot="1" x14ac:dyDescent="0.35">
      <c r="B15" s="41" t="s">
        <v>158</v>
      </c>
      <c r="C15" s="44" t="s">
        <v>176</v>
      </c>
      <c r="D15" s="44" t="s">
        <v>177</v>
      </c>
      <c r="E15" s="44" t="s">
        <v>178</v>
      </c>
      <c r="F15" s="43" t="s">
        <v>149</v>
      </c>
    </row>
    <row r="16" spans="2:19" ht="29.4" thickBot="1" x14ac:dyDescent="0.35">
      <c r="B16" s="41" t="s">
        <v>162</v>
      </c>
      <c r="C16" s="44" t="s">
        <v>179</v>
      </c>
      <c r="D16" s="44" t="s">
        <v>180</v>
      </c>
      <c r="E16" s="44" t="s">
        <v>181</v>
      </c>
      <c r="F16" s="43" t="s">
        <v>149</v>
      </c>
    </row>
    <row r="17" spans="2:6" ht="15" thickBot="1" x14ac:dyDescent="0.35">
      <c r="B17" s="118" t="s">
        <v>182</v>
      </c>
      <c r="C17" s="119"/>
      <c r="D17" s="119"/>
      <c r="E17" s="119"/>
      <c r="F17" s="120"/>
    </row>
    <row r="18" spans="2:6" ht="29.4" thickBot="1" x14ac:dyDescent="0.35">
      <c r="B18" s="41" t="s">
        <v>145</v>
      </c>
      <c r="C18" s="42" t="s">
        <v>183</v>
      </c>
      <c r="D18" s="42" t="s">
        <v>184</v>
      </c>
      <c r="E18" s="42" t="s">
        <v>185</v>
      </c>
      <c r="F18" s="41">
        <v>0.8</v>
      </c>
    </row>
    <row r="19" spans="2:6" ht="29.4" thickBot="1" x14ac:dyDescent="0.35">
      <c r="B19" s="41" t="s">
        <v>150</v>
      </c>
      <c r="C19" s="44" t="s">
        <v>186</v>
      </c>
      <c r="D19" s="44" t="s">
        <v>187</v>
      </c>
      <c r="E19" s="44" t="s">
        <v>188</v>
      </c>
      <c r="F19" s="41">
        <v>0.66400000000000003</v>
      </c>
    </row>
    <row r="20" spans="2:6" ht="29.4" thickBot="1" x14ac:dyDescent="0.35">
      <c r="B20" s="41" t="s">
        <v>154</v>
      </c>
      <c r="C20" s="44" t="s">
        <v>189</v>
      </c>
      <c r="D20" s="44" t="s">
        <v>190</v>
      </c>
      <c r="E20" s="44" t="s">
        <v>191</v>
      </c>
      <c r="F20" s="41">
        <v>0.56999999999999995</v>
      </c>
    </row>
    <row r="21" spans="2:6" ht="29.4" thickBot="1" x14ac:dyDescent="0.35">
      <c r="B21" s="41" t="s">
        <v>158</v>
      </c>
      <c r="C21" s="44" t="s">
        <v>192</v>
      </c>
      <c r="D21" s="44" t="s">
        <v>193</v>
      </c>
      <c r="E21" s="44" t="s">
        <v>194</v>
      </c>
      <c r="F21" s="41">
        <v>0.161</v>
      </c>
    </row>
    <row r="22" spans="2:6" ht="29.4" thickBot="1" x14ac:dyDescent="0.35">
      <c r="B22" s="41" t="s">
        <v>162</v>
      </c>
      <c r="C22" s="44" t="s">
        <v>179</v>
      </c>
      <c r="D22" s="44" t="s">
        <v>195</v>
      </c>
      <c r="E22" s="44" t="s">
        <v>187</v>
      </c>
      <c r="F22" s="41">
        <v>0.82799999999999996</v>
      </c>
    </row>
    <row r="23" spans="2:6" ht="15" thickBot="1" x14ac:dyDescent="0.35">
      <c r="B23" s="118" t="s">
        <v>196</v>
      </c>
      <c r="C23" s="119"/>
      <c r="D23" s="119"/>
      <c r="E23" s="119"/>
      <c r="F23" s="120"/>
    </row>
    <row r="24" spans="2:6" ht="29.4" thickBot="1" x14ac:dyDescent="0.35">
      <c r="B24" s="41" t="s">
        <v>145</v>
      </c>
      <c r="C24" s="42" t="s">
        <v>197</v>
      </c>
      <c r="D24" s="42" t="s">
        <v>198</v>
      </c>
      <c r="E24" s="42" t="s">
        <v>199</v>
      </c>
      <c r="F24" s="43" t="s">
        <v>149</v>
      </c>
    </row>
    <row r="25" spans="2:6" ht="29.4" thickBot="1" x14ac:dyDescent="0.35">
      <c r="B25" s="41" t="s">
        <v>150</v>
      </c>
      <c r="C25" s="44" t="s">
        <v>200</v>
      </c>
      <c r="D25" s="44" t="s">
        <v>201</v>
      </c>
      <c r="E25" s="44" t="s">
        <v>202</v>
      </c>
      <c r="F25" s="43">
        <v>4.0000000000000002E-4</v>
      </c>
    </row>
    <row r="26" spans="2:6" ht="29.4" thickBot="1" x14ac:dyDescent="0.35">
      <c r="B26" s="41" t="s">
        <v>154</v>
      </c>
      <c r="C26" s="44" t="s">
        <v>203</v>
      </c>
      <c r="D26" s="44" t="s">
        <v>204</v>
      </c>
      <c r="E26" s="44" t="s">
        <v>205</v>
      </c>
      <c r="F26" s="41">
        <v>0.19900000000000001</v>
      </c>
    </row>
    <row r="27" spans="2:6" ht="29.4" thickBot="1" x14ac:dyDescent="0.35">
      <c r="B27" s="41" t="s">
        <v>206</v>
      </c>
      <c r="C27" s="44" t="s">
        <v>207</v>
      </c>
      <c r="D27" s="44" t="s">
        <v>208</v>
      </c>
      <c r="E27" s="44" t="s">
        <v>209</v>
      </c>
      <c r="F27" s="43" t="s">
        <v>149</v>
      </c>
    </row>
    <row r="28" spans="2:6" ht="29.4" thickBot="1" x14ac:dyDescent="0.35">
      <c r="B28" s="41" t="s">
        <v>162</v>
      </c>
      <c r="C28" s="44" t="s">
        <v>210</v>
      </c>
      <c r="D28" s="44" t="s">
        <v>211</v>
      </c>
      <c r="E28" s="44" t="s">
        <v>212</v>
      </c>
      <c r="F28" s="43">
        <v>2E-3</v>
      </c>
    </row>
    <row r="29" spans="2:6" ht="15" thickBot="1" x14ac:dyDescent="0.35">
      <c r="B29" s="118" t="s">
        <v>213</v>
      </c>
      <c r="C29" s="119"/>
      <c r="D29" s="119"/>
      <c r="E29" s="119"/>
      <c r="F29" s="120"/>
    </row>
    <row r="30" spans="2:6" ht="29.4" thickBot="1" x14ac:dyDescent="0.35">
      <c r="B30" s="41" t="s">
        <v>145</v>
      </c>
      <c r="C30" s="42" t="s">
        <v>214</v>
      </c>
      <c r="D30" s="42" t="s">
        <v>215</v>
      </c>
      <c r="E30" s="42" t="s">
        <v>216</v>
      </c>
      <c r="F30" s="43" t="s">
        <v>149</v>
      </c>
    </row>
    <row r="31" spans="2:6" ht="29.4" thickBot="1" x14ac:dyDescent="0.35">
      <c r="B31" s="41" t="s">
        <v>150</v>
      </c>
      <c r="C31" s="44" t="s">
        <v>217</v>
      </c>
      <c r="D31" s="44" t="s">
        <v>218</v>
      </c>
      <c r="E31" s="44" t="s">
        <v>219</v>
      </c>
      <c r="F31" s="41">
        <v>0.08</v>
      </c>
    </row>
    <row r="32" spans="2:6" ht="29.4" thickBot="1" x14ac:dyDescent="0.35">
      <c r="B32" s="41" t="s">
        <v>154</v>
      </c>
      <c r="C32" s="44" t="s">
        <v>220</v>
      </c>
      <c r="D32" s="44" t="s">
        <v>221</v>
      </c>
      <c r="E32" s="44" t="s">
        <v>222</v>
      </c>
      <c r="F32" s="43" t="s">
        <v>149</v>
      </c>
    </row>
    <row r="33" spans="2:12" ht="29.4" thickBot="1" x14ac:dyDescent="0.35">
      <c r="B33" s="41" t="s">
        <v>206</v>
      </c>
      <c r="C33" s="44" t="s">
        <v>223</v>
      </c>
      <c r="D33" s="44" t="s">
        <v>224</v>
      </c>
      <c r="E33" s="44" t="s">
        <v>225</v>
      </c>
      <c r="F33" s="43">
        <v>0.02</v>
      </c>
    </row>
    <row r="34" spans="2:12" ht="29.4" thickBot="1" x14ac:dyDescent="0.35">
      <c r="B34" s="41" t="s">
        <v>162</v>
      </c>
      <c r="C34" s="44" t="s">
        <v>226</v>
      </c>
      <c r="D34" s="44" t="s">
        <v>227</v>
      </c>
      <c r="E34" s="44" t="s">
        <v>181</v>
      </c>
      <c r="F34" s="41">
        <v>5.5E-2</v>
      </c>
    </row>
    <row r="35" spans="2:12" ht="15" thickBot="1" x14ac:dyDescent="0.35">
      <c r="B35" s="118" t="s">
        <v>228</v>
      </c>
      <c r="C35" s="119"/>
      <c r="D35" s="119"/>
      <c r="E35" s="119"/>
      <c r="F35" s="120"/>
    </row>
    <row r="36" spans="2:12" ht="29.4" thickBot="1" x14ac:dyDescent="0.35">
      <c r="B36" s="41" t="s">
        <v>145</v>
      </c>
      <c r="C36" s="42" t="s">
        <v>229</v>
      </c>
      <c r="D36" s="42" t="s">
        <v>168</v>
      </c>
      <c r="E36" s="42" t="s">
        <v>230</v>
      </c>
      <c r="F36" s="43" t="s">
        <v>149</v>
      </c>
    </row>
    <row r="37" spans="2:12" ht="29.4" thickBot="1" x14ac:dyDescent="0.35">
      <c r="B37" s="41" t="s">
        <v>150</v>
      </c>
      <c r="C37" s="44" t="s">
        <v>231</v>
      </c>
      <c r="D37" s="44" t="s">
        <v>232</v>
      </c>
      <c r="E37" s="44" t="s">
        <v>233</v>
      </c>
      <c r="F37" s="43">
        <v>2.9999999999999997E-4</v>
      </c>
    </row>
    <row r="38" spans="2:12" ht="29.4" thickBot="1" x14ac:dyDescent="0.35">
      <c r="B38" s="41" t="s">
        <v>154</v>
      </c>
      <c r="C38" s="44" t="s">
        <v>234</v>
      </c>
      <c r="D38" s="44" t="s">
        <v>235</v>
      </c>
      <c r="E38" s="44" t="s">
        <v>175</v>
      </c>
      <c r="F38" s="43" t="s">
        <v>149</v>
      </c>
    </row>
    <row r="39" spans="2:12" ht="29.4" thickBot="1" x14ac:dyDescent="0.35">
      <c r="B39" s="41" t="s">
        <v>206</v>
      </c>
      <c r="C39" s="44" t="s">
        <v>236</v>
      </c>
      <c r="D39" s="44" t="s">
        <v>237</v>
      </c>
      <c r="E39" s="44" t="s">
        <v>225</v>
      </c>
      <c r="F39" s="43" t="s">
        <v>149</v>
      </c>
    </row>
    <row r="40" spans="2:12" ht="29.4" thickBot="1" x14ac:dyDescent="0.35">
      <c r="B40" s="41" t="s">
        <v>162</v>
      </c>
      <c r="C40" s="44" t="s">
        <v>238</v>
      </c>
      <c r="D40" s="44" t="s">
        <v>239</v>
      </c>
      <c r="E40" s="44" t="s">
        <v>240</v>
      </c>
      <c r="F40" s="43">
        <v>5.9999999999999995E-4</v>
      </c>
    </row>
    <row r="41" spans="2:12" ht="16.2" x14ac:dyDescent="0.3">
      <c r="B41" s="45" t="s">
        <v>241</v>
      </c>
    </row>
    <row r="47" spans="2:12" ht="56.25" customHeight="1" x14ac:dyDescent="0.3">
      <c r="B47" s="121" t="s">
        <v>242</v>
      </c>
      <c r="C47" s="121"/>
      <c r="D47" s="121"/>
      <c r="E47" s="121"/>
      <c r="F47" s="121"/>
      <c r="G47" s="121"/>
      <c r="H47" s="121"/>
      <c r="I47" s="121"/>
      <c r="J47" s="121"/>
      <c r="K47" s="121"/>
      <c r="L47" s="121"/>
    </row>
    <row r="49" spans="2:19" ht="13.5" customHeight="1" x14ac:dyDescent="0.3"/>
    <row r="50" spans="2:19" ht="63.75" customHeight="1" x14ac:dyDescent="0.3">
      <c r="B50" s="46" t="s">
        <v>243</v>
      </c>
      <c r="C50" s="46" t="s">
        <v>244</v>
      </c>
      <c r="D50" s="46" t="s">
        <v>245</v>
      </c>
      <c r="E50" s="46" t="s">
        <v>246</v>
      </c>
      <c r="F50" s="46" t="s">
        <v>247</v>
      </c>
      <c r="G50" s="46" t="s">
        <v>248</v>
      </c>
      <c r="H50" s="46" t="s">
        <v>249</v>
      </c>
      <c r="I50" s="46" t="s">
        <v>250</v>
      </c>
      <c r="L50" s="106" t="s">
        <v>251</v>
      </c>
      <c r="M50" s="106"/>
      <c r="N50" s="106"/>
      <c r="O50" s="106"/>
      <c r="P50" s="106"/>
      <c r="Q50" s="106"/>
      <c r="R50" s="106"/>
      <c r="S50" s="106"/>
    </row>
    <row r="51" spans="2:19" ht="69.599999999999994" x14ac:dyDescent="0.3">
      <c r="B51" s="46" t="s">
        <v>252</v>
      </c>
      <c r="C51" s="46">
        <v>100</v>
      </c>
      <c r="D51" s="46" t="s">
        <v>253</v>
      </c>
      <c r="E51" s="46" t="s">
        <v>254</v>
      </c>
      <c r="F51" s="46" t="s">
        <v>255</v>
      </c>
      <c r="G51" s="46" t="s">
        <v>256</v>
      </c>
      <c r="H51" s="46" t="s">
        <v>257</v>
      </c>
      <c r="I51" s="46" t="s">
        <v>258</v>
      </c>
      <c r="L51" s="106"/>
      <c r="M51" s="106"/>
      <c r="N51" s="106"/>
      <c r="O51" s="106"/>
      <c r="P51" s="106"/>
      <c r="Q51" s="106"/>
      <c r="R51" s="106"/>
      <c r="S51" s="106"/>
    </row>
    <row r="52" spans="2:19" ht="69.599999999999994" x14ac:dyDescent="0.3">
      <c r="B52" s="46" t="s">
        <v>259</v>
      </c>
      <c r="C52" s="46">
        <v>186</v>
      </c>
      <c r="D52" s="46" t="s">
        <v>260</v>
      </c>
      <c r="E52" s="46" t="s">
        <v>261</v>
      </c>
      <c r="F52" s="46" t="s">
        <v>262</v>
      </c>
      <c r="G52" s="46" t="s">
        <v>263</v>
      </c>
      <c r="H52" s="46" t="s">
        <v>264</v>
      </c>
      <c r="I52" s="46" t="s">
        <v>265</v>
      </c>
    </row>
    <row r="53" spans="2:19" ht="69.599999999999994" x14ac:dyDescent="0.3">
      <c r="B53" s="46" t="s">
        <v>266</v>
      </c>
      <c r="C53" s="46">
        <v>233</v>
      </c>
      <c r="D53" s="46" t="s">
        <v>267</v>
      </c>
      <c r="E53" s="46" t="s">
        <v>268</v>
      </c>
      <c r="F53" s="46" t="s">
        <v>269</v>
      </c>
      <c r="G53" s="46" t="s">
        <v>270</v>
      </c>
      <c r="H53" s="46" t="s">
        <v>271</v>
      </c>
      <c r="I53" s="46" t="s">
        <v>272</v>
      </c>
    </row>
    <row r="54" spans="2:19" ht="69.599999999999994" x14ac:dyDescent="0.3">
      <c r="B54" s="46" t="s">
        <v>273</v>
      </c>
      <c r="C54" s="46">
        <v>215</v>
      </c>
      <c r="D54" s="46" t="s">
        <v>274</v>
      </c>
      <c r="E54" s="46" t="s">
        <v>275</v>
      </c>
      <c r="F54" s="46" t="s">
        <v>276</v>
      </c>
      <c r="G54" s="46" t="s">
        <v>277</v>
      </c>
      <c r="H54" s="46" t="s">
        <v>278</v>
      </c>
      <c r="I54" s="46" t="s">
        <v>279</v>
      </c>
    </row>
    <row r="55" spans="2:19" ht="69.599999999999994" x14ac:dyDescent="0.3">
      <c r="B55" s="46" t="s">
        <v>280</v>
      </c>
      <c r="C55" s="46">
        <v>206</v>
      </c>
      <c r="D55" s="46" t="s">
        <v>281</v>
      </c>
      <c r="E55" s="46" t="s">
        <v>282</v>
      </c>
      <c r="F55" s="46" t="s">
        <v>283</v>
      </c>
      <c r="G55" s="46" t="s">
        <v>284</v>
      </c>
      <c r="H55" s="46" t="s">
        <v>285</v>
      </c>
      <c r="I55" s="46" t="s">
        <v>286</v>
      </c>
    </row>
    <row r="56" spans="2:19" ht="69.599999999999994" x14ac:dyDescent="0.3">
      <c r="B56" s="46" t="s">
        <v>287</v>
      </c>
      <c r="C56" s="46">
        <v>180</v>
      </c>
      <c r="D56" s="46" t="s">
        <v>288</v>
      </c>
      <c r="E56" s="46" t="s">
        <v>289</v>
      </c>
      <c r="F56" s="46" t="s">
        <v>290</v>
      </c>
      <c r="G56" s="46" t="s">
        <v>291</v>
      </c>
      <c r="H56" s="46" t="s">
        <v>292</v>
      </c>
      <c r="I56" s="46" t="s">
        <v>293</v>
      </c>
    </row>
    <row r="57" spans="2:19" ht="69.599999999999994" x14ac:dyDescent="0.3">
      <c r="B57" s="46" t="s">
        <v>294</v>
      </c>
      <c r="C57" s="46">
        <v>146</v>
      </c>
      <c r="D57" s="46" t="s">
        <v>295</v>
      </c>
      <c r="E57" s="46" t="s">
        <v>296</v>
      </c>
      <c r="F57" s="46" t="s">
        <v>297</v>
      </c>
      <c r="G57" s="46" t="s">
        <v>298</v>
      </c>
      <c r="H57" s="46" t="s">
        <v>299</v>
      </c>
      <c r="I57" s="46" t="s">
        <v>300</v>
      </c>
    </row>
    <row r="58" spans="2:19" ht="69.599999999999994" x14ac:dyDescent="0.3">
      <c r="B58" s="46" t="s">
        <v>301</v>
      </c>
      <c r="C58" s="46">
        <v>179</v>
      </c>
      <c r="D58" s="46" t="s">
        <v>302</v>
      </c>
      <c r="E58" s="46" t="s">
        <v>303</v>
      </c>
      <c r="F58" s="46" t="s">
        <v>304</v>
      </c>
      <c r="G58" s="46" t="s">
        <v>304</v>
      </c>
      <c r="H58" s="46" t="s">
        <v>305</v>
      </c>
      <c r="I58" s="46" t="s">
        <v>306</v>
      </c>
    </row>
    <row r="59" spans="2:19" ht="69.599999999999994" x14ac:dyDescent="0.3">
      <c r="B59" s="46" t="s">
        <v>307</v>
      </c>
      <c r="C59" s="46" t="s">
        <v>308</v>
      </c>
      <c r="D59" s="46" t="s">
        <v>309</v>
      </c>
      <c r="E59" s="46" t="s">
        <v>310</v>
      </c>
      <c r="F59" s="46" t="s">
        <v>311</v>
      </c>
      <c r="G59" s="46" t="s">
        <v>312</v>
      </c>
      <c r="H59" s="46" t="s">
        <v>313</v>
      </c>
      <c r="I59" s="46" t="s">
        <v>314</v>
      </c>
    </row>
    <row r="74" spans="2:10" ht="18" customHeight="1" x14ac:dyDescent="0.3">
      <c r="B74" s="106"/>
      <c r="C74" s="106"/>
      <c r="D74" s="106"/>
      <c r="E74" s="106"/>
      <c r="F74" s="106"/>
      <c r="G74" s="106"/>
      <c r="H74" s="106"/>
      <c r="I74" s="106"/>
      <c r="J74" s="106"/>
    </row>
    <row r="89" spans="2:2" x14ac:dyDescent="0.3">
      <c r="B89" t="s">
        <v>315</v>
      </c>
    </row>
    <row r="110" spans="11:13" x14ac:dyDescent="0.3">
      <c r="L110" t="s">
        <v>316</v>
      </c>
      <c r="M110" t="s">
        <v>317</v>
      </c>
    </row>
    <row r="111" spans="11:13" x14ac:dyDescent="0.3">
      <c r="K111" t="s">
        <v>318</v>
      </c>
      <c r="L111" s="75">
        <f>21/35</f>
        <v>0.6</v>
      </c>
      <c r="M111" s="75">
        <f>14/40</f>
        <v>0.35</v>
      </c>
    </row>
    <row r="112" spans="11:13" x14ac:dyDescent="0.3">
      <c r="K112" t="s">
        <v>319</v>
      </c>
      <c r="L112" s="75">
        <f>8/35</f>
        <v>0.22857142857142856</v>
      </c>
      <c r="M112" s="75">
        <f>8/40</f>
        <v>0.2</v>
      </c>
    </row>
    <row r="117" spans="2:18" x14ac:dyDescent="0.3">
      <c r="B117" t="s">
        <v>320</v>
      </c>
    </row>
    <row r="126" spans="2:18" x14ac:dyDescent="0.3">
      <c r="R126" t="s">
        <v>321</v>
      </c>
    </row>
    <row r="130" spans="17:22" x14ac:dyDescent="0.3">
      <c r="Q130" t="s">
        <v>322</v>
      </c>
    </row>
    <row r="134" spans="17:22" x14ac:dyDescent="0.3">
      <c r="Q134" t="s">
        <v>323</v>
      </c>
    </row>
    <row r="135" spans="17:22" x14ac:dyDescent="0.3">
      <c r="Q135">
        <f>17+13</f>
        <v>30</v>
      </c>
    </row>
    <row r="136" spans="17:22" x14ac:dyDescent="0.3">
      <c r="Q136">
        <f>17+13</f>
        <v>30</v>
      </c>
    </row>
    <row r="137" spans="17:22" x14ac:dyDescent="0.3">
      <c r="S137" t="s">
        <v>324</v>
      </c>
    </row>
    <row r="138" spans="17:22" x14ac:dyDescent="0.3">
      <c r="Q138">
        <v>16</v>
      </c>
    </row>
    <row r="139" spans="17:22" x14ac:dyDescent="0.3">
      <c r="Q139">
        <v>18</v>
      </c>
    </row>
    <row r="140" spans="17:22" x14ac:dyDescent="0.3">
      <c r="Q140">
        <v>52</v>
      </c>
      <c r="R140">
        <f>37.2+7.6</f>
        <v>44.800000000000004</v>
      </c>
      <c r="S140">
        <v>53</v>
      </c>
      <c r="T140">
        <v>20.7</v>
      </c>
    </row>
    <row r="141" spans="17:22" x14ac:dyDescent="0.3">
      <c r="Q141">
        <v>58</v>
      </c>
      <c r="R141">
        <v>24.1</v>
      </c>
      <c r="S141">
        <v>35</v>
      </c>
      <c r="T141">
        <v>17.2</v>
      </c>
    </row>
    <row r="142" spans="17:22" x14ac:dyDescent="0.3">
      <c r="Q142">
        <v>45</v>
      </c>
      <c r="R142">
        <v>17.2</v>
      </c>
      <c r="S142">
        <v>51</v>
      </c>
      <c r="T142">
        <v>15.2</v>
      </c>
    </row>
    <row r="143" spans="17:22" x14ac:dyDescent="0.3">
      <c r="Q143">
        <v>33</v>
      </c>
      <c r="R143">
        <v>8.3000000000000007</v>
      </c>
      <c r="S143">
        <v>66</v>
      </c>
      <c r="T143">
        <v>14.5</v>
      </c>
      <c r="V143" s="82" t="s">
        <v>325</v>
      </c>
    </row>
    <row r="144" spans="17:22" x14ac:dyDescent="0.3">
      <c r="Q144">
        <v>31</v>
      </c>
      <c r="R144">
        <v>14.5</v>
      </c>
      <c r="S144">
        <v>68</v>
      </c>
      <c r="T144">
        <v>13.8</v>
      </c>
      <c r="V144" t="s">
        <v>326</v>
      </c>
    </row>
    <row r="145" spans="17:20" x14ac:dyDescent="0.3">
      <c r="Q145" t="s">
        <v>327</v>
      </c>
      <c r="R145">
        <f>SUM(R140:R144)</f>
        <v>108.9</v>
      </c>
      <c r="S145">
        <v>39</v>
      </c>
      <c r="T145">
        <v>12.4</v>
      </c>
    </row>
    <row r="146" spans="17:20" x14ac:dyDescent="0.3">
      <c r="S146">
        <v>56</v>
      </c>
      <c r="T146">
        <v>12.4</v>
      </c>
    </row>
    <row r="147" spans="17:20" x14ac:dyDescent="0.3">
      <c r="Q147" t="s">
        <v>328</v>
      </c>
      <c r="R147" t="s">
        <v>329</v>
      </c>
      <c r="S147">
        <v>59</v>
      </c>
      <c r="T147">
        <v>8.3000000000000007</v>
      </c>
    </row>
    <row r="148" spans="17:20" x14ac:dyDescent="0.3">
      <c r="S148">
        <v>73</v>
      </c>
      <c r="T148">
        <v>6.9</v>
      </c>
    </row>
    <row r="149" spans="17:20" x14ac:dyDescent="0.3">
      <c r="S149">
        <v>26</v>
      </c>
      <c r="T149">
        <v>6.2</v>
      </c>
    </row>
    <row r="150" spans="17:20" x14ac:dyDescent="0.3">
      <c r="S150">
        <v>82</v>
      </c>
      <c r="T150">
        <v>4.8</v>
      </c>
    </row>
    <row r="151" spans="17:20" x14ac:dyDescent="0.3">
      <c r="S151" t="s">
        <v>307</v>
      </c>
      <c r="T151">
        <f>SUM(T140:T150)</f>
        <v>132.4</v>
      </c>
    </row>
    <row r="154" spans="17:20" x14ac:dyDescent="0.3">
      <c r="Q154" t="s">
        <v>330</v>
      </c>
    </row>
    <row r="155" spans="17:20" x14ac:dyDescent="0.3">
      <c r="Q155" t="s">
        <v>331</v>
      </c>
      <c r="R155" s="81">
        <v>0.98</v>
      </c>
    </row>
    <row r="156" spans="17:20" x14ac:dyDescent="0.3">
      <c r="Q156" t="s">
        <v>332</v>
      </c>
      <c r="R156" s="81">
        <v>0.5</v>
      </c>
    </row>
    <row r="157" spans="17:20" x14ac:dyDescent="0.3">
      <c r="Q157" t="s">
        <v>319</v>
      </c>
      <c r="R157" s="81">
        <v>0.05</v>
      </c>
    </row>
  </sheetData>
  <mergeCells count="16">
    <mergeCell ref="B1:K1"/>
    <mergeCell ref="B35:F35"/>
    <mergeCell ref="B74:J74"/>
    <mergeCell ref="I3:S6"/>
    <mergeCell ref="B47:L47"/>
    <mergeCell ref="L50:S51"/>
    <mergeCell ref="B3:B4"/>
    <mergeCell ref="B5:F5"/>
    <mergeCell ref="B11:F11"/>
    <mergeCell ref="B17:F17"/>
    <mergeCell ref="B23:F23"/>
    <mergeCell ref="B29:F29"/>
    <mergeCell ref="I10:S10"/>
    <mergeCell ref="I8:S8"/>
    <mergeCell ref="I9:S9"/>
    <mergeCell ref="I11:S11"/>
  </mergeCells>
  <hyperlinks>
    <hyperlink ref="V143" r:id="rId1"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Y24"/>
  <sheetViews>
    <sheetView workbookViewId="0"/>
  </sheetViews>
  <sheetFormatPr defaultRowHeight="14.4" x14ac:dyDescent="0.3"/>
  <cols>
    <col min="3" max="3" width="17.5546875" customWidth="1"/>
    <col min="11" max="11" width="32" customWidth="1"/>
    <col min="19" max="19" width="19" customWidth="1"/>
  </cols>
  <sheetData>
    <row r="1" spans="2:25" x14ac:dyDescent="0.3">
      <c r="C1" t="s">
        <v>333</v>
      </c>
    </row>
    <row r="2" spans="2:25" x14ac:dyDescent="0.3">
      <c r="B2" t="s">
        <v>334</v>
      </c>
      <c r="D2" s="109" t="s">
        <v>335</v>
      </c>
      <c r="E2" s="109"/>
      <c r="F2" s="109"/>
      <c r="G2" s="109"/>
      <c r="H2" s="109"/>
      <c r="I2" s="109"/>
      <c r="L2" s="109" t="s">
        <v>7</v>
      </c>
      <c r="M2" s="109"/>
      <c r="N2" s="109"/>
      <c r="O2" s="109"/>
      <c r="P2" s="109"/>
      <c r="Q2" s="109"/>
      <c r="T2" s="109" t="s">
        <v>336</v>
      </c>
      <c r="U2" s="109"/>
      <c r="V2" s="109"/>
      <c r="W2" s="109"/>
      <c r="X2" s="109"/>
      <c r="Y2" s="109"/>
    </row>
    <row r="3" spans="2:25" ht="52.2" x14ac:dyDescent="0.3">
      <c r="C3" s="46" t="s">
        <v>243</v>
      </c>
      <c r="D3" s="46" t="s">
        <v>246</v>
      </c>
      <c r="E3" s="46" t="s">
        <v>247</v>
      </c>
      <c r="F3" s="46" t="s">
        <v>248</v>
      </c>
      <c r="G3" s="46" t="s">
        <v>249</v>
      </c>
      <c r="H3" s="46" t="s">
        <v>337</v>
      </c>
      <c r="I3" s="46" t="s">
        <v>338</v>
      </c>
      <c r="K3" s="46" t="s">
        <v>339</v>
      </c>
      <c r="L3" s="46" t="s">
        <v>246</v>
      </c>
      <c r="M3" s="46" t="s">
        <v>247</v>
      </c>
      <c r="N3" s="46" t="s">
        <v>248</v>
      </c>
      <c r="O3" s="46" t="s">
        <v>249</v>
      </c>
      <c r="P3" s="46" t="s">
        <v>337</v>
      </c>
      <c r="Q3" s="46" t="s">
        <v>338</v>
      </c>
      <c r="S3" s="46" t="s">
        <v>339</v>
      </c>
      <c r="T3" s="46" t="s">
        <v>246</v>
      </c>
      <c r="U3" s="46" t="s">
        <v>247</v>
      </c>
      <c r="V3" s="46" t="s">
        <v>248</v>
      </c>
      <c r="W3" s="46" t="s">
        <v>249</v>
      </c>
      <c r="X3" s="46" t="s">
        <v>337</v>
      </c>
      <c r="Y3" s="46" t="s">
        <v>338</v>
      </c>
    </row>
    <row r="4" spans="2:25" ht="69.599999999999994" x14ac:dyDescent="0.3">
      <c r="C4" s="46" t="s">
        <v>252</v>
      </c>
      <c r="D4" s="46" t="s">
        <v>254</v>
      </c>
      <c r="E4" s="46" t="s">
        <v>255</v>
      </c>
      <c r="F4" s="46" t="s">
        <v>256</v>
      </c>
      <c r="G4" s="46" t="s">
        <v>257</v>
      </c>
      <c r="H4" s="46">
        <f>66-20</f>
        <v>46</v>
      </c>
      <c r="I4" s="56">
        <v>44.7</v>
      </c>
      <c r="L4" s="46">
        <v>72.7</v>
      </c>
      <c r="M4" s="46" t="s">
        <v>255</v>
      </c>
      <c r="N4" s="46" t="s">
        <v>256</v>
      </c>
      <c r="O4" s="46" t="s">
        <v>257</v>
      </c>
      <c r="P4" s="56">
        <f>72.7-24</f>
        <v>48.7</v>
      </c>
      <c r="Q4" s="56">
        <v>63.6</v>
      </c>
      <c r="S4" s="55" t="s">
        <v>340</v>
      </c>
      <c r="T4" s="46">
        <v>34.1</v>
      </c>
      <c r="U4" s="46">
        <f>17/2</f>
        <v>8.5</v>
      </c>
      <c r="V4" s="46">
        <f>8/2</f>
        <v>4</v>
      </c>
      <c r="W4" s="46">
        <f>24/2</f>
        <v>12</v>
      </c>
      <c r="X4" s="56">
        <f t="shared" ref="X4:X11" si="0">T4-W4</f>
        <v>22.1</v>
      </c>
      <c r="Y4" s="56">
        <v>24.4</v>
      </c>
    </row>
    <row r="5" spans="2:25" ht="51.75" customHeight="1" x14ac:dyDescent="0.3">
      <c r="C5" s="46" t="s">
        <v>259</v>
      </c>
      <c r="D5" s="46" t="s">
        <v>261</v>
      </c>
      <c r="E5" s="46" t="s">
        <v>262</v>
      </c>
      <c r="F5" s="46" t="s">
        <v>263</v>
      </c>
      <c r="G5" s="46" t="s">
        <v>264</v>
      </c>
      <c r="H5" s="46">
        <f>61.9-22</f>
        <v>39.9</v>
      </c>
      <c r="I5" s="56">
        <v>36.700000000000003</v>
      </c>
      <c r="K5" s="125" t="s">
        <v>341</v>
      </c>
      <c r="L5" s="54">
        <v>62.9</v>
      </c>
      <c r="M5" s="46" t="s">
        <v>262</v>
      </c>
      <c r="N5" s="46" t="s">
        <v>263</v>
      </c>
      <c r="O5" s="46" t="s">
        <v>264</v>
      </c>
      <c r="P5" s="46">
        <f>62.9-22</f>
        <v>40.9</v>
      </c>
      <c r="Q5" s="56">
        <v>48.1</v>
      </c>
      <c r="T5" s="57">
        <v>30.5</v>
      </c>
      <c r="U5" s="46">
        <f>15.1/2</f>
        <v>7.55</v>
      </c>
      <c r="V5" s="46">
        <f>9.7/2</f>
        <v>4.8499999999999996</v>
      </c>
      <c r="W5" s="46">
        <f>22/2</f>
        <v>11</v>
      </c>
      <c r="X5" s="56">
        <f t="shared" si="0"/>
        <v>19.5</v>
      </c>
      <c r="Y5" s="56">
        <v>11.9</v>
      </c>
    </row>
    <row r="6" spans="2:25" ht="69.599999999999994" x14ac:dyDescent="0.3">
      <c r="C6" s="46" t="s">
        <v>266</v>
      </c>
      <c r="D6" s="46" t="s">
        <v>268</v>
      </c>
      <c r="E6" s="46" t="s">
        <v>269</v>
      </c>
      <c r="F6" s="46" t="s">
        <v>270</v>
      </c>
      <c r="G6" s="46" t="s">
        <v>271</v>
      </c>
      <c r="H6" s="46">
        <f>61.8-24.5</f>
        <v>37.299999999999997</v>
      </c>
      <c r="I6" s="56">
        <v>36.700000000000003</v>
      </c>
      <c r="K6" s="125"/>
      <c r="L6" s="54">
        <v>62.9</v>
      </c>
      <c r="M6" s="46" t="s">
        <v>269</v>
      </c>
      <c r="N6" s="46" t="s">
        <v>270</v>
      </c>
      <c r="O6" s="46" t="s">
        <v>271</v>
      </c>
      <c r="P6" s="56">
        <f>62.9-24.5</f>
        <v>38.4</v>
      </c>
      <c r="Q6" s="56">
        <v>48.1</v>
      </c>
      <c r="T6" s="57">
        <v>30.5</v>
      </c>
      <c r="U6" s="46">
        <f>18/2</f>
        <v>9</v>
      </c>
      <c r="V6" s="46">
        <f>9.9/2</f>
        <v>4.95</v>
      </c>
      <c r="W6" s="46">
        <f>24.5/2</f>
        <v>12.25</v>
      </c>
      <c r="X6" s="56">
        <f t="shared" si="0"/>
        <v>18.25</v>
      </c>
      <c r="Y6" s="56">
        <v>11.9</v>
      </c>
    </row>
    <row r="7" spans="2:25" ht="69.599999999999994" x14ac:dyDescent="0.3">
      <c r="C7" s="46" t="s">
        <v>273</v>
      </c>
      <c r="D7" s="46" t="s">
        <v>275</v>
      </c>
      <c r="E7" s="46" t="s">
        <v>276</v>
      </c>
      <c r="F7" s="46" t="s">
        <v>277</v>
      </c>
      <c r="G7" s="46" t="s">
        <v>278</v>
      </c>
      <c r="H7" s="46">
        <f>59.5-21.4</f>
        <v>38.1</v>
      </c>
      <c r="I7" s="56">
        <v>26.9</v>
      </c>
      <c r="L7" s="46">
        <v>64.8</v>
      </c>
      <c r="M7" s="46" t="s">
        <v>276</v>
      </c>
      <c r="N7" s="46" t="s">
        <v>277</v>
      </c>
      <c r="O7" s="46" t="s">
        <v>278</v>
      </c>
      <c r="P7" s="46">
        <f>64.8-21.4</f>
        <v>43.4</v>
      </c>
      <c r="Q7" s="56">
        <v>43.7</v>
      </c>
      <c r="T7" s="46">
        <v>15.9</v>
      </c>
      <c r="U7" s="46">
        <f>14/2</f>
        <v>7</v>
      </c>
      <c r="V7" s="46">
        <f>8.4/2</f>
        <v>4.2</v>
      </c>
      <c r="W7" s="46">
        <f>21.4/2</f>
        <v>10.7</v>
      </c>
      <c r="X7" s="56">
        <f t="shared" si="0"/>
        <v>5.2000000000000011</v>
      </c>
      <c r="Y7" s="56">
        <v>7.9</v>
      </c>
    </row>
    <row r="8" spans="2:25" ht="69.599999999999994" x14ac:dyDescent="0.3">
      <c r="C8" s="46" t="s">
        <v>280</v>
      </c>
      <c r="D8" s="46" t="s">
        <v>282</v>
      </c>
      <c r="E8" s="46" t="s">
        <v>283</v>
      </c>
      <c r="F8" s="46" t="s">
        <v>284</v>
      </c>
      <c r="G8" s="46" t="s">
        <v>285</v>
      </c>
      <c r="H8" s="46">
        <f>55.8-18.5</f>
        <v>37.299999999999997</v>
      </c>
      <c r="I8" s="56">
        <v>26.9</v>
      </c>
      <c r="L8" s="46">
        <v>64.8</v>
      </c>
      <c r="M8" s="46" t="s">
        <v>283</v>
      </c>
      <c r="N8" s="46" t="s">
        <v>284</v>
      </c>
      <c r="O8" s="46" t="s">
        <v>285</v>
      </c>
      <c r="P8" s="46">
        <f>64.8-18.5</f>
        <v>46.3</v>
      </c>
      <c r="Q8" s="56">
        <v>43.7</v>
      </c>
      <c r="T8" s="46">
        <v>15.9</v>
      </c>
      <c r="U8" s="46">
        <f>14.1/2</f>
        <v>7.05</v>
      </c>
      <c r="V8" s="46">
        <f>6.3/2</f>
        <v>3.15</v>
      </c>
      <c r="W8" s="46">
        <f>18.5/2</f>
        <v>9.25</v>
      </c>
      <c r="X8" s="56">
        <f t="shared" si="0"/>
        <v>6.65</v>
      </c>
      <c r="Y8" s="56">
        <v>7.9</v>
      </c>
    </row>
    <row r="9" spans="2:25" ht="69.599999999999994" x14ac:dyDescent="0.3">
      <c r="C9" s="46" t="s">
        <v>287</v>
      </c>
      <c r="D9" s="46" t="s">
        <v>289</v>
      </c>
      <c r="E9" s="46" t="s">
        <v>290</v>
      </c>
      <c r="F9" s="46" t="s">
        <v>291</v>
      </c>
      <c r="G9" s="46" t="s">
        <v>292</v>
      </c>
      <c r="H9" s="46">
        <f>44.4-15.6</f>
        <v>28.799999999999997</v>
      </c>
      <c r="I9" s="56">
        <v>31.2</v>
      </c>
      <c r="L9" s="46">
        <v>42.4</v>
      </c>
      <c r="M9" s="46" t="s">
        <v>290</v>
      </c>
      <c r="N9" s="46" t="s">
        <v>291</v>
      </c>
      <c r="O9" s="46" t="s">
        <v>292</v>
      </c>
      <c r="P9" s="46">
        <f>42.4-15.6</f>
        <v>26.799999999999997</v>
      </c>
      <c r="Q9" s="56">
        <v>51.5</v>
      </c>
      <c r="T9" s="46">
        <v>11.4</v>
      </c>
      <c r="U9" s="46">
        <f>10.6/2</f>
        <v>5.3</v>
      </c>
      <c r="V9" s="46">
        <f>6.7/2</f>
        <v>3.35</v>
      </c>
      <c r="W9" s="46">
        <f>15.6/2</f>
        <v>7.8</v>
      </c>
      <c r="X9" s="56">
        <f t="shared" si="0"/>
        <v>3.6000000000000005</v>
      </c>
      <c r="Y9" s="56">
        <v>15.9</v>
      </c>
    </row>
    <row r="10" spans="2:25" ht="69.599999999999994" x14ac:dyDescent="0.3">
      <c r="C10" s="46" t="s">
        <v>294</v>
      </c>
      <c r="D10" s="46" t="s">
        <v>296</v>
      </c>
      <c r="E10" s="46" t="s">
        <v>297</v>
      </c>
      <c r="F10" s="46" t="s">
        <v>298</v>
      </c>
      <c r="G10" s="46" t="s">
        <v>299</v>
      </c>
      <c r="H10" s="46">
        <f>40.4-13.7</f>
        <v>26.7</v>
      </c>
      <c r="I10" s="56">
        <v>31.2</v>
      </c>
      <c r="L10" s="46">
        <v>42.4</v>
      </c>
      <c r="M10" s="46" t="s">
        <v>297</v>
      </c>
      <c r="N10" s="46" t="s">
        <v>298</v>
      </c>
      <c r="O10" s="46" t="s">
        <v>299</v>
      </c>
      <c r="P10" s="46">
        <f>42.4-13.7</f>
        <v>28.7</v>
      </c>
      <c r="Q10" s="56">
        <v>51.5</v>
      </c>
      <c r="T10" s="46">
        <v>11.4</v>
      </c>
      <c r="U10" s="46">
        <f>10.3/2</f>
        <v>5.15</v>
      </c>
      <c r="V10" s="46">
        <f>5.5/2</f>
        <v>2.75</v>
      </c>
      <c r="W10" s="46">
        <f>13.7/2</f>
        <v>6.85</v>
      </c>
      <c r="X10" s="56">
        <f t="shared" si="0"/>
        <v>4.5500000000000007</v>
      </c>
      <c r="Y10" s="56">
        <v>15.9</v>
      </c>
    </row>
    <row r="11" spans="2:25" ht="69.599999999999994" x14ac:dyDescent="0.3">
      <c r="C11" s="46" t="s">
        <v>301</v>
      </c>
      <c r="D11" s="46" t="s">
        <v>303</v>
      </c>
      <c r="E11" s="46" t="s">
        <v>304</v>
      </c>
      <c r="F11" s="46" t="s">
        <v>304</v>
      </c>
      <c r="G11" s="46" t="s">
        <v>305</v>
      </c>
      <c r="H11" s="46">
        <f>41.9-15.6</f>
        <v>26.299999999999997</v>
      </c>
      <c r="I11" s="56">
        <v>31.2</v>
      </c>
      <c r="L11" s="46">
        <v>42.4</v>
      </c>
      <c r="M11" s="46" t="s">
        <v>304</v>
      </c>
      <c r="N11" s="46" t="s">
        <v>304</v>
      </c>
      <c r="O11" s="46" t="s">
        <v>305</v>
      </c>
      <c r="P11" s="46">
        <f>42.4-15.6</f>
        <v>26.799999999999997</v>
      </c>
      <c r="Q11" s="56">
        <v>51.5</v>
      </c>
      <c r="T11" s="46">
        <v>11.4</v>
      </c>
      <c r="U11" s="46">
        <f>8.4/2</f>
        <v>4.2</v>
      </c>
      <c r="V11" s="46">
        <f>8.4/2</f>
        <v>4.2</v>
      </c>
      <c r="W11" s="46">
        <f>15.6/2</f>
        <v>7.8</v>
      </c>
      <c r="X11" s="56">
        <f t="shared" si="0"/>
        <v>3.6000000000000005</v>
      </c>
      <c r="Y11" s="56">
        <v>15.9</v>
      </c>
    </row>
    <row r="15" spans="2:25" x14ac:dyDescent="0.3">
      <c r="D15" s="109"/>
      <c r="E15" s="109"/>
      <c r="F15" s="109"/>
      <c r="G15" s="109"/>
      <c r="H15" s="109"/>
      <c r="I15" s="109"/>
      <c r="L15" s="109"/>
      <c r="M15" s="109"/>
      <c r="N15" s="109"/>
      <c r="O15" s="109"/>
      <c r="P15" s="109"/>
      <c r="Q15" s="109"/>
      <c r="T15" s="109"/>
      <c r="U15" s="109"/>
      <c r="V15" s="109"/>
      <c r="W15" s="109"/>
      <c r="X15" s="109"/>
      <c r="Y15" s="109"/>
    </row>
    <row r="16" spans="2:25" ht="17.399999999999999" x14ac:dyDescent="0.3">
      <c r="C16" s="46"/>
      <c r="D16" s="46"/>
      <c r="E16" s="46"/>
      <c r="F16" s="46"/>
      <c r="G16" s="46"/>
      <c r="H16" s="46"/>
      <c r="I16" s="46"/>
      <c r="K16" s="46"/>
      <c r="L16" s="46"/>
      <c r="M16" s="46"/>
      <c r="N16" s="46"/>
      <c r="O16" s="46"/>
      <c r="P16" s="46"/>
      <c r="Q16" s="46"/>
      <c r="S16" s="46"/>
      <c r="T16" s="46"/>
      <c r="U16" s="46"/>
      <c r="V16" s="46"/>
      <c r="W16" s="46"/>
      <c r="X16" s="46"/>
      <c r="Y16" s="46"/>
    </row>
    <row r="17" spans="3:25" ht="17.399999999999999" x14ac:dyDescent="0.3">
      <c r="C17" s="46"/>
      <c r="D17" s="46"/>
      <c r="E17" s="46"/>
      <c r="F17" s="46"/>
      <c r="G17" s="46"/>
      <c r="H17" s="46"/>
      <c r="I17" s="56"/>
      <c r="L17" s="46"/>
      <c r="M17" s="46"/>
      <c r="N17" s="46"/>
      <c r="O17" s="46"/>
      <c r="P17" s="56"/>
      <c r="Q17" s="56"/>
      <c r="S17" s="55"/>
      <c r="T17" s="46"/>
      <c r="U17" s="46"/>
      <c r="V17" s="46"/>
      <c r="W17" s="46"/>
      <c r="X17" s="56"/>
      <c r="Y17" s="56"/>
    </row>
    <row r="18" spans="3:25" ht="17.399999999999999" x14ac:dyDescent="0.3">
      <c r="C18" s="46"/>
      <c r="D18" s="46"/>
      <c r="E18" s="46"/>
      <c r="F18" s="46"/>
      <c r="G18" s="46"/>
      <c r="H18" s="46"/>
      <c r="I18" s="56"/>
      <c r="K18" s="125"/>
      <c r="L18" s="54"/>
      <c r="M18" s="46"/>
      <c r="N18" s="46"/>
      <c r="O18" s="46"/>
      <c r="P18" s="46"/>
      <c r="Q18" s="56"/>
      <c r="T18" s="57"/>
      <c r="U18" s="46"/>
      <c r="V18" s="46"/>
      <c r="W18" s="46"/>
      <c r="X18" s="56"/>
      <c r="Y18" s="56"/>
    </row>
    <row r="19" spans="3:25" ht="17.399999999999999" x14ac:dyDescent="0.3">
      <c r="C19" s="46"/>
      <c r="D19" s="46"/>
      <c r="E19" s="46"/>
      <c r="F19" s="46"/>
      <c r="G19" s="46"/>
      <c r="H19" s="46"/>
      <c r="I19" s="56"/>
      <c r="K19" s="125"/>
      <c r="L19" s="54"/>
      <c r="M19" s="46"/>
      <c r="N19" s="46"/>
      <c r="O19" s="46"/>
      <c r="P19" s="56"/>
      <c r="Q19" s="56"/>
      <c r="T19" s="57"/>
      <c r="U19" s="46"/>
      <c r="V19" s="46"/>
      <c r="W19" s="46"/>
      <c r="X19" s="56"/>
      <c r="Y19" s="56"/>
    </row>
    <row r="20" spans="3:25" ht="17.399999999999999" x14ac:dyDescent="0.3">
      <c r="C20" s="46"/>
      <c r="D20" s="46"/>
      <c r="E20" s="46"/>
      <c r="F20" s="46"/>
      <c r="G20" s="46"/>
      <c r="H20" s="46"/>
      <c r="I20" s="56"/>
      <c r="L20" s="46"/>
      <c r="M20" s="46"/>
      <c r="N20" s="46"/>
      <c r="O20" s="46"/>
      <c r="P20" s="46"/>
      <c r="Q20" s="56"/>
      <c r="T20" s="46"/>
      <c r="U20" s="46"/>
      <c r="V20" s="46"/>
      <c r="W20" s="46"/>
      <c r="X20" s="56"/>
      <c r="Y20" s="56"/>
    </row>
    <row r="21" spans="3:25" ht="17.399999999999999" x14ac:dyDescent="0.3">
      <c r="C21" s="46"/>
      <c r="D21" s="46"/>
      <c r="E21" s="46"/>
      <c r="F21" s="46"/>
      <c r="G21" s="46"/>
      <c r="H21" s="46"/>
      <c r="I21" s="56"/>
      <c r="L21" s="46"/>
      <c r="M21" s="46"/>
      <c r="N21" s="46"/>
      <c r="O21" s="46"/>
      <c r="P21" s="46"/>
      <c r="Q21" s="56"/>
      <c r="T21" s="46"/>
      <c r="U21" s="46"/>
      <c r="V21" s="46"/>
      <c r="W21" s="46"/>
      <c r="X21" s="56"/>
      <c r="Y21" s="56"/>
    </row>
    <row r="22" spans="3:25" ht="17.399999999999999" x14ac:dyDescent="0.3">
      <c r="C22" s="46"/>
      <c r="D22" s="46"/>
      <c r="E22" s="46"/>
      <c r="F22" s="46"/>
      <c r="G22" s="46"/>
      <c r="H22" s="46"/>
      <c r="I22" s="56"/>
      <c r="L22" s="46"/>
      <c r="M22" s="46"/>
      <c r="N22" s="46"/>
      <c r="O22" s="46"/>
      <c r="P22" s="46"/>
      <c r="Q22" s="56"/>
      <c r="T22" s="46"/>
      <c r="U22" s="46"/>
      <c r="V22" s="46"/>
      <c r="W22" s="46"/>
      <c r="X22" s="56"/>
      <c r="Y22" s="56"/>
    </row>
    <row r="23" spans="3:25" ht="17.399999999999999" x14ac:dyDescent="0.3">
      <c r="C23" s="46"/>
      <c r="D23" s="46"/>
      <c r="E23" s="46"/>
      <c r="F23" s="46"/>
      <c r="G23" s="46"/>
      <c r="H23" s="46"/>
      <c r="I23" s="56"/>
      <c r="L23" s="46"/>
      <c r="M23" s="46"/>
      <c r="N23" s="46"/>
      <c r="O23" s="46"/>
      <c r="P23" s="46"/>
      <c r="Q23" s="56"/>
      <c r="T23" s="46"/>
      <c r="U23" s="46"/>
      <c r="V23" s="46"/>
      <c r="W23" s="46"/>
      <c r="X23" s="56"/>
      <c r="Y23" s="56"/>
    </row>
    <row r="24" spans="3:25" ht="17.399999999999999" x14ac:dyDescent="0.3">
      <c r="C24" s="46"/>
      <c r="D24" s="46"/>
      <c r="E24" s="46"/>
      <c r="F24" s="46"/>
      <c r="G24" s="46"/>
      <c r="H24" s="46"/>
      <c r="I24" s="56"/>
      <c r="L24" s="46"/>
      <c r="M24" s="46"/>
      <c r="N24" s="46"/>
      <c r="O24" s="46"/>
      <c r="P24" s="46"/>
      <c r="Q24" s="56"/>
      <c r="T24" s="46"/>
      <c r="U24" s="46"/>
      <c r="V24" s="46"/>
      <c r="W24" s="46"/>
      <c r="X24" s="56"/>
      <c r="Y24" s="56"/>
    </row>
  </sheetData>
  <mergeCells count="8">
    <mergeCell ref="D15:I15"/>
    <mergeCell ref="L15:Q15"/>
    <mergeCell ref="T15:Y15"/>
    <mergeCell ref="K18:K19"/>
    <mergeCell ref="D2:I2"/>
    <mergeCell ref="L2:Q2"/>
    <mergeCell ref="K5:K6"/>
    <mergeCell ref="T2:Y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U68"/>
  <sheetViews>
    <sheetView tabSelected="1" topLeftCell="C26" workbookViewId="0">
      <selection activeCell="I26" sqref="I26:K43"/>
    </sheetView>
  </sheetViews>
  <sheetFormatPr defaultRowHeight="14.4" x14ac:dyDescent="0.3"/>
  <cols>
    <col min="3" max="3" width="12.6640625" customWidth="1"/>
    <col min="15" max="15" width="3.5546875" customWidth="1"/>
  </cols>
  <sheetData>
    <row r="1" spans="3:18" x14ac:dyDescent="0.3">
      <c r="C1" t="s">
        <v>342</v>
      </c>
    </row>
    <row r="2" spans="3:18" x14ac:dyDescent="0.3">
      <c r="D2" s="109" t="s">
        <v>343</v>
      </c>
      <c r="E2" s="109"/>
      <c r="F2" s="109" t="s">
        <v>344</v>
      </c>
      <c r="G2" s="109"/>
      <c r="H2" s="109" t="s">
        <v>345</v>
      </c>
      <c r="I2" s="109"/>
      <c r="J2" s="109" t="s">
        <v>346</v>
      </c>
      <c r="K2" s="109"/>
      <c r="L2" s="109"/>
      <c r="M2" s="109" t="s">
        <v>307</v>
      </c>
      <c r="N2" s="109"/>
      <c r="O2" s="104"/>
      <c r="P2" s="104"/>
      <c r="Q2" s="109" t="s">
        <v>347</v>
      </c>
      <c r="R2" s="109"/>
    </row>
    <row r="3" spans="3:18" ht="18" x14ac:dyDescent="0.35">
      <c r="D3" s="88" t="s">
        <v>348</v>
      </c>
      <c r="E3" s="88" t="s">
        <v>349</v>
      </c>
      <c r="F3" s="88" t="s">
        <v>348</v>
      </c>
      <c r="G3" s="88" t="s">
        <v>349</v>
      </c>
      <c r="H3" s="88" t="s">
        <v>348</v>
      </c>
      <c r="I3" s="88" t="s">
        <v>349</v>
      </c>
      <c r="J3" s="88" t="s">
        <v>348</v>
      </c>
      <c r="K3" s="88"/>
      <c r="L3" s="88" t="s">
        <v>349</v>
      </c>
      <c r="M3" s="88" t="s">
        <v>348</v>
      </c>
      <c r="N3" s="88" t="s">
        <v>349</v>
      </c>
      <c r="O3" s="88"/>
      <c r="P3" s="88"/>
      <c r="Q3" s="88" t="s">
        <v>348</v>
      </c>
      <c r="R3" s="88" t="s">
        <v>349</v>
      </c>
    </row>
    <row r="4" spans="3:18" x14ac:dyDescent="0.3">
      <c r="C4" t="s">
        <v>350</v>
      </c>
      <c r="D4">
        <v>85</v>
      </c>
      <c r="E4">
        <v>229</v>
      </c>
      <c r="F4">
        <v>56</v>
      </c>
      <c r="G4">
        <v>43</v>
      </c>
      <c r="H4">
        <v>28</v>
      </c>
      <c r="I4">
        <v>29</v>
      </c>
      <c r="J4">
        <v>18</v>
      </c>
      <c r="L4">
        <v>35</v>
      </c>
      <c r="M4">
        <f>SUM(J4,H4,F4,D4)</f>
        <v>187</v>
      </c>
      <c r="N4">
        <f>SUM(L4,I4,G4,E4)</f>
        <v>336</v>
      </c>
      <c r="Q4" s="90">
        <f>M4/M$22</f>
        <v>0.1363967906637491</v>
      </c>
      <c r="R4" s="90">
        <f>N4/N$22</f>
        <v>4.1739130434782612E-2</v>
      </c>
    </row>
    <row r="5" spans="3:18" x14ac:dyDescent="0.3">
      <c r="C5" t="s">
        <v>351</v>
      </c>
      <c r="D5">
        <v>45</v>
      </c>
      <c r="E5">
        <v>146</v>
      </c>
      <c r="F5">
        <v>33</v>
      </c>
      <c r="G5">
        <v>23</v>
      </c>
      <c r="H5">
        <v>20</v>
      </c>
      <c r="I5">
        <v>21</v>
      </c>
      <c r="J5">
        <v>14</v>
      </c>
      <c r="L5">
        <v>29</v>
      </c>
      <c r="M5">
        <f t="shared" ref="M5:M17" si="0">SUM(J5,H5,F5,D5)</f>
        <v>112</v>
      </c>
      <c r="N5">
        <f t="shared" ref="N5:N17" si="1">SUM(L5,I5,G5,E5)</f>
        <v>219</v>
      </c>
      <c r="Q5" s="90">
        <f>M5/M$22</f>
        <v>8.1692195477753471E-2</v>
      </c>
      <c r="R5" s="90">
        <f t="shared" ref="R5:R17" si="2">N5/N$22</f>
        <v>2.7204968944099378E-2</v>
      </c>
    </row>
    <row r="6" spans="3:18" x14ac:dyDescent="0.3">
      <c r="C6" t="s">
        <v>352</v>
      </c>
      <c r="D6">
        <v>46</v>
      </c>
      <c r="E6">
        <v>85</v>
      </c>
      <c r="F6">
        <v>26</v>
      </c>
      <c r="G6">
        <v>22</v>
      </c>
      <c r="H6">
        <v>9</v>
      </c>
      <c r="I6">
        <v>9</v>
      </c>
      <c r="J6">
        <v>4</v>
      </c>
      <c r="L6">
        <v>8</v>
      </c>
      <c r="M6">
        <f t="shared" si="0"/>
        <v>85</v>
      </c>
      <c r="N6">
        <f t="shared" si="1"/>
        <v>124</v>
      </c>
      <c r="Q6" s="90">
        <f>M6/M$22</f>
        <v>6.1998541210795038E-2</v>
      </c>
      <c r="R6" s="90">
        <f t="shared" si="2"/>
        <v>1.5403726708074534E-2</v>
      </c>
    </row>
    <row r="7" spans="3:18" x14ac:dyDescent="0.3">
      <c r="C7" t="s">
        <v>353</v>
      </c>
      <c r="D7">
        <v>24</v>
      </c>
      <c r="E7">
        <v>72</v>
      </c>
      <c r="F7">
        <v>16</v>
      </c>
      <c r="G7">
        <v>17</v>
      </c>
      <c r="H7">
        <v>14</v>
      </c>
      <c r="I7">
        <v>8</v>
      </c>
      <c r="J7">
        <v>2</v>
      </c>
      <c r="L7">
        <v>9</v>
      </c>
      <c r="M7">
        <f t="shared" si="0"/>
        <v>56</v>
      </c>
      <c r="N7">
        <f t="shared" si="1"/>
        <v>106</v>
      </c>
      <c r="Q7" s="90">
        <f t="shared" ref="Q7:Q17" si="3">M7/M$22</f>
        <v>4.0846097738876735E-2</v>
      </c>
      <c r="R7" s="90">
        <f t="shared" si="2"/>
        <v>1.3167701863354038E-2</v>
      </c>
    </row>
    <row r="8" spans="3:18" x14ac:dyDescent="0.3">
      <c r="C8" t="s">
        <v>354</v>
      </c>
      <c r="D8">
        <v>29</v>
      </c>
      <c r="E8">
        <v>67</v>
      </c>
      <c r="F8">
        <v>13</v>
      </c>
      <c r="G8">
        <v>15</v>
      </c>
      <c r="H8">
        <v>10</v>
      </c>
      <c r="I8">
        <v>12</v>
      </c>
      <c r="J8">
        <v>7</v>
      </c>
      <c r="L8">
        <v>9</v>
      </c>
      <c r="M8">
        <f t="shared" si="0"/>
        <v>59</v>
      </c>
      <c r="N8">
        <f t="shared" si="1"/>
        <v>103</v>
      </c>
      <c r="Q8" s="90">
        <f t="shared" si="3"/>
        <v>4.3034281546316555E-2</v>
      </c>
      <c r="R8" s="90">
        <f t="shared" si="2"/>
        <v>1.2795031055900621E-2</v>
      </c>
    </row>
    <row r="9" spans="3:18" x14ac:dyDescent="0.3">
      <c r="C9" t="s">
        <v>355</v>
      </c>
      <c r="D9">
        <v>54</v>
      </c>
      <c r="E9">
        <v>151</v>
      </c>
      <c r="F9">
        <v>33</v>
      </c>
      <c r="G9">
        <v>41</v>
      </c>
      <c r="H9">
        <v>23</v>
      </c>
      <c r="I9">
        <v>29</v>
      </c>
      <c r="J9">
        <v>7</v>
      </c>
      <c r="L9">
        <v>14</v>
      </c>
      <c r="M9">
        <f t="shared" si="0"/>
        <v>117</v>
      </c>
      <c r="N9">
        <f t="shared" si="1"/>
        <v>235</v>
      </c>
      <c r="Q9" s="90">
        <f t="shared" si="3"/>
        <v>8.5339168490153175E-2</v>
      </c>
      <c r="R9" s="90">
        <f t="shared" si="2"/>
        <v>2.9192546583850933E-2</v>
      </c>
    </row>
    <row r="10" spans="3:18" x14ac:dyDescent="0.3">
      <c r="C10" t="s">
        <v>356</v>
      </c>
      <c r="D10">
        <v>25</v>
      </c>
      <c r="E10">
        <v>51</v>
      </c>
      <c r="F10">
        <v>17</v>
      </c>
      <c r="G10">
        <v>7</v>
      </c>
      <c r="H10">
        <v>5</v>
      </c>
      <c r="I10">
        <v>1</v>
      </c>
      <c r="J10">
        <v>4</v>
      </c>
      <c r="L10">
        <v>2</v>
      </c>
      <c r="M10">
        <f t="shared" si="0"/>
        <v>51</v>
      </c>
      <c r="N10">
        <f t="shared" si="1"/>
        <v>61</v>
      </c>
      <c r="Q10" s="90">
        <f t="shared" si="3"/>
        <v>3.7199124726477024E-2</v>
      </c>
      <c r="R10" s="90">
        <f t="shared" si="2"/>
        <v>7.5776397515527954E-3</v>
      </c>
    </row>
    <row r="11" spans="3:18" x14ac:dyDescent="0.3">
      <c r="C11" t="s">
        <v>357</v>
      </c>
      <c r="D11">
        <v>46</v>
      </c>
      <c r="E11">
        <v>106</v>
      </c>
      <c r="F11">
        <v>23</v>
      </c>
      <c r="G11">
        <v>19</v>
      </c>
      <c r="H11">
        <v>7</v>
      </c>
      <c r="I11">
        <v>7</v>
      </c>
      <c r="J11">
        <v>2</v>
      </c>
      <c r="L11">
        <v>12</v>
      </c>
      <c r="M11">
        <f t="shared" si="0"/>
        <v>78</v>
      </c>
      <c r="N11">
        <f t="shared" si="1"/>
        <v>144</v>
      </c>
      <c r="Q11" s="90">
        <f t="shared" si="3"/>
        <v>5.689277899343545E-2</v>
      </c>
      <c r="R11" s="90">
        <f t="shared" si="2"/>
        <v>1.7888198757763974E-2</v>
      </c>
    </row>
    <row r="12" spans="3:18" x14ac:dyDescent="0.3">
      <c r="C12" t="s">
        <v>358</v>
      </c>
      <c r="D12">
        <v>29</v>
      </c>
      <c r="E12">
        <v>75</v>
      </c>
      <c r="F12">
        <v>30</v>
      </c>
      <c r="G12">
        <v>23</v>
      </c>
      <c r="H12">
        <v>11</v>
      </c>
      <c r="I12">
        <v>5</v>
      </c>
      <c r="J12">
        <v>0</v>
      </c>
      <c r="L12">
        <v>1</v>
      </c>
      <c r="M12">
        <f t="shared" si="0"/>
        <v>70</v>
      </c>
      <c r="N12">
        <f t="shared" si="1"/>
        <v>104</v>
      </c>
      <c r="Q12" s="90">
        <f t="shared" si="3"/>
        <v>5.1057622173595912E-2</v>
      </c>
      <c r="R12" s="90">
        <f t="shared" si="2"/>
        <v>1.2919254658385093E-2</v>
      </c>
    </row>
    <row r="13" spans="3:18" x14ac:dyDescent="0.3">
      <c r="C13" t="s">
        <v>359</v>
      </c>
      <c r="D13">
        <v>37</v>
      </c>
      <c r="E13">
        <v>90</v>
      </c>
      <c r="F13">
        <v>26</v>
      </c>
      <c r="G13">
        <v>21</v>
      </c>
      <c r="H13">
        <v>9</v>
      </c>
      <c r="I13">
        <v>12</v>
      </c>
      <c r="J13">
        <v>2</v>
      </c>
      <c r="L13">
        <v>3</v>
      </c>
      <c r="M13">
        <f t="shared" si="0"/>
        <v>74</v>
      </c>
      <c r="N13">
        <f t="shared" si="1"/>
        <v>126</v>
      </c>
      <c r="Q13" s="90">
        <f t="shared" si="3"/>
        <v>5.3975200583515681E-2</v>
      </c>
      <c r="R13" s="90">
        <f t="shared" si="2"/>
        <v>1.5652173913043479E-2</v>
      </c>
    </row>
    <row r="14" spans="3:18" x14ac:dyDescent="0.3">
      <c r="C14" t="s">
        <v>360</v>
      </c>
      <c r="D14">
        <v>22</v>
      </c>
      <c r="E14">
        <v>56</v>
      </c>
      <c r="F14">
        <v>19</v>
      </c>
      <c r="G14">
        <v>15</v>
      </c>
      <c r="H14">
        <v>8</v>
      </c>
      <c r="I14">
        <v>3</v>
      </c>
      <c r="J14">
        <v>2</v>
      </c>
      <c r="L14">
        <v>1</v>
      </c>
      <c r="M14">
        <f t="shared" si="0"/>
        <v>51</v>
      </c>
      <c r="N14">
        <f t="shared" si="1"/>
        <v>75</v>
      </c>
      <c r="Q14" s="90">
        <f t="shared" si="3"/>
        <v>3.7199124726477024E-2</v>
      </c>
      <c r="R14" s="90">
        <f t="shared" si="2"/>
        <v>9.316770186335404E-3</v>
      </c>
    </row>
    <row r="15" spans="3:18" x14ac:dyDescent="0.3">
      <c r="C15" t="s">
        <v>361</v>
      </c>
      <c r="D15">
        <v>50</v>
      </c>
      <c r="E15">
        <v>115</v>
      </c>
      <c r="F15">
        <v>31</v>
      </c>
      <c r="G15">
        <v>14</v>
      </c>
      <c r="H15">
        <v>22</v>
      </c>
      <c r="I15">
        <v>13</v>
      </c>
      <c r="J15">
        <v>5</v>
      </c>
      <c r="L15">
        <v>9</v>
      </c>
      <c r="M15">
        <f t="shared" si="0"/>
        <v>108</v>
      </c>
      <c r="N15">
        <f t="shared" si="1"/>
        <v>151</v>
      </c>
      <c r="Q15" s="90">
        <f t="shared" si="3"/>
        <v>7.8774617067833702E-2</v>
      </c>
      <c r="R15" s="90">
        <f t="shared" si="2"/>
        <v>1.875776397515528E-2</v>
      </c>
    </row>
    <row r="16" spans="3:18" x14ac:dyDescent="0.3">
      <c r="C16" t="s">
        <v>362</v>
      </c>
      <c r="D16">
        <v>22</v>
      </c>
      <c r="E16">
        <v>65</v>
      </c>
      <c r="F16">
        <v>17</v>
      </c>
      <c r="G16">
        <v>14</v>
      </c>
      <c r="H16">
        <v>5</v>
      </c>
      <c r="I16">
        <v>2</v>
      </c>
      <c r="J16">
        <v>1</v>
      </c>
      <c r="L16">
        <v>1</v>
      </c>
      <c r="M16">
        <f t="shared" si="0"/>
        <v>45</v>
      </c>
      <c r="N16">
        <f t="shared" si="1"/>
        <v>82</v>
      </c>
      <c r="Q16" s="90">
        <f t="shared" si="3"/>
        <v>3.2822757111597371E-2</v>
      </c>
      <c r="R16" s="90">
        <f t="shared" si="2"/>
        <v>1.0186335403726708E-2</v>
      </c>
    </row>
    <row r="17" spans="3:18" x14ac:dyDescent="0.3">
      <c r="C17" t="s">
        <v>363</v>
      </c>
      <c r="D17">
        <v>42</v>
      </c>
      <c r="E17">
        <v>85</v>
      </c>
      <c r="F17">
        <v>27</v>
      </c>
      <c r="G17">
        <v>16</v>
      </c>
      <c r="H17">
        <v>12</v>
      </c>
      <c r="I17">
        <v>4</v>
      </c>
      <c r="J17">
        <v>4</v>
      </c>
      <c r="L17">
        <v>2</v>
      </c>
      <c r="M17">
        <f t="shared" si="0"/>
        <v>85</v>
      </c>
      <c r="N17">
        <f t="shared" si="1"/>
        <v>107</v>
      </c>
      <c r="Q17" s="90">
        <f t="shared" si="3"/>
        <v>6.1998541210795038E-2</v>
      </c>
      <c r="R17" s="90">
        <f t="shared" si="2"/>
        <v>1.329192546583851E-2</v>
      </c>
    </row>
    <row r="18" spans="3:18" x14ac:dyDescent="0.3">
      <c r="C18" t="s">
        <v>334</v>
      </c>
      <c r="L18" t="s">
        <v>307</v>
      </c>
      <c r="M18">
        <f>SUM(M4:M17)</f>
        <v>1178</v>
      </c>
      <c r="N18">
        <f>SUM(N4:N17)</f>
        <v>1973</v>
      </c>
    </row>
    <row r="22" spans="3:18" x14ac:dyDescent="0.3">
      <c r="L22" t="s">
        <v>136</v>
      </c>
      <c r="M22">
        <v>1371</v>
      </c>
      <c r="N22">
        <v>8050</v>
      </c>
    </row>
    <row r="23" spans="3:18" x14ac:dyDescent="0.3">
      <c r="M23">
        <f>M18/M22</f>
        <v>0.85922684172137131</v>
      </c>
      <c r="N23">
        <f>N18/N22</f>
        <v>0.24509316770186335</v>
      </c>
    </row>
    <row r="25" spans="3:18" x14ac:dyDescent="0.3">
      <c r="C25" t="s">
        <v>364</v>
      </c>
    </row>
    <row r="26" spans="3:18" x14ac:dyDescent="0.3">
      <c r="I26" s="59" t="s">
        <v>543</v>
      </c>
      <c r="J26" s="59"/>
      <c r="K26" s="59"/>
      <c r="L26" s="59"/>
      <c r="M26" s="59"/>
      <c r="N26" s="59"/>
      <c r="O26" s="59"/>
      <c r="P26" s="59"/>
    </row>
    <row r="27" spans="3:18" x14ac:dyDescent="0.3">
      <c r="D27" s="109" t="s">
        <v>365</v>
      </c>
      <c r="E27" s="109"/>
      <c r="F27" s="109" t="s">
        <v>366</v>
      </c>
      <c r="G27" s="109"/>
      <c r="I27" s="134" t="s">
        <v>366</v>
      </c>
      <c r="J27" s="134"/>
      <c r="K27" s="62"/>
      <c r="L27" s="59"/>
      <c r="M27" s="59"/>
      <c r="N27" s="59"/>
      <c r="O27" s="59"/>
      <c r="P27" s="59"/>
    </row>
    <row r="28" spans="3:18" ht="18" x14ac:dyDescent="0.35">
      <c r="D28" s="88" t="s">
        <v>348</v>
      </c>
      <c r="E28" s="88" t="s">
        <v>349</v>
      </c>
      <c r="F28" s="88" t="s">
        <v>348</v>
      </c>
      <c r="G28" s="88" t="s">
        <v>349</v>
      </c>
      <c r="I28" s="135" t="s">
        <v>348</v>
      </c>
      <c r="J28" s="135" t="s">
        <v>349</v>
      </c>
      <c r="K28" s="135"/>
      <c r="L28" s="59"/>
      <c r="M28" s="59"/>
      <c r="N28" s="59"/>
      <c r="O28" s="59"/>
      <c r="P28" s="59"/>
    </row>
    <row r="29" spans="3:18" x14ac:dyDescent="0.3">
      <c r="C29" t="s">
        <v>367</v>
      </c>
      <c r="I29" s="59"/>
      <c r="J29" s="59"/>
      <c r="K29" s="59"/>
    </row>
    <row r="30" spans="3:18" x14ac:dyDescent="0.3">
      <c r="C30" t="s">
        <v>368</v>
      </c>
      <c r="D30" s="89">
        <v>9.5000000000000001E-2</v>
      </c>
      <c r="E30" s="89">
        <v>9.5000000000000001E-2</v>
      </c>
      <c r="F30" s="89">
        <v>0.161</v>
      </c>
      <c r="G30" s="89">
        <v>0.13600000000000001</v>
      </c>
      <c r="I30" s="136">
        <v>0.161</v>
      </c>
      <c r="J30" s="136">
        <v>0.20599999999999999</v>
      </c>
      <c r="K30" s="59"/>
    </row>
    <row r="31" spans="3:18" x14ac:dyDescent="0.3">
      <c r="C31" t="s">
        <v>369</v>
      </c>
      <c r="D31" s="89">
        <v>7.9000000000000001E-2</v>
      </c>
      <c r="E31" s="89">
        <v>0.08</v>
      </c>
      <c r="F31" s="89">
        <v>3.4000000000000002E-2</v>
      </c>
      <c r="G31" s="89">
        <v>0.13600000000000001</v>
      </c>
      <c r="I31" s="136">
        <v>0.08</v>
      </c>
      <c r="J31" s="136">
        <v>0.1</v>
      </c>
      <c r="K31" s="59"/>
      <c r="M31" t="s">
        <v>553</v>
      </c>
    </row>
    <row r="32" spans="3:18" x14ac:dyDescent="0.3">
      <c r="C32" t="s">
        <v>370</v>
      </c>
      <c r="D32" s="89">
        <f>1-SUM(D30:D31)</f>
        <v>0.82600000000000007</v>
      </c>
      <c r="E32" s="89">
        <f>1-SUM(E30:E31)</f>
        <v>0.82499999999999996</v>
      </c>
      <c r="F32" s="89">
        <f>1-SUM(F30:F31)</f>
        <v>0.80499999999999994</v>
      </c>
      <c r="G32" s="89">
        <f>1-SUM(G30:G31)</f>
        <v>0.72799999999999998</v>
      </c>
      <c r="I32" s="136">
        <f>1-SUM(I30:I31)</f>
        <v>0.75900000000000001</v>
      </c>
      <c r="J32" s="136">
        <f>1-SUM(J30:J31)</f>
        <v>0.69399999999999995</v>
      </c>
      <c r="K32" s="59"/>
    </row>
    <row r="33" spans="3:21" x14ac:dyDescent="0.3">
      <c r="I33" s="59"/>
      <c r="J33" s="59"/>
      <c r="K33" s="59"/>
    </row>
    <row r="34" spans="3:21" x14ac:dyDescent="0.3">
      <c r="C34" t="s">
        <v>371</v>
      </c>
      <c r="I34" s="59"/>
      <c r="J34" s="59"/>
      <c r="K34" s="59"/>
    </row>
    <row r="35" spans="3:21" x14ac:dyDescent="0.3">
      <c r="C35" t="s">
        <v>368</v>
      </c>
      <c r="D35" s="89">
        <v>0.10199999999999999</v>
      </c>
      <c r="E35" s="89">
        <v>0.129</v>
      </c>
      <c r="F35" s="89">
        <v>0.129</v>
      </c>
      <c r="G35" s="89">
        <v>0.20799999999999999</v>
      </c>
      <c r="I35" s="136">
        <v>0.26</v>
      </c>
      <c r="J35" s="136">
        <v>0.24</v>
      </c>
      <c r="K35" s="59"/>
    </row>
    <row r="36" spans="3:21" x14ac:dyDescent="0.3">
      <c r="C36" t="s">
        <v>369</v>
      </c>
      <c r="D36" s="89">
        <v>9.1999999999999998E-2</v>
      </c>
      <c r="E36" s="89">
        <v>9.9000000000000005E-2</v>
      </c>
      <c r="F36" s="89">
        <v>9.9000000000000005E-2</v>
      </c>
      <c r="G36" s="89">
        <v>6.5000000000000002E-2</v>
      </c>
      <c r="I36" s="136">
        <v>9.9000000000000005E-2</v>
      </c>
      <c r="J36" s="136">
        <v>0.09</v>
      </c>
      <c r="K36" s="59"/>
    </row>
    <row r="37" spans="3:21" x14ac:dyDescent="0.3">
      <c r="C37" t="s">
        <v>370</v>
      </c>
      <c r="D37" s="89">
        <f>1-SUM(D35:D36)</f>
        <v>0.80600000000000005</v>
      </c>
      <c r="E37" s="89">
        <f>1-SUM(E35:E36)</f>
        <v>0.77200000000000002</v>
      </c>
      <c r="F37" s="89">
        <f>1-SUM(F35:F36)</f>
        <v>0.77200000000000002</v>
      </c>
      <c r="G37" s="89">
        <f>1-SUM(G35:G36)</f>
        <v>0.72699999999999998</v>
      </c>
      <c r="I37" s="136">
        <f>1-SUM(I35:I36)</f>
        <v>0.64100000000000001</v>
      </c>
      <c r="J37" s="136">
        <f>1-SUM(J35:J36)</f>
        <v>0.67</v>
      </c>
      <c r="K37" s="59"/>
    </row>
    <row r="38" spans="3:21" x14ac:dyDescent="0.3">
      <c r="I38" s="59"/>
      <c r="J38" s="59"/>
      <c r="K38" s="59"/>
    </row>
    <row r="39" spans="3:21" x14ac:dyDescent="0.3">
      <c r="C39" t="s">
        <v>372</v>
      </c>
      <c r="I39" s="59"/>
      <c r="J39" s="59"/>
      <c r="K39" s="59"/>
    </row>
    <row r="40" spans="3:21" x14ac:dyDescent="0.3">
      <c r="C40" t="s">
        <v>368</v>
      </c>
      <c r="D40" s="89">
        <v>0.109</v>
      </c>
      <c r="E40" s="89">
        <v>0.33300000000000002</v>
      </c>
      <c r="F40" s="89">
        <v>0.33300000000000002</v>
      </c>
      <c r="G40" s="89">
        <v>0.28899999999999998</v>
      </c>
      <c r="I40" s="136">
        <v>0.55000000000000004</v>
      </c>
      <c r="J40" s="136">
        <v>0.46</v>
      </c>
      <c r="K40" s="59"/>
      <c r="U40" t="s">
        <v>342</v>
      </c>
    </row>
    <row r="41" spans="3:21" x14ac:dyDescent="0.3">
      <c r="C41" t="s">
        <v>369</v>
      </c>
      <c r="D41" s="89">
        <v>0.13400000000000001</v>
      </c>
      <c r="E41" s="89">
        <v>9.5000000000000001E-2</v>
      </c>
      <c r="F41" s="89">
        <v>0</v>
      </c>
      <c r="G41" s="89">
        <v>4.3999999999999997E-2</v>
      </c>
      <c r="I41" s="136">
        <v>0.14000000000000001</v>
      </c>
      <c r="J41" s="136">
        <v>0.11</v>
      </c>
      <c r="K41" s="59"/>
    </row>
    <row r="42" spans="3:21" x14ac:dyDescent="0.3">
      <c r="C42" t="s">
        <v>370</v>
      </c>
      <c r="D42" s="89">
        <f>1-SUM(D40:D41)</f>
        <v>0.75700000000000001</v>
      </c>
      <c r="E42" s="89">
        <f>1-SUM(E40:E41)</f>
        <v>0.57199999999999995</v>
      </c>
      <c r="F42" s="89">
        <f>1-SUM(F40:F41)</f>
        <v>0.66700000000000004</v>
      </c>
      <c r="G42" s="89">
        <f>1-SUM(G40:G41)</f>
        <v>0.66700000000000004</v>
      </c>
      <c r="I42" s="136">
        <f>1-SUM(I40:I41)</f>
        <v>0.30999999999999994</v>
      </c>
      <c r="J42" s="136">
        <f>1-SUM(J40:J41)</f>
        <v>0.42999999999999994</v>
      </c>
      <c r="K42" s="59"/>
    </row>
    <row r="45" spans="3:21" x14ac:dyDescent="0.3">
      <c r="D45" t="s">
        <v>334</v>
      </c>
      <c r="F45" t="s">
        <v>334</v>
      </c>
      <c r="G45" t="s">
        <v>552</v>
      </c>
      <c r="H45" t="s">
        <v>535</v>
      </c>
      <c r="I45">
        <f>AVERAGE(I35,I30,I40)</f>
        <v>0.32366666666666671</v>
      </c>
      <c r="J45">
        <f>AVERAGE(J35,J30,J40)</f>
        <v>0.30199999999999999</v>
      </c>
    </row>
    <row r="46" spans="3:21" x14ac:dyDescent="0.3">
      <c r="H46" t="s">
        <v>536</v>
      </c>
      <c r="I46">
        <f>AVERAGE(I36,I31,I41)</f>
        <v>0.10633333333333334</v>
      </c>
      <c r="J46" s="89">
        <f>AVERAGE(J36,J31,J41)</f>
        <v>9.9999999999999992E-2</v>
      </c>
    </row>
    <row r="49" spans="8:17" x14ac:dyDescent="0.3">
      <c r="J49" t="s">
        <v>546</v>
      </c>
      <c r="K49" t="s">
        <v>549</v>
      </c>
      <c r="L49" t="s">
        <v>345</v>
      </c>
      <c r="O49" t="s">
        <v>546</v>
      </c>
      <c r="P49" t="s">
        <v>549</v>
      </c>
      <c r="Q49" t="s">
        <v>345</v>
      </c>
    </row>
    <row r="50" spans="8:17" x14ac:dyDescent="0.3">
      <c r="I50" t="s">
        <v>551</v>
      </c>
      <c r="J50" t="s">
        <v>550</v>
      </c>
      <c r="K50" t="s">
        <v>547</v>
      </c>
      <c r="L50" t="s">
        <v>547</v>
      </c>
      <c r="P50" t="s">
        <v>548</v>
      </c>
      <c r="Q50" t="s">
        <v>548</v>
      </c>
    </row>
    <row r="51" spans="8:17" x14ac:dyDescent="0.3">
      <c r="H51" t="s">
        <v>544</v>
      </c>
      <c r="I51">
        <f>SUM(21+29)/SUM(93,72)</f>
        <v>0.30303030303030304</v>
      </c>
      <c r="J51">
        <f>AVERAGE(K51:L51)</f>
        <v>31.45</v>
      </c>
      <c r="K51">
        <v>40.299999999999997</v>
      </c>
      <c r="L51">
        <v>22.6</v>
      </c>
      <c r="N51">
        <f>SUM(20+14)/SUM(90,27)</f>
        <v>0.29059829059829062</v>
      </c>
      <c r="O51">
        <f>AVERAGE(P51:Q51)</f>
        <v>37.049999999999997</v>
      </c>
      <c r="P51">
        <v>51.9</v>
      </c>
      <c r="Q51">
        <v>22.2</v>
      </c>
    </row>
    <row r="52" spans="8:17" x14ac:dyDescent="0.3">
      <c r="H52" t="s">
        <v>545</v>
      </c>
      <c r="I52">
        <f>SUM(8+9)/SUM(93,72)</f>
        <v>0.10303030303030303</v>
      </c>
      <c r="J52">
        <f>AVERAGE(K52:L52)</f>
        <v>10.399999999999999</v>
      </c>
      <c r="K52">
        <v>11.1</v>
      </c>
      <c r="L52">
        <v>9.6999999999999993</v>
      </c>
      <c r="N52">
        <f>SUM(9+4)/SUM(90,27)</f>
        <v>0.1111111111111111</v>
      </c>
      <c r="O52">
        <f>AVERAGE(P52:Q52)</f>
        <v>12.4</v>
      </c>
      <c r="P52">
        <v>14.8</v>
      </c>
      <c r="Q52">
        <v>10</v>
      </c>
    </row>
    <row r="65" spans="10:19" x14ac:dyDescent="0.3">
      <c r="L65" t="s">
        <v>546</v>
      </c>
      <c r="M65" t="s">
        <v>549</v>
      </c>
      <c r="N65" t="s">
        <v>345</v>
      </c>
      <c r="Q65" t="s">
        <v>546</v>
      </c>
      <c r="R65" t="s">
        <v>549</v>
      </c>
      <c r="S65" t="s">
        <v>345</v>
      </c>
    </row>
    <row r="66" spans="10:19" x14ac:dyDescent="0.3">
      <c r="K66" t="s">
        <v>551</v>
      </c>
      <c r="L66" t="s">
        <v>550</v>
      </c>
      <c r="M66" t="s">
        <v>547</v>
      </c>
      <c r="N66" t="s">
        <v>547</v>
      </c>
      <c r="R66" t="s">
        <v>548</v>
      </c>
      <c r="S66" t="s">
        <v>548</v>
      </c>
    </row>
    <row r="67" spans="10:19" x14ac:dyDescent="0.3">
      <c r="J67" t="s">
        <v>544</v>
      </c>
      <c r="K67">
        <f>SUM(21+29)/SUM(93,72)</f>
        <v>0.30303030303030304</v>
      </c>
      <c r="L67">
        <f>AVERAGE(M67:N67)</f>
        <v>31.45</v>
      </c>
      <c r="M67">
        <v>40.299999999999997</v>
      </c>
      <c r="N67">
        <v>22.6</v>
      </c>
      <c r="P67">
        <f>SUM(20+14)/SUM(90,27)</f>
        <v>0.29059829059829062</v>
      </c>
      <c r="Q67">
        <f>AVERAGE(R67:S67)</f>
        <v>37.049999999999997</v>
      </c>
      <c r="R67">
        <v>51.9</v>
      </c>
      <c r="S67">
        <v>22.2</v>
      </c>
    </row>
    <row r="68" spans="10:19" x14ac:dyDescent="0.3">
      <c r="J68" t="s">
        <v>545</v>
      </c>
      <c r="K68">
        <f>SUM(8+9)/SUM(93,72)</f>
        <v>0.10303030303030303</v>
      </c>
      <c r="L68">
        <f>AVERAGE(M68:N68)</f>
        <v>10.399999999999999</v>
      </c>
      <c r="M68">
        <v>11.1</v>
      </c>
      <c r="N68">
        <v>9.6999999999999993</v>
      </c>
      <c r="P68">
        <f>SUM(9+4)/SUM(90,27)</f>
        <v>0.1111111111111111</v>
      </c>
      <c r="Q68">
        <f>AVERAGE(R68:S68)</f>
        <v>12.4</v>
      </c>
      <c r="R68">
        <v>14.8</v>
      </c>
      <c r="S68">
        <v>10</v>
      </c>
    </row>
  </sheetData>
  <mergeCells count="9">
    <mergeCell ref="D27:E27"/>
    <mergeCell ref="F27:G27"/>
    <mergeCell ref="M2:N2"/>
    <mergeCell ref="Q2:R2"/>
    <mergeCell ref="J2:L2"/>
    <mergeCell ref="H2:I2"/>
    <mergeCell ref="F2:G2"/>
    <mergeCell ref="D2:E2"/>
    <mergeCell ref="I27:J2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C66E-0638-43AD-9D0E-1DD7C27AFB1F}">
  <dimension ref="B1:H10"/>
  <sheetViews>
    <sheetView topLeftCell="B1" workbookViewId="0">
      <selection activeCell="A17" sqref="A17"/>
    </sheetView>
  </sheetViews>
  <sheetFormatPr defaultRowHeight="14.4" x14ac:dyDescent="0.3"/>
  <sheetData>
    <row r="1" spans="2:8" x14ac:dyDescent="0.3">
      <c r="H1" t="s">
        <v>539</v>
      </c>
    </row>
    <row r="6" spans="2:8" x14ac:dyDescent="0.3">
      <c r="B6" t="s">
        <v>540</v>
      </c>
    </row>
    <row r="7" spans="2:8" x14ac:dyDescent="0.3">
      <c r="B7" t="s">
        <v>541</v>
      </c>
    </row>
    <row r="10" spans="2:8" x14ac:dyDescent="0.3">
      <c r="B10" t="s">
        <v>542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L34"/>
  <sheetViews>
    <sheetView topLeftCell="A11" workbookViewId="0">
      <selection activeCell="L34" sqref="L34"/>
    </sheetView>
  </sheetViews>
  <sheetFormatPr defaultRowHeight="14.4" x14ac:dyDescent="0.3"/>
  <sheetData>
    <row r="2" spans="3:12" ht="45" customHeight="1" x14ac:dyDescent="0.3">
      <c r="C2" s="106" t="s">
        <v>373</v>
      </c>
      <c r="D2" s="126"/>
      <c r="E2" s="126"/>
      <c r="F2" s="126"/>
      <c r="G2" s="126"/>
      <c r="H2" s="126"/>
      <c r="I2" s="126"/>
      <c r="J2" s="126"/>
      <c r="K2" s="126"/>
      <c r="L2" s="126"/>
    </row>
    <row r="34" spans="3:11" ht="46.5" customHeight="1" x14ac:dyDescent="0.3">
      <c r="C34" s="106" t="s">
        <v>374</v>
      </c>
      <c r="D34" s="106"/>
      <c r="E34" s="106"/>
      <c r="F34" s="106"/>
      <c r="G34" s="106"/>
      <c r="H34" s="106"/>
      <c r="I34" s="106"/>
      <c r="J34" s="106"/>
      <c r="K34" s="106"/>
    </row>
  </sheetData>
  <mergeCells count="2">
    <mergeCell ref="C34:K34"/>
    <mergeCell ref="C2:L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W83"/>
  <sheetViews>
    <sheetView topLeftCell="A9" workbookViewId="0">
      <selection activeCell="C31" sqref="C31"/>
    </sheetView>
  </sheetViews>
  <sheetFormatPr defaultRowHeight="14.4" x14ac:dyDescent="0.3"/>
  <sheetData>
    <row r="3" spans="2:22" x14ac:dyDescent="0.3">
      <c r="B3" t="s">
        <v>375</v>
      </c>
      <c r="C3" s="106" t="s">
        <v>376</v>
      </c>
      <c r="D3" s="126"/>
      <c r="E3" s="126"/>
      <c r="F3" s="126"/>
      <c r="G3" s="126"/>
      <c r="H3" s="126"/>
      <c r="I3" s="126"/>
      <c r="J3" s="126"/>
      <c r="K3" s="126"/>
      <c r="L3" s="126"/>
      <c r="M3" s="126"/>
      <c r="N3" s="126"/>
      <c r="O3" s="126"/>
      <c r="P3" s="126"/>
      <c r="Q3" s="126"/>
      <c r="R3" s="126"/>
      <c r="S3" s="126"/>
      <c r="T3" s="126"/>
      <c r="U3" s="126"/>
      <c r="V3" s="126"/>
    </row>
    <row r="36" spans="2:23" ht="32.25" customHeight="1" x14ac:dyDescent="0.3">
      <c r="B36" t="s">
        <v>377</v>
      </c>
      <c r="D36" s="106" t="s">
        <v>378</v>
      </c>
      <c r="E36" s="126"/>
      <c r="F36" s="126"/>
      <c r="G36" s="126"/>
      <c r="H36" s="126"/>
      <c r="I36" s="126"/>
      <c r="J36" s="126"/>
      <c r="K36" s="126"/>
      <c r="L36" s="126"/>
      <c r="M36" s="126"/>
      <c r="N36" s="126"/>
      <c r="O36" s="126"/>
      <c r="P36" s="126"/>
      <c r="Q36" s="126"/>
      <c r="R36" s="126"/>
      <c r="S36" s="126"/>
      <c r="T36" s="126"/>
      <c r="U36" s="126"/>
      <c r="V36" s="126"/>
      <c r="W36" s="126"/>
    </row>
    <row r="83" spans="12:13" x14ac:dyDescent="0.3">
      <c r="L83" t="s">
        <v>334</v>
      </c>
      <c r="M83" t="s">
        <v>334</v>
      </c>
    </row>
  </sheetData>
  <mergeCells count="2">
    <mergeCell ref="D36:W36"/>
    <mergeCell ref="C3:V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T34"/>
  <sheetViews>
    <sheetView topLeftCell="A20" workbookViewId="0">
      <selection activeCell="P34" sqref="P34"/>
    </sheetView>
  </sheetViews>
  <sheetFormatPr defaultRowHeight="14.4" x14ac:dyDescent="0.3"/>
  <cols>
    <col min="1" max="1" width="20.44140625" customWidth="1"/>
    <col min="4" max="4" width="15.44140625" customWidth="1"/>
    <col min="17" max="17" width="12.33203125" customWidth="1"/>
    <col min="18" max="18" width="23" customWidth="1"/>
    <col min="19" max="19" width="16.109375" customWidth="1"/>
    <col min="20" max="20" width="21.44140625" customWidth="1"/>
  </cols>
  <sheetData>
    <row r="2" spans="1:17" ht="15" thickBot="1" x14ac:dyDescent="0.35">
      <c r="B2" t="s">
        <v>379</v>
      </c>
    </row>
    <row r="3" spans="1:17" ht="24.6" thickBot="1" x14ac:dyDescent="0.35">
      <c r="B3" s="27"/>
      <c r="C3" s="28" t="s">
        <v>307</v>
      </c>
      <c r="D3" s="29" t="s">
        <v>380</v>
      </c>
      <c r="E3" s="29" t="s">
        <v>381</v>
      </c>
      <c r="F3" s="29" t="s">
        <v>382</v>
      </c>
      <c r="G3" s="29" t="s">
        <v>383</v>
      </c>
      <c r="H3" s="29" t="s">
        <v>384</v>
      </c>
      <c r="I3" s="29" t="s">
        <v>385</v>
      </c>
      <c r="J3" s="29" t="s">
        <v>386</v>
      </c>
      <c r="K3" s="29" t="s">
        <v>387</v>
      </c>
      <c r="L3" s="29" t="s">
        <v>388</v>
      </c>
      <c r="M3" s="29" t="s">
        <v>389</v>
      </c>
      <c r="N3" s="28" t="s">
        <v>390</v>
      </c>
      <c r="O3" s="30" t="s">
        <v>391</v>
      </c>
      <c r="P3" s="30" t="s">
        <v>392</v>
      </c>
      <c r="Q3" s="31" t="s">
        <v>393</v>
      </c>
    </row>
    <row r="4" spans="1:17" ht="15" thickBot="1" x14ac:dyDescent="0.35"/>
    <row r="5" spans="1:17" ht="23.4" thickBot="1" x14ac:dyDescent="0.35">
      <c r="A5" s="32" t="s">
        <v>394</v>
      </c>
      <c r="B5" s="33" t="s">
        <v>395</v>
      </c>
      <c r="C5" s="34">
        <v>250</v>
      </c>
      <c r="D5" s="35" t="s">
        <v>349</v>
      </c>
      <c r="E5" s="34">
        <v>16.3</v>
      </c>
      <c r="F5" s="34">
        <v>55.4</v>
      </c>
      <c r="G5" s="34">
        <v>60.5</v>
      </c>
      <c r="H5" s="34">
        <v>63.4</v>
      </c>
      <c r="I5" s="34">
        <v>69.2</v>
      </c>
      <c r="J5" s="34">
        <v>78.5</v>
      </c>
      <c r="K5" s="34">
        <v>95.6</v>
      </c>
      <c r="L5" s="34">
        <v>118.9</v>
      </c>
      <c r="M5" s="34">
        <v>150.1</v>
      </c>
      <c r="N5" s="34">
        <v>24.6</v>
      </c>
      <c r="O5" s="36">
        <v>30.3</v>
      </c>
      <c r="P5" s="36" t="s">
        <v>396</v>
      </c>
      <c r="Q5" s="37" t="s">
        <v>397</v>
      </c>
    </row>
    <row r="6" spans="1:17" ht="23.4" thickBot="1" x14ac:dyDescent="0.35">
      <c r="A6" t="s">
        <v>398</v>
      </c>
      <c r="B6" s="32" t="s">
        <v>395</v>
      </c>
      <c r="C6" s="34">
        <v>4802</v>
      </c>
      <c r="D6" s="38">
        <v>0</v>
      </c>
      <c r="E6" s="34">
        <v>11.3</v>
      </c>
      <c r="F6" s="34">
        <v>63.5</v>
      </c>
      <c r="G6" s="34">
        <v>84</v>
      </c>
      <c r="H6" s="34">
        <v>104.5</v>
      </c>
      <c r="I6" s="34">
        <v>131.30000000000001</v>
      </c>
      <c r="J6" s="34">
        <v>151.80000000000001</v>
      </c>
      <c r="K6" s="34">
        <v>158</v>
      </c>
      <c r="L6" s="34">
        <v>152.4</v>
      </c>
      <c r="M6" s="34">
        <v>134.6</v>
      </c>
      <c r="N6" s="34">
        <v>22.4</v>
      </c>
      <c r="O6" s="36">
        <v>40.1</v>
      </c>
      <c r="P6" s="36" t="s">
        <v>399</v>
      </c>
      <c r="Q6" s="37" t="s">
        <v>397</v>
      </c>
    </row>
    <row r="7" spans="1:17" ht="23.4" thickBot="1" x14ac:dyDescent="0.35">
      <c r="A7" t="s">
        <v>400</v>
      </c>
      <c r="B7" s="32" t="s">
        <v>395</v>
      </c>
      <c r="C7" s="34">
        <v>7735</v>
      </c>
      <c r="D7" s="38">
        <v>0</v>
      </c>
      <c r="E7" s="34">
        <v>21.9</v>
      </c>
      <c r="F7" s="34">
        <v>63.4</v>
      </c>
      <c r="G7" s="34">
        <v>68.3</v>
      </c>
      <c r="H7" s="34">
        <v>70.7</v>
      </c>
      <c r="I7" s="34">
        <v>73</v>
      </c>
      <c r="J7" s="34">
        <v>77.400000000000006</v>
      </c>
      <c r="K7" s="34">
        <v>82.7</v>
      </c>
      <c r="L7" s="34">
        <v>88.6</v>
      </c>
      <c r="M7" s="34">
        <v>95.2</v>
      </c>
      <c r="N7" s="34">
        <v>30.2</v>
      </c>
      <c r="O7" s="36">
        <v>31.7</v>
      </c>
      <c r="P7" s="36" t="s">
        <v>396</v>
      </c>
      <c r="Q7" s="37" t="s">
        <v>397</v>
      </c>
    </row>
    <row r="8" spans="1:17" ht="23.4" thickBot="1" x14ac:dyDescent="0.35">
      <c r="A8" t="s">
        <v>401</v>
      </c>
      <c r="B8" s="32" t="s">
        <v>395</v>
      </c>
      <c r="C8" s="34">
        <v>3915</v>
      </c>
      <c r="D8" s="35" t="s">
        <v>349</v>
      </c>
      <c r="E8" s="34">
        <v>13.9</v>
      </c>
      <c r="F8" s="34">
        <v>87.3</v>
      </c>
      <c r="G8" s="34">
        <v>115.5</v>
      </c>
      <c r="H8" s="34">
        <v>132.6</v>
      </c>
      <c r="I8" s="34">
        <v>139.1</v>
      </c>
      <c r="J8" s="34">
        <v>142</v>
      </c>
      <c r="K8" s="34">
        <v>140.80000000000001</v>
      </c>
      <c r="L8" s="34">
        <v>131.9</v>
      </c>
      <c r="M8" s="34">
        <v>117</v>
      </c>
      <c r="N8" s="34">
        <v>22</v>
      </c>
      <c r="O8" s="36">
        <v>44.4</v>
      </c>
      <c r="P8" s="36" t="s">
        <v>402</v>
      </c>
      <c r="Q8" s="37" t="s">
        <v>397</v>
      </c>
    </row>
    <row r="9" spans="1:17" ht="23.4" thickBot="1" x14ac:dyDescent="0.35">
      <c r="A9" t="s">
        <v>403</v>
      </c>
      <c r="B9" s="32" t="s">
        <v>395</v>
      </c>
      <c r="C9" s="34">
        <v>2330</v>
      </c>
      <c r="D9" s="35" t="s">
        <v>349</v>
      </c>
      <c r="E9" s="34">
        <v>31.3</v>
      </c>
      <c r="F9" s="34">
        <v>110.4</v>
      </c>
      <c r="G9" s="34">
        <v>127</v>
      </c>
      <c r="H9" s="34">
        <v>139</v>
      </c>
      <c r="I9" s="34">
        <v>147.80000000000001</v>
      </c>
      <c r="J9" s="34">
        <v>146.4</v>
      </c>
      <c r="K9" s="34">
        <v>162.30000000000001</v>
      </c>
      <c r="L9" s="34">
        <v>192.8</v>
      </c>
      <c r="M9" s="34">
        <v>236.7</v>
      </c>
      <c r="N9" s="34">
        <v>33.700000000000003</v>
      </c>
      <c r="O9" s="36">
        <v>58</v>
      </c>
      <c r="P9" s="36" t="s">
        <v>404</v>
      </c>
      <c r="Q9" s="37" t="s">
        <v>397</v>
      </c>
    </row>
    <row r="12" spans="1:17" ht="15" thickBot="1" x14ac:dyDescent="0.35"/>
    <row r="13" spans="1:17" ht="15" thickBot="1" x14ac:dyDescent="0.35">
      <c r="E13" s="29" t="s">
        <v>381</v>
      </c>
      <c r="F13" s="29" t="s">
        <v>382</v>
      </c>
      <c r="G13" s="29" t="s">
        <v>383</v>
      </c>
      <c r="H13" s="29" t="s">
        <v>384</v>
      </c>
      <c r="I13" s="29" t="s">
        <v>385</v>
      </c>
      <c r="J13" s="29" t="s">
        <v>386</v>
      </c>
      <c r="K13" s="29" t="s">
        <v>387</v>
      </c>
      <c r="L13" s="29" t="s">
        <v>388</v>
      </c>
      <c r="M13" s="29" t="s">
        <v>389</v>
      </c>
      <c r="P13" t="s">
        <v>334</v>
      </c>
    </row>
    <row r="14" spans="1:17" ht="15" thickBot="1" x14ac:dyDescent="0.35">
      <c r="D14" s="32" t="s">
        <v>394</v>
      </c>
      <c r="E14" s="34">
        <v>16.3</v>
      </c>
      <c r="F14" s="34">
        <v>55.4</v>
      </c>
      <c r="G14" s="34">
        <v>60.5</v>
      </c>
      <c r="H14" s="34">
        <v>63.4</v>
      </c>
      <c r="I14" s="34">
        <v>69.2</v>
      </c>
      <c r="J14" s="34">
        <v>78.5</v>
      </c>
      <c r="K14" s="34">
        <v>95.6</v>
      </c>
      <c r="L14" s="34">
        <v>118.9</v>
      </c>
      <c r="M14" s="34">
        <v>150.1</v>
      </c>
    </row>
    <row r="15" spans="1:17" ht="15" thickBot="1" x14ac:dyDescent="0.35">
      <c r="D15" t="s">
        <v>398</v>
      </c>
      <c r="E15" s="34">
        <v>11.3</v>
      </c>
      <c r="F15" s="34">
        <v>63.5</v>
      </c>
      <c r="G15" s="34">
        <v>84</v>
      </c>
      <c r="H15" s="34">
        <v>104.5</v>
      </c>
      <c r="I15" s="34">
        <v>131.30000000000001</v>
      </c>
      <c r="J15" s="34">
        <v>151.80000000000001</v>
      </c>
      <c r="K15" s="34">
        <v>158</v>
      </c>
      <c r="L15" s="34">
        <v>152.4</v>
      </c>
      <c r="M15" s="34">
        <v>134.6</v>
      </c>
    </row>
    <row r="16" spans="1:17" ht="15" thickBot="1" x14ac:dyDescent="0.35">
      <c r="D16" t="s">
        <v>400</v>
      </c>
      <c r="E16" s="34">
        <v>21.9</v>
      </c>
      <c r="F16" s="34">
        <v>63.4</v>
      </c>
      <c r="G16" s="34">
        <v>68.3</v>
      </c>
      <c r="H16" s="34">
        <v>70.7</v>
      </c>
      <c r="I16" s="34">
        <v>73</v>
      </c>
      <c r="J16" s="34">
        <v>77.400000000000006</v>
      </c>
      <c r="K16" s="34">
        <v>82.7</v>
      </c>
      <c r="L16" s="34">
        <v>88.6</v>
      </c>
      <c r="M16" s="34">
        <v>95.2</v>
      </c>
    </row>
    <row r="17" spans="4:20" ht="15" thickBot="1" x14ac:dyDescent="0.35">
      <c r="D17" t="s">
        <v>401</v>
      </c>
      <c r="E17" s="34">
        <v>13.9</v>
      </c>
      <c r="F17" s="34">
        <v>87.3</v>
      </c>
      <c r="G17" s="34">
        <v>115.5</v>
      </c>
      <c r="H17" s="34">
        <v>132.6</v>
      </c>
      <c r="I17" s="34">
        <v>139.1</v>
      </c>
      <c r="J17" s="34">
        <v>142</v>
      </c>
      <c r="K17" s="34">
        <v>140.80000000000001</v>
      </c>
      <c r="L17" s="34">
        <v>131.9</v>
      </c>
      <c r="M17" s="34">
        <v>117</v>
      </c>
    </row>
    <row r="18" spans="4:20" ht="15" thickBot="1" x14ac:dyDescent="0.35">
      <c r="D18" t="s">
        <v>403</v>
      </c>
      <c r="E18" s="34">
        <v>31.3</v>
      </c>
      <c r="F18" s="34">
        <v>110.4</v>
      </c>
      <c r="G18" s="34">
        <v>127</v>
      </c>
      <c r="H18" s="34">
        <v>139</v>
      </c>
      <c r="I18" s="34">
        <v>147.80000000000001</v>
      </c>
      <c r="J18" s="34">
        <v>146.4</v>
      </c>
      <c r="K18" s="34">
        <v>162.30000000000001</v>
      </c>
      <c r="L18" s="34">
        <v>192.8</v>
      </c>
      <c r="M18" s="34">
        <v>236.7</v>
      </c>
    </row>
    <row r="21" spans="4:20" x14ac:dyDescent="0.3">
      <c r="S21" t="s">
        <v>405</v>
      </c>
    </row>
    <row r="22" spans="4:20" x14ac:dyDescent="0.3">
      <c r="Q22" t="s">
        <v>406</v>
      </c>
      <c r="R22" t="s">
        <v>407</v>
      </c>
      <c r="S22" t="s">
        <v>408</v>
      </c>
      <c r="T22" t="s">
        <v>409</v>
      </c>
    </row>
    <row r="23" spans="4:20" x14ac:dyDescent="0.3">
      <c r="Q23" s="83" t="s">
        <v>410</v>
      </c>
      <c r="R23">
        <v>0</v>
      </c>
      <c r="S23">
        <v>0</v>
      </c>
      <c r="T23">
        <v>0</v>
      </c>
    </row>
    <row r="24" spans="4:20" x14ac:dyDescent="0.3">
      <c r="Q24" s="83" t="s">
        <v>411</v>
      </c>
      <c r="R24">
        <v>10</v>
      </c>
      <c r="S24">
        <f>3*R24</f>
        <v>30</v>
      </c>
      <c r="T24">
        <f>S24/1.5</f>
        <v>20</v>
      </c>
    </row>
    <row r="25" spans="4:20" x14ac:dyDescent="0.3">
      <c r="Q25" s="83" t="s">
        <v>412</v>
      </c>
      <c r="R25">
        <v>31.3</v>
      </c>
      <c r="S25">
        <f>3*31.3</f>
        <v>93.9</v>
      </c>
      <c r="T25">
        <f>S25/1.5</f>
        <v>62.6</v>
      </c>
    </row>
    <row r="26" spans="4:20" x14ac:dyDescent="0.3">
      <c r="Q26" s="83" t="s">
        <v>413</v>
      </c>
      <c r="R26">
        <f>AVERAGE(R25,R27)</f>
        <v>70.850000000000009</v>
      </c>
      <c r="S26">
        <f>4*R26</f>
        <v>283.40000000000003</v>
      </c>
      <c r="T26">
        <f>S26/2</f>
        <v>141.70000000000002</v>
      </c>
    </row>
    <row r="27" spans="4:20" x14ac:dyDescent="0.3">
      <c r="Q27" s="83" t="s">
        <v>382</v>
      </c>
      <c r="R27">
        <v>110.4</v>
      </c>
      <c r="S27">
        <f>3*R27</f>
        <v>331.20000000000005</v>
      </c>
      <c r="T27">
        <f>S27/1.5</f>
        <v>220.80000000000004</v>
      </c>
    </row>
    <row r="28" spans="4:20" x14ac:dyDescent="0.3">
      <c r="Q28" s="83" t="s">
        <v>383</v>
      </c>
      <c r="R28">
        <v>127</v>
      </c>
      <c r="S28">
        <f>2.5*R28</f>
        <v>317.5</v>
      </c>
      <c r="T28" s="84">
        <f>S28/1.5</f>
        <v>211.66666666666666</v>
      </c>
    </row>
    <row r="29" spans="4:20" x14ac:dyDescent="0.3">
      <c r="Q29" s="83" t="s">
        <v>384</v>
      </c>
      <c r="R29">
        <v>139</v>
      </c>
      <c r="S29">
        <f>2*R29</f>
        <v>278</v>
      </c>
      <c r="T29" s="84">
        <f>S29/1.5</f>
        <v>185.33333333333334</v>
      </c>
    </row>
    <row r="30" spans="4:20" x14ac:dyDescent="0.3">
      <c r="Q30" s="83" t="s">
        <v>385</v>
      </c>
      <c r="R30">
        <v>147.80000000000001</v>
      </c>
      <c r="S30">
        <f>1*R30</f>
        <v>147.80000000000001</v>
      </c>
      <c r="T30">
        <f>1*S30</f>
        <v>147.80000000000001</v>
      </c>
    </row>
    <row r="31" spans="4:20" x14ac:dyDescent="0.3">
      <c r="Q31" s="83" t="s">
        <v>386</v>
      </c>
      <c r="R31">
        <v>146.4</v>
      </c>
      <c r="S31">
        <f>0.75*R31</f>
        <v>109.80000000000001</v>
      </c>
      <c r="T31">
        <f>S31</f>
        <v>109.80000000000001</v>
      </c>
    </row>
    <row r="32" spans="4:20" x14ac:dyDescent="0.3">
      <c r="Q32" s="83" t="s">
        <v>387</v>
      </c>
      <c r="R32">
        <v>162.30000000000001</v>
      </c>
      <c r="S32">
        <f>0.6*R32</f>
        <v>97.38000000000001</v>
      </c>
      <c r="T32">
        <f>S32</f>
        <v>97.38000000000001</v>
      </c>
    </row>
    <row r="33" spans="17:20" x14ac:dyDescent="0.3">
      <c r="Q33" s="83" t="s">
        <v>388</v>
      </c>
      <c r="R33">
        <v>192.8</v>
      </c>
      <c r="S33">
        <f>0.4*R33</f>
        <v>77.12</v>
      </c>
      <c r="T33">
        <f>S33</f>
        <v>77.12</v>
      </c>
    </row>
    <row r="34" spans="17:20" x14ac:dyDescent="0.3">
      <c r="Q34" s="83" t="s">
        <v>414</v>
      </c>
      <c r="R34">
        <v>236.7</v>
      </c>
      <c r="S34">
        <f>0.2*R34</f>
        <v>47.34</v>
      </c>
      <c r="T34">
        <f>S34</f>
        <v>47.34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7A3C9123BDE44C8AD50F808F186529" ma:contentTypeVersion="12" ma:contentTypeDescription="Create a new document." ma:contentTypeScope="" ma:versionID="1d2d398471649a6c69548af9f8ebd479">
  <xsd:schema xmlns:xsd="http://www.w3.org/2001/XMLSchema" xmlns:xs="http://www.w3.org/2001/XMLSchema" xmlns:p="http://schemas.microsoft.com/office/2006/metadata/properties" xmlns:ns3="dcda1828-1d71-4e9b-9798-841a3c408bcb" xmlns:ns4="4f5febe0-14ac-4f16-963b-fc17ffa2fe2a" targetNamespace="http://schemas.microsoft.com/office/2006/metadata/properties" ma:root="true" ma:fieldsID="75ee2b0d67db06edf6c8960df87112f3" ns3:_="" ns4:_="">
    <xsd:import namespace="dcda1828-1d71-4e9b-9798-841a3c408bcb"/>
    <xsd:import namespace="4f5febe0-14ac-4f16-963b-fc17ffa2fe2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da1828-1d71-4e9b-9798-841a3c408bc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5febe0-14ac-4f16-963b-fc17ffa2fe2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311170-E9C9-4991-AC5C-4705AC663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da1828-1d71-4e9b-9798-841a3c408bcb"/>
    <ds:schemaRef ds:uri="4f5febe0-14ac-4f16-963b-fc17ffa2fe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6FED6E-5238-4BE6-B761-1C263678C463}">
  <ds:schemaRefs>
    <ds:schemaRef ds:uri="http://schemas.microsoft.com/sharepoint/v3/contenttype/forms"/>
  </ds:schemaRefs>
</ds:datastoreItem>
</file>

<file path=customXml/itemProps3.xml><?xml version="1.0" encoding="utf-8"?>
<ds:datastoreItem xmlns:ds="http://schemas.openxmlformats.org/officeDocument/2006/customXml" ds:itemID="{A581EE8E-25E1-4D52-8773-C44CB48D3582}">
  <ds:schemaRefs>
    <ds:schemaRef ds:uri="http://schemas.microsoft.com/office/2006/documentManagement/types"/>
    <ds:schemaRef ds:uri="http://schemas.microsoft.com/office/infopath/2007/PartnerControls"/>
    <ds:schemaRef ds:uri="http://purl.org/dc/elements/1.1/"/>
    <ds:schemaRef ds:uri="http://www.w3.org/XML/1998/namespace"/>
    <ds:schemaRef ds:uri="http://schemas.microsoft.com/office/2006/metadata/properties"/>
    <ds:schemaRef ds:uri="http://purl.org/dc/terms/"/>
    <ds:schemaRef ds:uri="http://schemas.openxmlformats.org/package/2006/metadata/core-properties"/>
    <ds:schemaRef ds:uri="4f5febe0-14ac-4f16-963b-fc17ffa2fe2a"/>
    <ds:schemaRef ds:uri="dcda1828-1d71-4e9b-9798-841a3c408bc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Overall parameters - Goldhaber</vt:lpstr>
      <vt:lpstr>After calibration - Goldhaber</vt:lpstr>
      <vt:lpstr>Calibration - HPV by type</vt:lpstr>
      <vt:lpstr>Calibration --HPV age specific</vt:lpstr>
      <vt:lpstr>SA Data CIN by HPV</vt:lpstr>
      <vt:lpstr>Zambia CIN &amp; Cancer HPV type</vt:lpstr>
      <vt:lpstr>Calibration - multiple HPV </vt:lpstr>
      <vt:lpstr>Calibration incidence</vt:lpstr>
      <vt:lpstr>Age specific incidence overall</vt:lpstr>
      <vt:lpstr>Age specific incidence age</vt:lpstr>
      <vt:lpstr>Age specific numbers</vt:lpstr>
      <vt:lpstr>HIV prevalance women</vt:lpstr>
      <vt:lpstr>HPV vaccination</vt:lpstr>
      <vt:lpstr>Cervical Cancer Screening</vt:lpstr>
      <vt:lpstr>Cancer mortality stage</vt:lpstr>
      <vt:lpstr>Cost parameters</vt:lpstr>
      <vt:lpstr>Test performance</vt:lpstr>
      <vt:lpstr>Intervention -- first set</vt:lpstr>
      <vt:lpstr>Interventions HIV EMOD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Subramanian, Sujha</dc:creator>
  <cp:keywords/>
  <dc:description/>
  <cp:lastModifiedBy>Subramanian, Sujha</cp:lastModifiedBy>
  <cp:revision/>
  <dcterms:created xsi:type="dcterms:W3CDTF">2017-09-07T06:52:16Z</dcterms:created>
  <dcterms:modified xsi:type="dcterms:W3CDTF">2021-05-12T13:54:28Z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0x010100037A3C9123BDE44C8AD50F808F186529</vt:lpwstr>
  </property>
</Properties>
</file>