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.IMPRESSIONS\Downloads\"/>
    </mc:Choice>
  </mc:AlternateContent>
  <xr:revisionPtr revIDLastSave="0" documentId="13_ncr:1_{007E3B02-43F9-4BFC-A6F0-5428121FB994}" xr6:coauthVersionLast="47" xr6:coauthVersionMax="47" xr10:uidLastSave="{00000000-0000-0000-0000-000000000000}"/>
  <bookViews>
    <workbookView xWindow="33960" yWindow="5295" windowWidth="27150" windowHeight="14325" activeTab="3" xr2:uid="{9D1BDD93-9EEC-CF4B-915A-8D35D7744A01}"/>
  </bookViews>
  <sheets>
    <sheet name="Civic Hatch (au)" sheetId="12" r:id="rId1"/>
    <sheet name="Civic Hatch" sheetId="8" r:id="rId2"/>
    <sheet name="Civic Sedan" sheetId="9" r:id="rId3"/>
    <sheet name="Civic Bosch" sheetId="13" r:id="rId4"/>
    <sheet name="mis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7" i="13" l="1"/>
  <c r="W7" i="13"/>
  <c r="V7" i="13"/>
  <c r="U7" i="13"/>
  <c r="T7" i="13"/>
  <c r="S7" i="13"/>
  <c r="B55" i="13"/>
  <c r="B54" i="13"/>
  <c r="B53" i="13"/>
  <c r="B52" i="13"/>
  <c r="B51" i="13"/>
  <c r="B50" i="13"/>
  <c r="B49" i="13"/>
  <c r="K35" i="13"/>
  <c r="H35" i="13"/>
  <c r="G35" i="13"/>
  <c r="F35" i="13"/>
  <c r="E35" i="13"/>
  <c r="D35" i="13"/>
  <c r="C35" i="13"/>
  <c r="K34" i="13"/>
  <c r="J34" i="13" s="1"/>
  <c r="I34" i="13"/>
  <c r="H34" i="13"/>
  <c r="G34" i="13"/>
  <c r="F34" i="13"/>
  <c r="E34" i="13"/>
  <c r="D34" i="13"/>
  <c r="C34" i="13"/>
  <c r="K33" i="13"/>
  <c r="I33" i="13"/>
  <c r="H33" i="13"/>
  <c r="G33" i="13"/>
  <c r="F33" i="13"/>
  <c r="E33" i="13"/>
  <c r="D33" i="13"/>
  <c r="C33" i="13"/>
  <c r="K32" i="13"/>
  <c r="J32" i="13" s="1"/>
  <c r="I32" i="13"/>
  <c r="H32" i="13"/>
  <c r="G32" i="13"/>
  <c r="F32" i="13"/>
  <c r="E32" i="13"/>
  <c r="D32" i="13"/>
  <c r="C32" i="13"/>
  <c r="K31" i="13"/>
  <c r="J31" i="13" s="1"/>
  <c r="I31" i="13"/>
  <c r="H31" i="13"/>
  <c r="G31" i="13"/>
  <c r="F31" i="13"/>
  <c r="E31" i="13"/>
  <c r="D31" i="13"/>
  <c r="C31" i="13"/>
  <c r="K30" i="13"/>
  <c r="J30" i="13" s="1"/>
  <c r="I30" i="13"/>
  <c r="H30" i="13"/>
  <c r="G30" i="13"/>
  <c r="F30" i="13"/>
  <c r="E30" i="13"/>
  <c r="D30" i="13"/>
  <c r="C30" i="13"/>
  <c r="K29" i="13"/>
  <c r="L29" i="13" s="1"/>
  <c r="I29" i="13"/>
  <c r="H29" i="13"/>
  <c r="G29" i="13"/>
  <c r="F29" i="13"/>
  <c r="E29" i="13"/>
  <c r="D29" i="13"/>
  <c r="C29" i="13"/>
  <c r="Q27" i="13"/>
  <c r="P27" i="13"/>
  <c r="Q26" i="13"/>
  <c r="P26" i="13"/>
  <c r="L21" i="13"/>
  <c r="O20" i="13"/>
  <c r="O19" i="13"/>
  <c r="P19" i="13" s="1"/>
  <c r="K19" i="13"/>
  <c r="J19" i="13"/>
  <c r="I19" i="13"/>
  <c r="H19" i="13"/>
  <c r="G19" i="13"/>
  <c r="F19" i="13"/>
  <c r="E19" i="13"/>
  <c r="D19" i="13"/>
  <c r="C19" i="13"/>
  <c r="B45" i="13" s="1"/>
  <c r="K18" i="13"/>
  <c r="J18" i="13"/>
  <c r="I18" i="13"/>
  <c r="H18" i="13"/>
  <c r="G18" i="13"/>
  <c r="F18" i="13"/>
  <c r="E18" i="13"/>
  <c r="D18" i="13"/>
  <c r="C18" i="13"/>
  <c r="K17" i="13"/>
  <c r="J17" i="13"/>
  <c r="I17" i="13"/>
  <c r="H17" i="13"/>
  <c r="G17" i="13"/>
  <c r="F17" i="13"/>
  <c r="E17" i="13"/>
  <c r="D17" i="13"/>
  <c r="C17" i="13"/>
  <c r="K16" i="13"/>
  <c r="J16" i="13"/>
  <c r="I16" i="13"/>
  <c r="H16" i="13"/>
  <c r="G16" i="13"/>
  <c r="F16" i="13"/>
  <c r="E16" i="13"/>
  <c r="D16" i="13"/>
  <c r="C16" i="13"/>
  <c r="K15" i="13"/>
  <c r="J15" i="13"/>
  <c r="I15" i="13"/>
  <c r="H15" i="13"/>
  <c r="G15" i="13"/>
  <c r="F15" i="13"/>
  <c r="E15" i="13"/>
  <c r="D15" i="13"/>
  <c r="C15" i="13"/>
  <c r="K14" i="13"/>
  <c r="J14" i="13"/>
  <c r="I14" i="13"/>
  <c r="H14" i="13"/>
  <c r="G14" i="13"/>
  <c r="F14" i="13"/>
  <c r="E14" i="13"/>
  <c r="D14" i="13"/>
  <c r="C14" i="13"/>
  <c r="K13" i="13"/>
  <c r="L13" i="13" s="1"/>
  <c r="J13" i="13"/>
  <c r="I13" i="13"/>
  <c r="H13" i="13"/>
  <c r="G13" i="13"/>
  <c r="F13" i="13"/>
  <c r="E13" i="13"/>
  <c r="B44" i="13" s="1"/>
  <c r="D13" i="13"/>
  <c r="C13" i="13"/>
  <c r="O11" i="13"/>
  <c r="O10" i="13"/>
  <c r="P10" i="13" s="1"/>
  <c r="Q10" i="13" s="1"/>
  <c r="O8" i="13"/>
  <c r="O7" i="13"/>
  <c r="P7" i="13" s="1"/>
  <c r="Q7" i="13" s="1"/>
  <c r="L5" i="13"/>
  <c r="L5" i="9"/>
  <c r="L13" i="9"/>
  <c r="Q27" i="9"/>
  <c r="Q26" i="9"/>
  <c r="P27" i="9"/>
  <c r="P26" i="9"/>
  <c r="P19" i="9"/>
  <c r="O20" i="9"/>
  <c r="O19" i="9"/>
  <c r="P10" i="9"/>
  <c r="Q10" i="9" s="1"/>
  <c r="P7" i="9"/>
  <c r="Q7" i="9" s="1"/>
  <c r="O11" i="9"/>
  <c r="O10" i="9"/>
  <c r="O8" i="9"/>
  <c r="O7" i="9"/>
  <c r="L21" i="9"/>
  <c r="D17" i="4"/>
  <c r="P13" i="13" l="1"/>
  <c r="J35" i="13"/>
  <c r="J33" i="13"/>
  <c r="B61" i="13" s="1"/>
  <c r="B59" i="13"/>
  <c r="J29" i="13"/>
  <c r="B41" i="13" s="1"/>
  <c r="B60" i="13"/>
  <c r="B62" i="13"/>
  <c r="B58" i="13"/>
  <c r="I35" i="13"/>
  <c r="B55" i="12"/>
  <c r="B54" i="12"/>
  <c r="B53" i="12"/>
  <c r="B52" i="12"/>
  <c r="B51" i="12"/>
  <c r="B50" i="12"/>
  <c r="B49" i="12"/>
  <c r="K35" i="12"/>
  <c r="H35" i="12"/>
  <c r="G35" i="12"/>
  <c r="F35" i="12"/>
  <c r="E35" i="12"/>
  <c r="D35" i="12"/>
  <c r="C35" i="12"/>
  <c r="K34" i="12"/>
  <c r="I34" i="12"/>
  <c r="H34" i="12"/>
  <c r="G34" i="12"/>
  <c r="F34" i="12"/>
  <c r="E34" i="12"/>
  <c r="D34" i="12"/>
  <c r="C34" i="12"/>
  <c r="K33" i="12"/>
  <c r="I33" i="12"/>
  <c r="J33" i="12" s="1"/>
  <c r="H33" i="12"/>
  <c r="G33" i="12"/>
  <c r="F33" i="12"/>
  <c r="E33" i="12"/>
  <c r="D33" i="12"/>
  <c r="C33" i="12"/>
  <c r="K32" i="12"/>
  <c r="I32" i="12"/>
  <c r="J32" i="12" s="1"/>
  <c r="H32" i="12"/>
  <c r="G32" i="12"/>
  <c r="F32" i="12"/>
  <c r="E32" i="12"/>
  <c r="D32" i="12"/>
  <c r="C32" i="12"/>
  <c r="K31" i="12"/>
  <c r="I31" i="12"/>
  <c r="J31" i="12" s="1"/>
  <c r="H31" i="12"/>
  <c r="G31" i="12"/>
  <c r="F31" i="12"/>
  <c r="E31" i="12"/>
  <c r="D31" i="12"/>
  <c r="C31" i="12"/>
  <c r="K30" i="12"/>
  <c r="I30" i="12"/>
  <c r="J30" i="12" s="1"/>
  <c r="H30" i="12"/>
  <c r="G30" i="12"/>
  <c r="F30" i="12"/>
  <c r="E30" i="12"/>
  <c r="D30" i="12"/>
  <c r="C30" i="12"/>
  <c r="K29" i="12"/>
  <c r="J29" i="12"/>
  <c r="I29" i="12"/>
  <c r="H29" i="12"/>
  <c r="G29" i="12"/>
  <c r="F29" i="12"/>
  <c r="E29" i="12"/>
  <c r="D29" i="12"/>
  <c r="C29" i="12"/>
  <c r="K19" i="12"/>
  <c r="J19" i="12"/>
  <c r="I19" i="12"/>
  <c r="H19" i="12"/>
  <c r="G19" i="12"/>
  <c r="F19" i="12"/>
  <c r="E19" i="12"/>
  <c r="D19" i="12"/>
  <c r="C19" i="12"/>
  <c r="K18" i="12"/>
  <c r="J18" i="12"/>
  <c r="I18" i="12"/>
  <c r="H18" i="12"/>
  <c r="G18" i="12"/>
  <c r="F18" i="12"/>
  <c r="E18" i="12"/>
  <c r="D18" i="12"/>
  <c r="C18" i="12"/>
  <c r="K17" i="12"/>
  <c r="J17" i="12"/>
  <c r="I17" i="12"/>
  <c r="H17" i="12"/>
  <c r="G17" i="12"/>
  <c r="F17" i="12"/>
  <c r="E17" i="12"/>
  <c r="D17" i="12"/>
  <c r="C17" i="12"/>
  <c r="K16" i="12"/>
  <c r="J16" i="12"/>
  <c r="I16" i="12"/>
  <c r="H16" i="12"/>
  <c r="G16" i="12"/>
  <c r="F16" i="12"/>
  <c r="E16" i="12"/>
  <c r="D16" i="12"/>
  <c r="C16" i="12"/>
  <c r="K15" i="12"/>
  <c r="J15" i="12"/>
  <c r="I15" i="12"/>
  <c r="H15" i="12"/>
  <c r="G15" i="12"/>
  <c r="F15" i="12"/>
  <c r="E15" i="12"/>
  <c r="D15" i="12"/>
  <c r="C15" i="12"/>
  <c r="K14" i="12"/>
  <c r="J14" i="12"/>
  <c r="I14" i="12"/>
  <c r="H14" i="12"/>
  <c r="G14" i="12"/>
  <c r="F14" i="12"/>
  <c r="E14" i="12"/>
  <c r="D14" i="12"/>
  <c r="C14" i="12"/>
  <c r="K13" i="12"/>
  <c r="J13" i="12"/>
  <c r="I13" i="12"/>
  <c r="H13" i="12"/>
  <c r="G13" i="12"/>
  <c r="F13" i="12"/>
  <c r="E13" i="12"/>
  <c r="D13" i="12"/>
  <c r="C13" i="12"/>
  <c r="B55" i="9"/>
  <c r="B50" i="9"/>
  <c r="B51" i="9"/>
  <c r="B52" i="9"/>
  <c r="B53" i="9"/>
  <c r="B54" i="9"/>
  <c r="B49" i="9"/>
  <c r="K35" i="9"/>
  <c r="B50" i="8"/>
  <c r="B51" i="8"/>
  <c r="B52" i="8"/>
  <c r="B53" i="8"/>
  <c r="B54" i="8"/>
  <c r="B55" i="8"/>
  <c r="B49" i="8"/>
  <c r="H30" i="8"/>
  <c r="I30" i="8"/>
  <c r="H31" i="8"/>
  <c r="I31" i="8"/>
  <c r="H32" i="8"/>
  <c r="I32" i="8"/>
  <c r="H33" i="8"/>
  <c r="I33" i="8"/>
  <c r="H34" i="8"/>
  <c r="I34" i="8"/>
  <c r="H35" i="8"/>
  <c r="I29" i="8"/>
  <c r="I30" i="9"/>
  <c r="I31" i="9"/>
  <c r="I32" i="9"/>
  <c r="I33" i="9"/>
  <c r="I34" i="9"/>
  <c r="I29" i="9"/>
  <c r="H35" i="9"/>
  <c r="G35" i="9"/>
  <c r="F35" i="9"/>
  <c r="E35" i="9"/>
  <c r="D35" i="9"/>
  <c r="C35" i="9"/>
  <c r="K34" i="9"/>
  <c r="J34" i="9" s="1"/>
  <c r="H34" i="9"/>
  <c r="G34" i="9"/>
  <c r="F34" i="9"/>
  <c r="E34" i="9"/>
  <c r="D34" i="9"/>
  <c r="C34" i="9"/>
  <c r="K33" i="9"/>
  <c r="J33" i="9" s="1"/>
  <c r="H33" i="9"/>
  <c r="G33" i="9"/>
  <c r="F33" i="9"/>
  <c r="E33" i="9"/>
  <c r="D33" i="9"/>
  <c r="C33" i="9"/>
  <c r="K32" i="9"/>
  <c r="J32" i="9" s="1"/>
  <c r="H32" i="9"/>
  <c r="G32" i="9"/>
  <c r="F32" i="9"/>
  <c r="E32" i="9"/>
  <c r="D32" i="9"/>
  <c r="C32" i="9"/>
  <c r="K31" i="9"/>
  <c r="J31" i="9" s="1"/>
  <c r="H31" i="9"/>
  <c r="G31" i="9"/>
  <c r="F31" i="9"/>
  <c r="E31" i="9"/>
  <c r="D31" i="9"/>
  <c r="C31" i="9"/>
  <c r="K30" i="9"/>
  <c r="J30" i="9" s="1"/>
  <c r="H30" i="9"/>
  <c r="G30" i="9"/>
  <c r="F30" i="9"/>
  <c r="E30" i="9"/>
  <c r="D30" i="9"/>
  <c r="C30" i="9"/>
  <c r="K29" i="9"/>
  <c r="H29" i="9"/>
  <c r="G29" i="9"/>
  <c r="F29" i="9"/>
  <c r="E29" i="9"/>
  <c r="D29" i="9"/>
  <c r="C29" i="9"/>
  <c r="K19" i="9"/>
  <c r="J19" i="9"/>
  <c r="I19" i="9"/>
  <c r="H19" i="9"/>
  <c r="G19" i="9"/>
  <c r="F19" i="9"/>
  <c r="E19" i="9"/>
  <c r="D19" i="9"/>
  <c r="C19" i="9"/>
  <c r="K18" i="9"/>
  <c r="J18" i="9"/>
  <c r="I18" i="9"/>
  <c r="H18" i="9"/>
  <c r="G18" i="9"/>
  <c r="F18" i="9"/>
  <c r="E18" i="9"/>
  <c r="D18" i="9"/>
  <c r="C18" i="9"/>
  <c r="K17" i="9"/>
  <c r="J17" i="9"/>
  <c r="I17" i="9"/>
  <c r="H17" i="9"/>
  <c r="G17" i="9"/>
  <c r="F17" i="9"/>
  <c r="E17" i="9"/>
  <c r="D17" i="9"/>
  <c r="C17" i="9"/>
  <c r="K16" i="9"/>
  <c r="J16" i="9"/>
  <c r="I16" i="9"/>
  <c r="H16" i="9"/>
  <c r="G16" i="9"/>
  <c r="F16" i="9"/>
  <c r="E16" i="9"/>
  <c r="D16" i="9"/>
  <c r="C16" i="9"/>
  <c r="K15" i="9"/>
  <c r="J15" i="9"/>
  <c r="I15" i="9"/>
  <c r="H15" i="9"/>
  <c r="G15" i="9"/>
  <c r="F15" i="9"/>
  <c r="E15" i="9"/>
  <c r="D15" i="9"/>
  <c r="C15" i="9"/>
  <c r="K14" i="9"/>
  <c r="J14" i="9"/>
  <c r="I14" i="9"/>
  <c r="H14" i="9"/>
  <c r="G14" i="9"/>
  <c r="F14" i="9"/>
  <c r="E14" i="9"/>
  <c r="D14" i="9"/>
  <c r="C14" i="9"/>
  <c r="K13" i="9"/>
  <c r="J13" i="9"/>
  <c r="I13" i="9"/>
  <c r="H13" i="9"/>
  <c r="G13" i="9"/>
  <c r="F13" i="9"/>
  <c r="E13" i="9"/>
  <c r="D13" i="9"/>
  <c r="C13" i="9"/>
  <c r="K35" i="8"/>
  <c r="G35" i="8"/>
  <c r="F35" i="8"/>
  <c r="E35" i="8"/>
  <c r="D35" i="8"/>
  <c r="C35" i="8"/>
  <c r="K34" i="8"/>
  <c r="G34" i="8"/>
  <c r="F34" i="8"/>
  <c r="E34" i="8"/>
  <c r="D34" i="8"/>
  <c r="C34" i="8"/>
  <c r="K33" i="8"/>
  <c r="G33" i="8"/>
  <c r="F33" i="8"/>
  <c r="E33" i="8"/>
  <c r="D33" i="8"/>
  <c r="C33" i="8"/>
  <c r="K32" i="8"/>
  <c r="G32" i="8"/>
  <c r="F32" i="8"/>
  <c r="E32" i="8"/>
  <c r="D32" i="8"/>
  <c r="C32" i="8"/>
  <c r="K31" i="8"/>
  <c r="G31" i="8"/>
  <c r="F31" i="8"/>
  <c r="E31" i="8"/>
  <c r="D31" i="8"/>
  <c r="C31" i="8"/>
  <c r="K30" i="8"/>
  <c r="G30" i="8"/>
  <c r="F30" i="8"/>
  <c r="E30" i="8"/>
  <c r="D30" i="8"/>
  <c r="C30" i="8"/>
  <c r="K29" i="8"/>
  <c r="H29" i="8"/>
  <c r="G29" i="8"/>
  <c r="F29" i="8"/>
  <c r="E29" i="8"/>
  <c r="D29" i="8"/>
  <c r="C29" i="8"/>
  <c r="K19" i="8"/>
  <c r="J19" i="8"/>
  <c r="I19" i="8"/>
  <c r="H19" i="8"/>
  <c r="G19" i="8"/>
  <c r="F19" i="8"/>
  <c r="E19" i="8"/>
  <c r="D19" i="8"/>
  <c r="C19" i="8"/>
  <c r="K18" i="8"/>
  <c r="J18" i="8"/>
  <c r="I18" i="8"/>
  <c r="H18" i="8"/>
  <c r="G18" i="8"/>
  <c r="F18" i="8"/>
  <c r="E18" i="8"/>
  <c r="D18" i="8"/>
  <c r="C18" i="8"/>
  <c r="K17" i="8"/>
  <c r="J17" i="8"/>
  <c r="I17" i="8"/>
  <c r="H17" i="8"/>
  <c r="G17" i="8"/>
  <c r="F17" i="8"/>
  <c r="E17" i="8"/>
  <c r="D17" i="8"/>
  <c r="C17" i="8"/>
  <c r="K16" i="8"/>
  <c r="J16" i="8"/>
  <c r="I16" i="8"/>
  <c r="H16" i="8"/>
  <c r="G16" i="8"/>
  <c r="F16" i="8"/>
  <c r="E16" i="8"/>
  <c r="D16" i="8"/>
  <c r="C16" i="8"/>
  <c r="K15" i="8"/>
  <c r="J15" i="8"/>
  <c r="I15" i="8"/>
  <c r="H15" i="8"/>
  <c r="G15" i="8"/>
  <c r="F15" i="8"/>
  <c r="E15" i="8"/>
  <c r="D15" i="8"/>
  <c r="C15" i="8"/>
  <c r="K14" i="8"/>
  <c r="J14" i="8"/>
  <c r="I14" i="8"/>
  <c r="H14" i="8"/>
  <c r="G14" i="8"/>
  <c r="F14" i="8"/>
  <c r="E14" i="8"/>
  <c r="D14" i="8"/>
  <c r="C14" i="8"/>
  <c r="K13" i="8"/>
  <c r="J13" i="8"/>
  <c r="I13" i="8"/>
  <c r="H13" i="8"/>
  <c r="G13" i="8"/>
  <c r="F13" i="8"/>
  <c r="E13" i="8"/>
  <c r="D13" i="8"/>
  <c r="C13" i="8"/>
  <c r="B63" i="13" l="1"/>
  <c r="B57" i="13"/>
  <c r="B42" i="13"/>
  <c r="I35" i="8"/>
  <c r="J34" i="8"/>
  <c r="J30" i="8"/>
  <c r="B58" i="8" s="1"/>
  <c r="J33" i="8"/>
  <c r="B62" i="8"/>
  <c r="J29" i="9"/>
  <c r="B41" i="9" s="1"/>
  <c r="L29" i="9"/>
  <c r="B45" i="12"/>
  <c r="B61" i="8"/>
  <c r="B44" i="9"/>
  <c r="J32" i="8"/>
  <c r="B60" i="8" s="1"/>
  <c r="J29" i="8"/>
  <c r="B57" i="8" s="1"/>
  <c r="J31" i="8"/>
  <c r="B42" i="8" s="1"/>
  <c r="J35" i="12"/>
  <c r="B58" i="9"/>
  <c r="B62" i="9"/>
  <c r="B59" i="9"/>
  <c r="B61" i="9"/>
  <c r="B60" i="9"/>
  <c r="J35" i="9"/>
  <c r="B45" i="9"/>
  <c r="J35" i="8"/>
  <c r="B43" i="8" s="1"/>
  <c r="B45" i="8"/>
  <c r="B46" i="8"/>
  <c r="B47" i="8"/>
  <c r="B41" i="12"/>
  <c r="J34" i="12"/>
  <c r="B61" i="12"/>
  <c r="B42" i="12"/>
  <c r="B47" i="12"/>
  <c r="B46" i="12"/>
  <c r="B57" i="12"/>
  <c r="B58" i="12"/>
  <c r="B59" i="12"/>
  <c r="B60" i="12"/>
  <c r="B62" i="12"/>
  <c r="I35" i="12"/>
  <c r="B63" i="12" s="1"/>
  <c r="D10" i="4"/>
  <c r="E10" i="4" s="1"/>
  <c r="E9" i="4"/>
  <c r="AB130" i="4"/>
  <c r="X130" i="4"/>
  <c r="AA130" i="4" s="1"/>
  <c r="AB129" i="4"/>
  <c r="X129" i="4"/>
  <c r="AA129" i="4" s="1"/>
  <c r="AB128" i="4"/>
  <c r="X128" i="4"/>
  <c r="Z128" i="4" s="1"/>
  <c r="AC128" i="4" s="1"/>
  <c r="AB127" i="4"/>
  <c r="X127" i="4"/>
  <c r="AA127" i="4" s="1"/>
  <c r="AB126" i="4"/>
  <c r="X126" i="4"/>
  <c r="AA126" i="4" s="1"/>
  <c r="AB107" i="4"/>
  <c r="X107" i="4"/>
  <c r="AA107" i="4" s="1"/>
  <c r="AB106" i="4"/>
  <c r="X106" i="4"/>
  <c r="AA106" i="4" s="1"/>
  <c r="AE106" i="4" s="1"/>
  <c r="AB105" i="4"/>
  <c r="X105" i="4"/>
  <c r="AA105" i="4" s="1"/>
  <c r="AB104" i="4"/>
  <c r="X104" i="4"/>
  <c r="AA104" i="4" s="1"/>
  <c r="AB103" i="4"/>
  <c r="X103" i="4"/>
  <c r="AA103" i="4" s="1"/>
  <c r="B59" i="8" l="1"/>
  <c r="B57" i="9"/>
  <c r="Z129" i="4"/>
  <c r="AC129" i="4" s="1"/>
  <c r="B41" i="8"/>
  <c r="AE105" i="4"/>
  <c r="AE107" i="4"/>
  <c r="AE102" i="4" s="1"/>
  <c r="B43" i="12"/>
  <c r="D13" i="4"/>
  <c r="E13" i="4" s="1"/>
  <c r="E17" i="4"/>
  <c r="D12" i="4"/>
  <c r="E12" i="4" s="1"/>
  <c r="D15" i="4"/>
  <c r="E15" i="4" s="1"/>
  <c r="D11" i="4"/>
  <c r="E11" i="4" s="1"/>
  <c r="D16" i="4"/>
  <c r="E16" i="4" s="1"/>
  <c r="D14" i="4"/>
  <c r="E14" i="4" s="1"/>
  <c r="Z130" i="4"/>
  <c r="AC130" i="4" s="1"/>
  <c r="AC125" i="4" s="1"/>
  <c r="AE126" i="4"/>
  <c r="AE127" i="4"/>
  <c r="Z126" i="4"/>
  <c r="AC126" i="4" s="1"/>
  <c r="Z127" i="4"/>
  <c r="AC127" i="4" s="1"/>
  <c r="AE129" i="4"/>
  <c r="AE130" i="4"/>
  <c r="AE125" i="4" s="1"/>
  <c r="AA128" i="4"/>
  <c r="AE128" i="4" s="1"/>
  <c r="Z103" i="4"/>
  <c r="AC103" i="4" s="1"/>
  <c r="Z104" i="4"/>
  <c r="AC104" i="4" s="1"/>
  <c r="AE103" i="4"/>
  <c r="AE104" i="4"/>
  <c r="Z105" i="4"/>
  <c r="AC105" i="4" s="1"/>
  <c r="Z106" i="4"/>
  <c r="AC106" i="4" s="1"/>
  <c r="Z107" i="4"/>
  <c r="AC107" i="4" s="1"/>
  <c r="AC102" i="4" s="1"/>
  <c r="AG125" i="4" l="1"/>
  <c r="D23" i="4"/>
  <c r="AG102" i="4"/>
  <c r="AB81" i="4" l="1"/>
  <c r="AB82" i="4"/>
  <c r="AB83" i="4"/>
  <c r="AB84" i="4"/>
  <c r="AB85" i="4"/>
  <c r="X84" i="4"/>
  <c r="Z84" i="4" s="1"/>
  <c r="AC84" i="4" s="1"/>
  <c r="X85" i="4"/>
  <c r="AA85" i="4" s="1"/>
  <c r="X83" i="4"/>
  <c r="AA83" i="4" s="1"/>
  <c r="X82" i="4"/>
  <c r="AA82" i="4" s="1"/>
  <c r="X81" i="4"/>
  <c r="AA81" i="4" s="1"/>
  <c r="Z85" i="4" l="1"/>
  <c r="AC85" i="4" s="1"/>
  <c r="AD128" i="4"/>
  <c r="AD126" i="4"/>
  <c r="AD129" i="4"/>
  <c r="AD127" i="4"/>
  <c r="AC80" i="4"/>
  <c r="AD104" i="4"/>
  <c r="AD105" i="4"/>
  <c r="AD103" i="4"/>
  <c r="AD106" i="4"/>
  <c r="AE81" i="4"/>
  <c r="Z81" i="4"/>
  <c r="AC81" i="4" s="1"/>
  <c r="AD81" i="4" s="1"/>
  <c r="AA84" i="4"/>
  <c r="AE84" i="4" s="1"/>
  <c r="AD84" i="4"/>
  <c r="Z83" i="4"/>
  <c r="AC83" i="4" s="1"/>
  <c r="AD83" i="4" s="1"/>
  <c r="Z82" i="4"/>
  <c r="AC82" i="4" s="1"/>
  <c r="AD82" i="4" s="1"/>
  <c r="AE82" i="4"/>
  <c r="AE83" i="4"/>
  <c r="AE85" i="4"/>
  <c r="AF126" i="4" l="1"/>
  <c r="AF127" i="4"/>
  <c r="AF129" i="4"/>
  <c r="AF128" i="4"/>
  <c r="AE80" i="4"/>
  <c r="AF105" i="4"/>
  <c r="AF106" i="4"/>
  <c r="AF104" i="4"/>
  <c r="AF103" i="4"/>
  <c r="AG80" i="4"/>
  <c r="AF81" i="4"/>
  <c r="AF82" i="4"/>
  <c r="AF84" i="4"/>
  <c r="AF83" i="4"/>
  <c r="B63" i="8" l="1"/>
  <c r="I35" i="9"/>
  <c r="B63" i="9" l="1"/>
  <c r="B42" i="9"/>
</calcChain>
</file>

<file path=xl/sharedStrings.xml><?xml version="1.0" encoding="utf-8"?>
<sst xmlns="http://schemas.openxmlformats.org/spreadsheetml/2006/main" count="716" uniqueCount="134">
  <si>
    <t>1BB</t>
  </si>
  <si>
    <t>67F</t>
  </si>
  <si>
    <t>DE</t>
  </si>
  <si>
    <t>1CB</t>
  </si>
  <si>
    <t>35E</t>
  </si>
  <si>
    <t>60D</t>
  </si>
  <si>
    <t>14D</t>
  </si>
  <si>
    <t>1EF</t>
  </si>
  <si>
    <t>f00</t>
  </si>
  <si>
    <t>Steer Max</t>
  </si>
  <si>
    <t>Civic Hatch</t>
  </si>
  <si>
    <t>Civic Sedan</t>
  </si>
  <si>
    <t>CRV steer ratio</t>
  </si>
  <si>
    <t>?</t>
  </si>
  <si>
    <t>Ratio</t>
  </si>
  <si>
    <t>Right Ratio</t>
  </si>
  <si>
    <t>Left Ratio</t>
  </si>
  <si>
    <t>Percent</t>
  </si>
  <si>
    <t>Wheel(°)</t>
  </si>
  <si>
    <t>Left Tire(°)</t>
  </si>
  <si>
    <t>Right Tire(°)</t>
  </si>
  <si>
    <t>Avg Tire(°)</t>
  </si>
  <si>
    <t>DC5</t>
  </si>
  <si>
    <t>STEER_CONFIG_INDEX</t>
  </si>
  <si>
    <t>B04</t>
  </si>
  <si>
    <t>CDF</t>
  </si>
  <si>
    <t>E19</t>
  </si>
  <si>
    <t>Torque multiplier</t>
  </si>
  <si>
    <t>idx row 1</t>
  </si>
  <si>
    <t>Linear Testing (breaks sensing)</t>
  </si>
  <si>
    <t>Original Max:</t>
  </si>
  <si>
    <t>Multiplier:</t>
  </si>
  <si>
    <t>idx row 2</t>
  </si>
  <si>
    <t>idx row 3</t>
  </si>
  <si>
    <t>idx row 4</t>
  </si>
  <si>
    <t>idx row 5</t>
  </si>
  <si>
    <t>idx row 6</t>
  </si>
  <si>
    <t>idx row 7</t>
  </si>
  <si>
    <t>torqueV 1</t>
  </si>
  <si>
    <t>torqueV 2</t>
  </si>
  <si>
    <t>torqueV 3</t>
  </si>
  <si>
    <t>torqueV 4</t>
  </si>
  <si>
    <t>torqueV 5</t>
  </si>
  <si>
    <t>torqueV 6</t>
  </si>
  <si>
    <t>torqueV 7</t>
  </si>
  <si>
    <t>*table goes to 6ee but fn is clamped to 67f</t>
  </si>
  <si>
    <t>original torque_table row 1</t>
  </si>
  <si>
    <t>original torque_table row 2</t>
  </si>
  <si>
    <t>original torque_table row 3</t>
  </si>
  <si>
    <t>original torque_table row 4</t>
  </si>
  <si>
    <t>original torque_table row 5</t>
  </si>
  <si>
    <t>original torque_table row 6</t>
  </si>
  <si>
    <t>original torque_table row 7</t>
  </si>
  <si>
    <t>new torque_table row 1</t>
  </si>
  <si>
    <t>new torque_table row 2</t>
  </si>
  <si>
    <t>new torque_table row 3</t>
  </si>
  <si>
    <t>new torque_table row 4</t>
  </si>
  <si>
    <t>new torque_table row 5</t>
  </si>
  <si>
    <t>new torque_table row 6</t>
  </si>
  <si>
    <t>new torque_table row 7</t>
  </si>
  <si>
    <t>917</t>
  </si>
  <si>
    <t>0</t>
  </si>
  <si>
    <t>377</t>
  </si>
  <si>
    <t>454</t>
  </si>
  <si>
    <t>532</t>
  </si>
  <si>
    <t>610</t>
  </si>
  <si>
    <t>299</t>
  </si>
  <si>
    <t>1200</t>
  </si>
  <si>
    <t>6B3</t>
  </si>
  <si>
    <t>67</t>
  </si>
  <si>
    <t>107</t>
  </si>
  <si>
    <t>294</t>
  </si>
  <si>
    <t>457</t>
  </si>
  <si>
    <t>290</t>
  </si>
  <si>
    <t>455</t>
  </si>
  <si>
    <t>2A1</t>
  </si>
  <si>
    <t>692</t>
  </si>
  <si>
    <t>AEE</t>
  </si>
  <si>
    <t>EB6</t>
  </si>
  <si>
    <t>10AE</t>
  </si>
  <si>
    <t>746</t>
  </si>
  <si>
    <t>1008</t>
  </si>
  <si>
    <t>B1A</t>
  </si>
  <si>
    <t>CCD</t>
  </si>
  <si>
    <t>E9A</t>
  </si>
  <si>
    <t>104D</t>
  </si>
  <si>
    <t>119A</t>
  </si>
  <si>
    <t>11DA</t>
  </si>
  <si>
    <t>380</t>
  </si>
  <si>
    <t>800</t>
  </si>
  <si>
    <t>C00</t>
  </si>
  <si>
    <t>1017</t>
  </si>
  <si>
    <t>119F</t>
  </si>
  <si>
    <t>140B</t>
  </si>
  <si>
    <t>1680</t>
  </si>
  <si>
    <t>Linear values</t>
  </si>
  <si>
    <t>civic stock</t>
  </si>
  <si>
    <t>civic new</t>
  </si>
  <si>
    <t>Hex</t>
  </si>
  <si>
    <t>Dec</t>
  </si>
  <si>
    <t>bosch stock</t>
  </si>
  <si>
    <t>bosch new</t>
  </si>
  <si>
    <t>2D00</t>
  </si>
  <si>
    <t>Multipler</t>
  </si>
  <si>
    <t>civic filter stock</t>
  </si>
  <si>
    <t>civic filter new</t>
  </si>
  <si>
    <t>Two</t>
  </si>
  <si>
    <t>Three</t>
  </si>
  <si>
    <t>cvic eps bp</t>
  </si>
  <si>
    <t>cvic eps tV</t>
  </si>
  <si>
    <t>Decimal 2</t>
  </si>
  <si>
    <t>Decimal 3</t>
  </si>
  <si>
    <t>Civic Bosch</t>
  </si>
  <si>
    <t>D80</t>
  </si>
  <si>
    <t>FCD</t>
  </si>
  <si>
    <t>10E6</t>
  </si>
  <si>
    <t>F00</t>
  </si>
  <si>
    <t>ECC</t>
  </si>
  <si>
    <t>CD5</t>
  </si>
  <si>
    <t>AEF</t>
  </si>
  <si>
    <t>7CD</t>
  </si>
  <si>
    <t>39A</t>
  </si>
  <si>
    <t>34D</t>
  </si>
  <si>
    <t>bosch new 2.5x</t>
  </si>
  <si>
    <t>civic new 2.5x</t>
  </si>
  <si>
    <t>Dif</t>
  </si>
  <si>
    <t>0C00</t>
  </si>
  <si>
    <t>1x</t>
  </si>
  <si>
    <t>2x</t>
  </si>
  <si>
    <t>2.5x</t>
  </si>
  <si>
    <t>3x</t>
  </si>
  <si>
    <t>3.5x</t>
  </si>
  <si>
    <t>4x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</si>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</sst>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/>
    <xf numFmtId="0" fontId="0" fillId="3" borderId="0" xfId="0" applyFont="1" applyFill="1"/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164" fontId="0" fillId="2" borderId="0" xfId="0" applyNumberForma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Border="1" applyAlignment="1"/>
    <xf numFmtId="165" fontId="0" fillId="0" borderId="0" xfId="0" applyNumberFormat="1"/>
    <xf numFmtId="0" fontId="0" fillId="0" borderId="0" xfId="0" applyFill="1" applyBorder="1"/>
    <xf numFmtId="0" fontId="0" fillId="0" borderId="0" xfId="0" applyBorder="1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11" fontId="0" fillId="2" borderId="0" xfId="0" quotePrefix="1" applyNumberFormat="1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wrapText="1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6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9" fontId="0" fillId="2" borderId="0" xfId="0" applyNumberForma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</a:t>
            </a:r>
            <a:r>
              <a:rPr lang="en-US" baseline="0"/>
              <a:t> CR V Steering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misc!$V$80:$V$85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405</c:v>
                </c:pt>
              </c:numCache>
            </c:numRef>
          </c:xVal>
          <c:yVal>
            <c:numRef>
              <c:f>misc!$AC$80:$AC$85</c:f>
              <c:numCache>
                <c:formatCode>General</c:formatCode>
                <c:ptCount val="6"/>
                <c:pt idx="0" formatCode="0.0000">
                  <c:v>14.708715973483958</c:v>
                </c:pt>
                <c:pt idx="1">
                  <c:v>14.044176738161928</c:v>
                </c:pt>
                <c:pt idx="2">
                  <c:v>13.866883058520814</c:v>
                </c:pt>
                <c:pt idx="3">
                  <c:v>13.138696787264225</c:v>
                </c:pt>
                <c:pt idx="4">
                  <c:v>12.510867368008903</c:v>
                </c:pt>
                <c:pt idx="5">
                  <c:v>12.257263311236631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78-514D-AA49-06E8BCBA8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20240"/>
        <c:axId val="498043200"/>
      </c:scatterChart>
      <c:valAx>
        <c:axId val="49722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Steering Wheel</a:t>
                </a:r>
                <a:r>
                  <a:rPr lang="en-US" baseline="0"/>
                  <a:t> </a:t>
                </a:r>
                <a:r>
                  <a:rPr lang="en-US"/>
                  <a:t>Angle</a:t>
                </a:r>
              </a:p>
            </c:rich>
          </c:tx>
          <c:layout>
            <c:manualLayout>
              <c:xMode val="edge"/>
              <c:yMode val="edge"/>
              <c:x val="0.34619809188500283"/>
              <c:y val="0.88949383938879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43200"/>
        <c:crosses val="autoZero"/>
        <c:crossBetween val="midCat"/>
      </c:valAx>
      <c:valAx>
        <c:axId val="498043200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Steer Ratio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2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Honda</a:t>
            </a:r>
            <a:r>
              <a:rPr lang="en-US" baseline="0"/>
              <a:t> Torque Request vs Output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misc!$U$9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misc!$U$10:$U$18</c:f>
              <c:numCache>
                <c:formatCode>General</c:formatCode>
                <c:ptCount val="9"/>
              </c:numCache>
            </c:numRef>
          </c:xVal>
          <c:yVal>
            <c:numRef>
              <c:f>misc!$V$10:$V$18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B-F54F-95C5-7E8D9CE32A03}"/>
            </c:ext>
          </c:extLst>
        </c:ser>
        <c:ser>
          <c:idx val="1"/>
          <c:order val="1"/>
          <c:tx>
            <c:strRef>
              <c:f>misc!$S$9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misc!$S$10:$S$18</c:f>
              <c:numCache>
                <c:formatCode>General</c:formatCode>
                <c:ptCount val="9"/>
              </c:numCache>
            </c:numRef>
          </c:xVal>
          <c:yVal>
            <c:numRef>
              <c:f>misc!$T$10:$T$18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B-F54F-95C5-7E8D9CE32A03}"/>
            </c:ext>
          </c:extLst>
        </c:ser>
        <c:ser>
          <c:idx val="2"/>
          <c:order val="2"/>
          <c:tx>
            <c:strRef>
              <c:f>misc!$W$9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misc!$W$10:$W$18</c:f>
              <c:numCache>
                <c:formatCode>General</c:formatCode>
                <c:ptCount val="9"/>
              </c:numCache>
            </c:numRef>
          </c:xVal>
          <c:yVal>
            <c:numRef>
              <c:f>misc!$X$10:$X$18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3B-F54F-95C5-7E8D9CE32A03}"/>
            </c:ext>
          </c:extLst>
        </c:ser>
        <c:ser>
          <c:idx val="3"/>
          <c:order val="3"/>
          <c:tx>
            <c:strRef>
              <c:f>misc!$Z$9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misc!$Z$10:$Z$18</c:f>
              <c:numCache>
                <c:formatCode>General</c:formatCode>
                <c:ptCount val="9"/>
              </c:numCache>
            </c:numRef>
          </c:xVal>
          <c:yVal>
            <c:numRef>
              <c:f>misc!$AA$10:$AA$18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3B-F54F-95C5-7E8D9CE3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20672"/>
        <c:axId val="672184240"/>
      </c:scatterChart>
      <c:valAx>
        <c:axId val="6180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84240"/>
        <c:crosses val="autoZero"/>
        <c:crossBetween val="midCat"/>
      </c:valAx>
      <c:valAx>
        <c:axId val="6721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2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misc!$E$9:$E$17</c:f>
              <c:numCache>
                <c:formatCode>General</c:formatCode>
                <c:ptCount val="9"/>
                <c:pt idx="0">
                  <c:v>0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F-1244-AD91-8485C3752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53072"/>
        <c:axId val="182230384"/>
      </c:scatterChart>
      <c:valAx>
        <c:axId val="1423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0384"/>
        <c:crosses val="autoZero"/>
        <c:crossBetween val="midCat"/>
      </c:valAx>
      <c:valAx>
        <c:axId val="1822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108143</xdr:colOff>
      <xdr:row>86</xdr:row>
      <xdr:rowOff>47912</xdr:rowOff>
    </xdr:from>
    <xdr:to>
      <xdr:col>42</xdr:col>
      <xdr:colOff>259773</xdr:colOff>
      <xdr:row>143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2BE2EA-CB51-3F48-AE7F-8834DD497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358586</xdr:colOff>
      <xdr:row>47</xdr:row>
      <xdr:rowOff>44825</xdr:rowOff>
    </xdr:from>
    <xdr:to>
      <xdr:col>25</xdr:col>
      <xdr:colOff>44822</xdr:colOff>
      <xdr:row>81</xdr:row>
      <xdr:rowOff>59765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77E1782-5123-7E41-8F2B-34A99E132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246529</xdr:colOff>
      <xdr:row>6</xdr:row>
      <xdr:rowOff>55283</xdr:rowOff>
    </xdr:from>
    <xdr:to>
      <xdr:col>9</xdr:col>
      <xdr:colOff>933823</xdr:colOff>
      <xdr:row>19</xdr:row>
      <xdr:rowOff>79188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3D3FC5-0FEC-7047-98DF-DFCFECCDE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6551E-5CA4-5945-A103-1C607D1BD276}">
  <dimension ref="B1:K63"/>
  <sheetViews>
    <sheetView zoomScale="95" workbookViewId="0">
      <selection activeCell="M5" sqref="M5:U29"/>
    </sheetView>
  </sheetViews>
  <sheetFormatPr defaultColWidth="10.875" defaultRowHeight="15.75" x14ac:dyDescent="0.25"/>
  <cols>
    <col min="1" max="1" width="7.375" style="11" customWidth="1"/>
    <col min="2" max="2" width="10.125" style="11" bestFit="1" customWidth="1"/>
    <col min="3" max="11" width="7" style="11" customWidth="1"/>
    <col min="12" max="16384" width="10.875" style="11"/>
  </cols>
  <sheetData>
    <row r="1" spans="2:11" x14ac:dyDescent="0.25">
      <c r="C1" s="15"/>
    </row>
    <row r="2" spans="2:11" ht="15.95" customHeight="1" x14ac:dyDescent="0.25">
      <c r="B2" s="34" t="s">
        <v>10</v>
      </c>
      <c r="C2" s="34"/>
      <c r="D2" s="34"/>
      <c r="E2" s="34"/>
      <c r="F2" s="34"/>
      <c r="G2" s="34"/>
      <c r="H2" s="34"/>
      <c r="I2" s="34"/>
      <c r="J2" s="34"/>
      <c r="K2" s="34"/>
    </row>
    <row r="3" spans="2:11" ht="17.100000000000001" customHeight="1" x14ac:dyDescent="0.25"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2:11" x14ac:dyDescent="0.25">
      <c r="K4" s="11" t="s">
        <v>45</v>
      </c>
    </row>
    <row r="5" spans="2:11" x14ac:dyDescent="0.25">
      <c r="B5" s="11" t="s">
        <v>28</v>
      </c>
      <c r="C5" s="1" t="s">
        <v>61</v>
      </c>
      <c r="D5" s="1" t="s">
        <v>69</v>
      </c>
      <c r="E5" s="1" t="s">
        <v>70</v>
      </c>
      <c r="F5" s="1" t="s">
        <v>3</v>
      </c>
      <c r="G5" s="1" t="s">
        <v>71</v>
      </c>
      <c r="H5" s="1" t="s">
        <v>4</v>
      </c>
      <c r="I5" s="1" t="s">
        <v>72</v>
      </c>
      <c r="J5" s="1" t="s">
        <v>5</v>
      </c>
      <c r="K5" s="1" t="s">
        <v>1</v>
      </c>
    </row>
    <row r="6" spans="2:11" x14ac:dyDescent="0.25">
      <c r="B6" s="11" t="s">
        <v>32</v>
      </c>
      <c r="C6" s="1" t="s">
        <v>61</v>
      </c>
      <c r="D6" s="1" t="s">
        <v>2</v>
      </c>
      <c r="E6" s="1" t="s">
        <v>6</v>
      </c>
      <c r="F6" s="1" t="s">
        <v>7</v>
      </c>
      <c r="G6" s="1" t="s">
        <v>73</v>
      </c>
      <c r="H6" s="1" t="s">
        <v>62</v>
      </c>
      <c r="I6" s="1" t="s">
        <v>63</v>
      </c>
      <c r="J6" s="1" t="s">
        <v>65</v>
      </c>
      <c r="K6" s="1" t="s">
        <v>1</v>
      </c>
    </row>
    <row r="7" spans="2:11" x14ac:dyDescent="0.25">
      <c r="B7" s="11" t="s">
        <v>33</v>
      </c>
      <c r="C7" s="1" t="s">
        <v>61</v>
      </c>
      <c r="D7" s="1" t="s">
        <v>2</v>
      </c>
      <c r="E7" s="1" t="s">
        <v>6</v>
      </c>
      <c r="F7" s="1" t="s">
        <v>7</v>
      </c>
      <c r="G7" s="1" t="s">
        <v>73</v>
      </c>
      <c r="H7" s="1" t="s">
        <v>62</v>
      </c>
      <c r="I7" s="1" t="s">
        <v>63</v>
      </c>
      <c r="J7" s="1" t="s">
        <v>65</v>
      </c>
      <c r="K7" s="1" t="s">
        <v>1</v>
      </c>
    </row>
    <row r="8" spans="2:11" x14ac:dyDescent="0.25">
      <c r="B8" s="11" t="s">
        <v>34</v>
      </c>
      <c r="C8" s="1" t="s">
        <v>61</v>
      </c>
      <c r="D8" s="1" t="s">
        <v>2</v>
      </c>
      <c r="E8" s="1" t="s">
        <v>6</v>
      </c>
      <c r="F8" s="1" t="s">
        <v>7</v>
      </c>
      <c r="G8" s="1" t="s">
        <v>73</v>
      </c>
      <c r="H8" s="1" t="s">
        <v>62</v>
      </c>
      <c r="I8" s="1" t="s">
        <v>63</v>
      </c>
      <c r="J8" s="1" t="s">
        <v>65</v>
      </c>
      <c r="K8" s="1" t="s">
        <v>1</v>
      </c>
    </row>
    <row r="9" spans="2:11" x14ac:dyDescent="0.25">
      <c r="B9" s="11" t="s">
        <v>35</v>
      </c>
      <c r="C9" s="1" t="s">
        <v>61</v>
      </c>
      <c r="D9" s="1" t="s">
        <v>2</v>
      </c>
      <c r="E9" s="1" t="s">
        <v>6</v>
      </c>
      <c r="F9" s="1" t="s">
        <v>7</v>
      </c>
      <c r="G9" s="1" t="s">
        <v>73</v>
      </c>
      <c r="H9" s="1" t="s">
        <v>62</v>
      </c>
      <c r="I9" s="1" t="s">
        <v>63</v>
      </c>
      <c r="J9" s="1" t="s">
        <v>65</v>
      </c>
      <c r="K9" s="1" t="s">
        <v>1</v>
      </c>
    </row>
    <row r="10" spans="2:11" x14ac:dyDescent="0.25">
      <c r="B10" s="11" t="s">
        <v>36</v>
      </c>
      <c r="C10" s="1" t="s">
        <v>61</v>
      </c>
      <c r="D10" s="1" t="s">
        <v>2</v>
      </c>
      <c r="E10" s="1" t="s">
        <v>6</v>
      </c>
      <c r="F10" s="1" t="s">
        <v>7</v>
      </c>
      <c r="G10" s="1" t="s">
        <v>73</v>
      </c>
      <c r="H10" s="1" t="s">
        <v>62</v>
      </c>
      <c r="I10" s="1" t="s">
        <v>63</v>
      </c>
      <c r="J10" s="1" t="s">
        <v>65</v>
      </c>
      <c r="K10" s="1" t="s">
        <v>1</v>
      </c>
    </row>
    <row r="11" spans="2:11" x14ac:dyDescent="0.25">
      <c r="B11" s="11" t="s">
        <v>37</v>
      </c>
      <c r="C11" s="1" t="s">
        <v>61</v>
      </c>
      <c r="D11" s="1" t="s">
        <v>2</v>
      </c>
      <c r="E11" s="1" t="s">
        <v>0</v>
      </c>
      <c r="F11" s="1" t="s">
        <v>66</v>
      </c>
      <c r="G11" s="1" t="s">
        <v>62</v>
      </c>
      <c r="H11" s="1" t="s">
        <v>74</v>
      </c>
      <c r="I11" s="1" t="s">
        <v>64</v>
      </c>
      <c r="J11" s="1" t="s">
        <v>65</v>
      </c>
      <c r="K11" s="1" t="s">
        <v>1</v>
      </c>
    </row>
    <row r="13" spans="2:11" x14ac:dyDescent="0.25">
      <c r="B13" s="11" t="s">
        <v>38</v>
      </c>
      <c r="C13" s="11" t="str">
        <f>DEC2HEX(_xlfn.BITLSHIFT(ROUND(HEX2DEC(C5)/SQRT(3),0),2))</f>
        <v>0</v>
      </c>
      <c r="D13" s="11" t="str">
        <f t="shared" ref="D13:K19" si="0">DEC2HEX(_xlfn.BITLSHIFT(ROUND(HEX2DEC(D5)/SQRT(3),0),2))</f>
        <v>EC</v>
      </c>
      <c r="E13" s="11" t="str">
        <f t="shared" si="0"/>
        <v>260</v>
      </c>
      <c r="F13" s="11" t="str">
        <f t="shared" si="0"/>
        <v>424</v>
      </c>
      <c r="G13" s="11" t="str">
        <f t="shared" si="0"/>
        <v>5F4</v>
      </c>
      <c r="H13" s="11" t="str">
        <f t="shared" si="0"/>
        <v>7C8</v>
      </c>
      <c r="I13" s="11" t="str">
        <f t="shared" si="0"/>
        <v>A04</v>
      </c>
      <c r="J13" s="22" t="str">
        <f t="shared" si="0"/>
        <v>DF8</v>
      </c>
      <c r="K13" s="22" t="str">
        <f t="shared" si="0"/>
        <v>F00</v>
      </c>
    </row>
    <row r="14" spans="2:11" x14ac:dyDescent="0.25">
      <c r="B14" s="11" t="s">
        <v>39</v>
      </c>
      <c r="C14" s="11" t="str">
        <f t="shared" ref="C14:C19" si="1">DEC2HEX(_xlfn.BITLSHIFT(ROUND(HEX2DEC(C6)/SQRT(3),0),2))</f>
        <v>0</v>
      </c>
      <c r="D14" s="11" t="str">
        <f t="shared" si="0"/>
        <v>200</v>
      </c>
      <c r="E14" s="11" t="str">
        <f t="shared" si="0"/>
        <v>300</v>
      </c>
      <c r="F14" s="11" t="str">
        <f t="shared" si="0"/>
        <v>478</v>
      </c>
      <c r="G14" s="11" t="str">
        <f t="shared" si="0"/>
        <v>5EC</v>
      </c>
      <c r="H14" s="11" t="str">
        <f t="shared" si="0"/>
        <v>800</v>
      </c>
      <c r="I14" s="11" t="str">
        <f t="shared" si="0"/>
        <v>A00</v>
      </c>
      <c r="J14" s="22" t="str">
        <f t="shared" si="0"/>
        <v>E00</v>
      </c>
      <c r="K14" s="22" t="str">
        <f t="shared" si="0"/>
        <v>F00</v>
      </c>
    </row>
    <row r="15" spans="2:11" x14ac:dyDescent="0.25">
      <c r="B15" s="11" t="s">
        <v>40</v>
      </c>
      <c r="C15" s="11" t="str">
        <f t="shared" si="1"/>
        <v>0</v>
      </c>
      <c r="D15" s="11" t="str">
        <f t="shared" si="0"/>
        <v>200</v>
      </c>
      <c r="E15" s="11" t="str">
        <f t="shared" si="0"/>
        <v>300</v>
      </c>
      <c r="F15" s="11" t="str">
        <f t="shared" si="0"/>
        <v>478</v>
      </c>
      <c r="G15" s="11" t="str">
        <f t="shared" si="0"/>
        <v>5EC</v>
      </c>
      <c r="H15" s="11" t="str">
        <f t="shared" si="0"/>
        <v>800</v>
      </c>
      <c r="I15" s="11" t="str">
        <f t="shared" si="0"/>
        <v>A00</v>
      </c>
      <c r="J15" s="22" t="str">
        <f t="shared" si="0"/>
        <v>E00</v>
      </c>
      <c r="K15" s="22" t="str">
        <f t="shared" si="0"/>
        <v>F00</v>
      </c>
    </row>
    <row r="16" spans="2:11" x14ac:dyDescent="0.25">
      <c r="B16" s="11" t="s">
        <v>41</v>
      </c>
      <c r="C16" s="11" t="str">
        <f t="shared" si="1"/>
        <v>0</v>
      </c>
      <c r="D16" s="11" t="str">
        <f t="shared" si="0"/>
        <v>200</v>
      </c>
      <c r="E16" s="11" t="str">
        <f t="shared" si="0"/>
        <v>300</v>
      </c>
      <c r="F16" s="11" t="str">
        <f t="shared" si="0"/>
        <v>478</v>
      </c>
      <c r="G16" s="11" t="str">
        <f t="shared" si="0"/>
        <v>5EC</v>
      </c>
      <c r="H16" s="11" t="str">
        <f t="shared" si="0"/>
        <v>800</v>
      </c>
      <c r="I16" s="11" t="str">
        <f t="shared" si="0"/>
        <v>A00</v>
      </c>
      <c r="J16" s="22" t="str">
        <f t="shared" si="0"/>
        <v>E00</v>
      </c>
      <c r="K16" s="22" t="str">
        <f t="shared" si="0"/>
        <v>F00</v>
      </c>
    </row>
    <row r="17" spans="2:11" x14ac:dyDescent="0.25">
      <c r="B17" s="11" t="s">
        <v>42</v>
      </c>
      <c r="C17" s="11" t="str">
        <f t="shared" si="1"/>
        <v>0</v>
      </c>
      <c r="D17" s="11" t="str">
        <f t="shared" si="0"/>
        <v>200</v>
      </c>
      <c r="E17" s="11" t="str">
        <f t="shared" si="0"/>
        <v>300</v>
      </c>
      <c r="F17" s="11" t="str">
        <f t="shared" si="0"/>
        <v>478</v>
      </c>
      <c r="G17" s="11" t="str">
        <f t="shared" si="0"/>
        <v>5EC</v>
      </c>
      <c r="H17" s="11" t="str">
        <f t="shared" si="0"/>
        <v>800</v>
      </c>
      <c r="I17" s="11" t="str">
        <f t="shared" si="0"/>
        <v>A00</v>
      </c>
      <c r="J17" s="22" t="str">
        <f t="shared" si="0"/>
        <v>E00</v>
      </c>
      <c r="K17" s="22" t="str">
        <f t="shared" si="0"/>
        <v>F00</v>
      </c>
    </row>
    <row r="18" spans="2:11" x14ac:dyDescent="0.25">
      <c r="B18" s="11" t="s">
        <v>43</v>
      </c>
      <c r="C18" s="11" t="str">
        <f t="shared" si="1"/>
        <v>0</v>
      </c>
      <c r="D18" s="11" t="str">
        <f t="shared" si="0"/>
        <v>200</v>
      </c>
      <c r="E18" s="11" t="str">
        <f t="shared" si="0"/>
        <v>300</v>
      </c>
      <c r="F18" s="11" t="str">
        <f t="shared" si="0"/>
        <v>478</v>
      </c>
      <c r="G18" s="11" t="str">
        <f t="shared" si="0"/>
        <v>5EC</v>
      </c>
      <c r="H18" s="11" t="str">
        <f t="shared" si="0"/>
        <v>800</v>
      </c>
      <c r="I18" s="11" t="str">
        <f t="shared" si="0"/>
        <v>A00</v>
      </c>
      <c r="J18" s="22" t="str">
        <f t="shared" si="0"/>
        <v>E00</v>
      </c>
      <c r="K18" s="22" t="str">
        <f t="shared" si="0"/>
        <v>F00</v>
      </c>
    </row>
    <row r="19" spans="2:11" x14ac:dyDescent="0.25">
      <c r="B19" s="11" t="s">
        <v>44</v>
      </c>
      <c r="C19" s="11" t="str">
        <f t="shared" si="1"/>
        <v>0</v>
      </c>
      <c r="D19" s="11" t="str">
        <f t="shared" si="0"/>
        <v>200</v>
      </c>
      <c r="E19" s="11" t="str">
        <f t="shared" si="0"/>
        <v>400</v>
      </c>
      <c r="F19" s="11" t="str">
        <f t="shared" si="0"/>
        <v>600</v>
      </c>
      <c r="G19" s="11" t="str">
        <f t="shared" si="0"/>
        <v>800</v>
      </c>
      <c r="H19" s="11" t="str">
        <f t="shared" si="0"/>
        <v>A00</v>
      </c>
      <c r="I19" s="11" t="str">
        <f t="shared" si="0"/>
        <v>C00</v>
      </c>
      <c r="J19" s="11" t="str">
        <f t="shared" si="0"/>
        <v>E00</v>
      </c>
      <c r="K19" s="22" t="str">
        <f t="shared" si="0"/>
        <v>F00</v>
      </c>
    </row>
    <row r="21" spans="2:11" x14ac:dyDescent="0.25">
      <c r="B21" s="11" t="s">
        <v>46</v>
      </c>
      <c r="C21" s="17" t="s">
        <v>61</v>
      </c>
      <c r="D21" s="17" t="s">
        <v>75</v>
      </c>
      <c r="E21" s="17" t="s">
        <v>76</v>
      </c>
      <c r="F21" s="17" t="s">
        <v>77</v>
      </c>
      <c r="G21" s="17" t="s">
        <v>78</v>
      </c>
      <c r="H21" s="17" t="s">
        <v>79</v>
      </c>
      <c r="I21" s="17" t="s">
        <v>67</v>
      </c>
      <c r="J21" s="17" t="s">
        <v>67</v>
      </c>
      <c r="K21" s="17" t="s">
        <v>67</v>
      </c>
    </row>
    <row r="22" spans="2:11" x14ac:dyDescent="0.25">
      <c r="B22" s="11" t="s">
        <v>47</v>
      </c>
      <c r="C22" s="17" t="s">
        <v>61</v>
      </c>
      <c r="D22" s="17" t="s">
        <v>80</v>
      </c>
      <c r="E22" s="17" t="s">
        <v>24</v>
      </c>
      <c r="F22" s="17" t="s">
        <v>25</v>
      </c>
      <c r="G22" s="17" t="s">
        <v>26</v>
      </c>
      <c r="H22" s="17" t="s">
        <v>81</v>
      </c>
      <c r="I22" s="17" t="s">
        <v>67</v>
      </c>
      <c r="J22" s="17" t="s">
        <v>67</v>
      </c>
      <c r="K22" s="17" t="s">
        <v>67</v>
      </c>
    </row>
    <row r="23" spans="2:11" x14ac:dyDescent="0.25">
      <c r="B23" s="11" t="s">
        <v>48</v>
      </c>
      <c r="C23" s="17" t="s">
        <v>61</v>
      </c>
      <c r="D23" s="17" t="s">
        <v>80</v>
      </c>
      <c r="E23" s="17" t="s">
        <v>24</v>
      </c>
      <c r="F23" s="17" t="s">
        <v>25</v>
      </c>
      <c r="G23" s="17" t="s">
        <v>26</v>
      </c>
      <c r="H23" s="17" t="s">
        <v>81</v>
      </c>
      <c r="I23" s="17" t="s">
        <v>67</v>
      </c>
      <c r="J23" s="17" t="s">
        <v>67</v>
      </c>
      <c r="K23" s="17" t="s">
        <v>67</v>
      </c>
    </row>
    <row r="24" spans="2:11" x14ac:dyDescent="0.25">
      <c r="B24" s="11" t="s">
        <v>49</v>
      </c>
      <c r="C24" s="17" t="s">
        <v>61</v>
      </c>
      <c r="D24" s="17" t="s">
        <v>80</v>
      </c>
      <c r="E24" s="17" t="s">
        <v>24</v>
      </c>
      <c r="F24" s="17" t="s">
        <v>25</v>
      </c>
      <c r="G24" s="17" t="s">
        <v>26</v>
      </c>
      <c r="H24" s="17" t="s">
        <v>81</v>
      </c>
      <c r="I24" s="17" t="s">
        <v>67</v>
      </c>
      <c r="J24" s="17" t="s">
        <v>67</v>
      </c>
      <c r="K24" s="17" t="s">
        <v>67</v>
      </c>
    </row>
    <row r="25" spans="2:11" x14ac:dyDescent="0.25">
      <c r="B25" s="11" t="s">
        <v>50</v>
      </c>
      <c r="C25" s="17" t="s">
        <v>61</v>
      </c>
      <c r="D25" s="17" t="s">
        <v>80</v>
      </c>
      <c r="E25" s="17" t="s">
        <v>24</v>
      </c>
      <c r="F25" s="17" t="s">
        <v>25</v>
      </c>
      <c r="G25" s="17" t="s">
        <v>26</v>
      </c>
      <c r="H25" s="17" t="s">
        <v>81</v>
      </c>
      <c r="I25" s="17" t="s">
        <v>67</v>
      </c>
      <c r="J25" s="17" t="s">
        <v>67</v>
      </c>
      <c r="K25" s="17" t="s">
        <v>67</v>
      </c>
    </row>
    <row r="26" spans="2:11" x14ac:dyDescent="0.25">
      <c r="B26" s="11" t="s">
        <v>51</v>
      </c>
      <c r="C26" s="17" t="s">
        <v>61</v>
      </c>
      <c r="D26" s="17" t="s">
        <v>80</v>
      </c>
      <c r="E26" s="17" t="s">
        <v>24</v>
      </c>
      <c r="F26" s="17" t="s">
        <v>25</v>
      </c>
      <c r="G26" s="17" t="s">
        <v>26</v>
      </c>
      <c r="H26" s="17" t="s">
        <v>81</v>
      </c>
      <c r="I26" s="17" t="s">
        <v>67</v>
      </c>
      <c r="J26" s="17" t="s">
        <v>67</v>
      </c>
      <c r="K26" s="17" t="s">
        <v>67</v>
      </c>
    </row>
    <row r="27" spans="2:11" x14ac:dyDescent="0.25">
      <c r="B27" s="11" t="s">
        <v>52</v>
      </c>
      <c r="C27" s="16" t="s">
        <v>61</v>
      </c>
      <c r="D27" s="18" t="s">
        <v>68</v>
      </c>
      <c r="E27" s="16" t="s">
        <v>82</v>
      </c>
      <c r="F27" s="16" t="s">
        <v>83</v>
      </c>
      <c r="G27" s="16" t="s">
        <v>84</v>
      </c>
      <c r="H27" s="16" t="s">
        <v>85</v>
      </c>
      <c r="I27" s="16" t="s">
        <v>86</v>
      </c>
      <c r="J27" s="16" t="s">
        <v>87</v>
      </c>
      <c r="K27" s="16" t="s">
        <v>87</v>
      </c>
    </row>
    <row r="29" spans="2:11" x14ac:dyDescent="0.25">
      <c r="B29" s="11" t="s">
        <v>53</v>
      </c>
      <c r="C29" s="11" t="str">
        <f>C21</f>
        <v>0</v>
      </c>
      <c r="D29" s="11" t="str">
        <f t="shared" ref="D29:I29" si="2">D21</f>
        <v>2A1</v>
      </c>
      <c r="E29" s="11" t="str">
        <f t="shared" si="2"/>
        <v>692</v>
      </c>
      <c r="F29" s="11" t="str">
        <f t="shared" si="2"/>
        <v>AEE</v>
      </c>
      <c r="G29" s="11" t="str">
        <f t="shared" si="2"/>
        <v>EB6</v>
      </c>
      <c r="H29" s="11" t="str">
        <f t="shared" si="2"/>
        <v>10AE</v>
      </c>
      <c r="I29" s="11" t="str">
        <f t="shared" si="2"/>
        <v>1200</v>
      </c>
      <c r="J29" s="21" t="str">
        <f>DEC2HEX(HEX2DEC(I29)+((HEX2DEC(K29)-HEX2DEC(I29))/2))</f>
        <v>1B00</v>
      </c>
      <c r="K29" s="21" t="str">
        <f>DEC2HEX(HEX2DEC(K21)*D$37)</f>
        <v>2400</v>
      </c>
    </row>
    <row r="30" spans="2:11" x14ac:dyDescent="0.25">
      <c r="B30" s="11" t="s">
        <v>54</v>
      </c>
      <c r="C30" s="11" t="str">
        <f t="shared" ref="C30:I35" si="3">C22</f>
        <v>0</v>
      </c>
      <c r="D30" s="11" t="str">
        <f t="shared" si="3"/>
        <v>746</v>
      </c>
      <c r="E30" s="11" t="str">
        <f t="shared" si="3"/>
        <v>B04</v>
      </c>
      <c r="F30" s="11" t="str">
        <f t="shared" si="3"/>
        <v>CDF</v>
      </c>
      <c r="G30" s="11" t="str">
        <f t="shared" si="3"/>
        <v>E19</v>
      </c>
      <c r="H30" s="11" t="str">
        <f t="shared" si="3"/>
        <v>1008</v>
      </c>
      <c r="I30" s="11" t="str">
        <f t="shared" si="3"/>
        <v>1200</v>
      </c>
      <c r="J30" s="21" t="str">
        <f t="shared" ref="J30:J34" si="4">DEC2HEX(HEX2DEC(I30)+((HEX2DEC(K30)-HEX2DEC(I30))/2))</f>
        <v>1B00</v>
      </c>
      <c r="K30" s="21" t="str">
        <f t="shared" ref="K30:K35" si="5">DEC2HEX(HEX2DEC(K22)*D$37)</f>
        <v>2400</v>
      </c>
    </row>
    <row r="31" spans="2:11" x14ac:dyDescent="0.25">
      <c r="B31" s="11" t="s">
        <v>55</v>
      </c>
      <c r="C31" s="11" t="str">
        <f t="shared" si="3"/>
        <v>0</v>
      </c>
      <c r="D31" s="11" t="str">
        <f t="shared" si="3"/>
        <v>746</v>
      </c>
      <c r="E31" s="11" t="str">
        <f t="shared" si="3"/>
        <v>B04</v>
      </c>
      <c r="F31" s="11" t="str">
        <f t="shared" si="3"/>
        <v>CDF</v>
      </c>
      <c r="G31" s="11" t="str">
        <f t="shared" si="3"/>
        <v>E19</v>
      </c>
      <c r="H31" s="11" t="str">
        <f t="shared" si="3"/>
        <v>1008</v>
      </c>
      <c r="I31" s="11" t="str">
        <f t="shared" si="3"/>
        <v>1200</v>
      </c>
      <c r="J31" s="21" t="str">
        <f t="shared" si="4"/>
        <v>1B00</v>
      </c>
      <c r="K31" s="21" t="str">
        <f t="shared" si="5"/>
        <v>2400</v>
      </c>
    </row>
    <row r="32" spans="2:11" x14ac:dyDescent="0.25">
      <c r="B32" s="11" t="s">
        <v>56</v>
      </c>
      <c r="C32" s="11" t="str">
        <f t="shared" si="3"/>
        <v>0</v>
      </c>
      <c r="D32" s="11" t="str">
        <f t="shared" si="3"/>
        <v>746</v>
      </c>
      <c r="E32" s="11" t="str">
        <f t="shared" si="3"/>
        <v>B04</v>
      </c>
      <c r="F32" s="11" t="str">
        <f t="shared" si="3"/>
        <v>CDF</v>
      </c>
      <c r="G32" s="11" t="str">
        <f t="shared" si="3"/>
        <v>E19</v>
      </c>
      <c r="H32" s="11" t="str">
        <f t="shared" si="3"/>
        <v>1008</v>
      </c>
      <c r="I32" s="11" t="str">
        <f t="shared" si="3"/>
        <v>1200</v>
      </c>
      <c r="J32" s="21" t="str">
        <f t="shared" si="4"/>
        <v>1B00</v>
      </c>
      <c r="K32" s="21" t="str">
        <f t="shared" si="5"/>
        <v>2400</v>
      </c>
    </row>
    <row r="33" spans="2:11" x14ac:dyDescent="0.25">
      <c r="B33" s="11" t="s">
        <v>57</v>
      </c>
      <c r="C33" s="11" t="str">
        <f t="shared" si="3"/>
        <v>0</v>
      </c>
      <c r="D33" s="11" t="str">
        <f t="shared" si="3"/>
        <v>746</v>
      </c>
      <c r="E33" s="11" t="str">
        <f t="shared" si="3"/>
        <v>B04</v>
      </c>
      <c r="F33" s="11" t="str">
        <f t="shared" si="3"/>
        <v>CDF</v>
      </c>
      <c r="G33" s="11" t="str">
        <f t="shared" si="3"/>
        <v>E19</v>
      </c>
      <c r="H33" s="11" t="str">
        <f t="shared" si="3"/>
        <v>1008</v>
      </c>
      <c r="I33" s="11" t="str">
        <f t="shared" si="3"/>
        <v>1200</v>
      </c>
      <c r="J33" s="21" t="str">
        <f t="shared" si="4"/>
        <v>1B00</v>
      </c>
      <c r="K33" s="21" t="str">
        <f t="shared" si="5"/>
        <v>2400</v>
      </c>
    </row>
    <row r="34" spans="2:11" x14ac:dyDescent="0.25">
      <c r="B34" s="11" t="s">
        <v>58</v>
      </c>
      <c r="C34" s="11" t="str">
        <f t="shared" si="3"/>
        <v>0</v>
      </c>
      <c r="D34" s="11" t="str">
        <f t="shared" si="3"/>
        <v>746</v>
      </c>
      <c r="E34" s="11" t="str">
        <f t="shared" si="3"/>
        <v>B04</v>
      </c>
      <c r="F34" s="11" t="str">
        <f t="shared" si="3"/>
        <v>CDF</v>
      </c>
      <c r="G34" s="11" t="str">
        <f t="shared" si="3"/>
        <v>E19</v>
      </c>
      <c r="H34" s="11" t="str">
        <f t="shared" si="3"/>
        <v>1008</v>
      </c>
      <c r="I34" s="11" t="str">
        <f t="shared" si="3"/>
        <v>1200</v>
      </c>
      <c r="J34" s="21" t="str">
        <f t="shared" si="4"/>
        <v>1B00</v>
      </c>
      <c r="K34" s="21" t="str">
        <f t="shared" si="5"/>
        <v>2400</v>
      </c>
    </row>
    <row r="35" spans="2:11" x14ac:dyDescent="0.25">
      <c r="B35" s="11" t="s">
        <v>59</v>
      </c>
      <c r="C35" s="11" t="str">
        <f t="shared" si="3"/>
        <v>0</v>
      </c>
      <c r="D35" s="11" t="str">
        <f t="shared" si="3"/>
        <v>6B3</v>
      </c>
      <c r="E35" s="11" t="str">
        <f t="shared" si="3"/>
        <v>B1A</v>
      </c>
      <c r="F35" s="11" t="str">
        <f t="shared" si="3"/>
        <v>CCD</v>
      </c>
      <c r="G35" s="11" t="str">
        <f t="shared" si="3"/>
        <v>E9A</v>
      </c>
      <c r="H35" s="11" t="str">
        <f t="shared" si="3"/>
        <v>104D</v>
      </c>
      <c r="I35" s="21" t="str">
        <f>DEC2HEX(HEX2DEC(H35)+((HEX2DEC(K35)-HEX2DEC(H35))/3*1))</f>
        <v>16C4</v>
      </c>
      <c r="J35" s="21" t="str">
        <f>DEC2HEX(HEX2DEC(H35)+((HEX2DEC(K35)-HEX2DEC(H35))/3*2))</f>
        <v>1D3C</v>
      </c>
      <c r="K35" s="21" t="str">
        <f t="shared" si="5"/>
        <v>23B4</v>
      </c>
    </row>
    <row r="37" spans="2:11" x14ac:dyDescent="0.25">
      <c r="B37" s="35" t="s">
        <v>27</v>
      </c>
      <c r="C37" s="35"/>
      <c r="D37" s="16">
        <v>2</v>
      </c>
    </row>
    <row r="38" spans="2:11" x14ac:dyDescent="0.25">
      <c r="B38" s="35" t="s">
        <v>9</v>
      </c>
      <c r="C38" s="35"/>
      <c r="D38" s="16" t="s">
        <v>8</v>
      </c>
    </row>
    <row r="39" spans="2:11" x14ac:dyDescent="0.25">
      <c r="B39" s="36" t="s">
        <v>23</v>
      </c>
      <c r="C39" s="36"/>
      <c r="D39" s="17">
        <v>1</v>
      </c>
    </row>
    <row r="40" spans="2:11" ht="16.5" thickBot="1" x14ac:dyDescent="0.3"/>
    <row r="41" spans="2:11" ht="50.1" customHeight="1" thickBot="1" x14ac:dyDescent="0.3">
      <c r="B41" s="37" t="str">
        <f>"if steerConfigIndex == 1: ret.lateralParams.torqueBP, ret.lateralParams.torqueV = [[0x" &amp; C29 &amp; ", 0x" &amp; D29 &amp; ", 0x" &amp; E29 &amp; ", 0x" &amp;F29 &amp; ", 0x" &amp; G29 &amp; ", 0x" &amp; H29 &amp; ", 0x" &amp; I29 &amp; ", 0x" &amp; J29 &amp; ", 0x" &amp; K29 &amp; "], [0x" &amp; C13 &amp; ", 0x" &amp; D13 &amp; ", 0x" &amp; E13 &amp; ", 0x" &amp;F13 &amp; ", 0x" &amp; G13 &amp; ", 0x" &amp; H13 &amp; ", 0x" &amp; I13 &amp; ", 0x" &amp; J13 &amp; ", 0x" &amp; K13 &amp; "]]"</f>
        <v>if steerConfigIndex == 1: ret.lateralParams.torqueBP, ret.lateralParams.torqueV = [[0x0, 0x2A1, 0x692, 0xAEE, 0xEB6, 0x10AE, 0x1200, 0x1B00, 0x2400], [0x0, 0xEC, 0x260, 0x424, 0x5F4, 0x7C8, 0xA04, 0xDF8, 0xF00]]</v>
      </c>
      <c r="C41" s="38"/>
      <c r="D41" s="38"/>
      <c r="E41" s="38"/>
      <c r="F41" s="38"/>
      <c r="G41" s="38"/>
      <c r="H41" s="38"/>
      <c r="I41" s="38"/>
      <c r="J41" s="38"/>
      <c r="K41" s="39"/>
    </row>
    <row r="42" spans="2:11" ht="50.1" customHeight="1" thickBot="1" x14ac:dyDescent="0.3">
      <c r="B42" s="37" t="str">
        <f>"elif steerConfigIndex in [2, 3, 4, 5, 6]: ret.lateralParams.torqueBP, ret.lateralParams.torqueV = [[0x" &amp; C31 &amp; ", 0x" &amp; D31 &amp; ", 0x" &amp; E31 &amp; ", 0x" &amp;F31 &amp; ", 0x" &amp; G31 &amp; ", 0x" &amp; H31 &amp; ", 0x" &amp; I31 &amp; ", 0x" &amp; J31 &amp; ", 0x" &amp; K31 &amp; "], [0x" &amp; C15 &amp; ", 0x" &amp; D15 &amp; ", 0x" &amp; E15 &amp; ", 0x" &amp;F15 &amp; ", 0x" &amp; G15 &amp; ", 0x" &amp; H15 &amp; ", 0x" &amp; I15 &amp; ", 0x" &amp; J15 &amp; ", 0x" &amp; K15 &amp; "]]"</f>
        <v>elif steerConfigIndex in [2, 3, 4, 5, 6]: ret.lateralParams.torqueBP, ret.lateralParams.torqueV = [[0x0, 0x746, 0xB04, 0xCDF, 0xE19, 0x1008, 0x1200, 0x1B00, 0x2400], [0x0, 0x200, 0x300, 0x478, 0x5EC, 0x800, 0xA00, 0xE00, 0xF00]]</v>
      </c>
      <c r="C42" s="38"/>
      <c r="D42" s="38"/>
      <c r="E42" s="38"/>
      <c r="F42" s="38"/>
      <c r="G42" s="38"/>
      <c r="H42" s="38"/>
      <c r="I42" s="38"/>
      <c r="J42" s="38"/>
      <c r="K42" s="39"/>
    </row>
    <row r="43" spans="2:11" ht="50.1" customHeight="1" thickBot="1" x14ac:dyDescent="0.3">
      <c r="B43" s="37" t="str">
        <f>"elif steerConfigIndex == 7: ret.lateralParams.torqueBP, ret.lateralParams.torqueV = [[0x" &amp; C35 &amp; ", 0x" &amp; D35 &amp; ", 0x" &amp; E35 &amp; ", 0x" &amp;F35 &amp; ", 0x" &amp; G35 &amp; ", 0x" &amp; H35 &amp; ", 0x" &amp; I35 &amp; ", 0x" &amp; J35 &amp; ", 0x" &amp; K35 &amp; "], [0x" &amp; C19 &amp; ", 0x" &amp; D19 &amp; ", 0x" &amp; E19 &amp; ", 0x" &amp;F19 &amp; ", 0x" &amp; G19 &amp; ", 0x" &amp; H19 &amp; ", 0x" &amp; I19 &amp; ", 0x" &amp; J19 &amp; ", 0x" &amp; K19 &amp; "]]"</f>
        <v>elif steerConfigIndex == 7: ret.lateralParams.torqueBP, ret.lateralParams.torqueV = [[0x0, 0x6B3, 0xB1A, 0xCCD, 0xE9A, 0x104D, 0x16C4, 0x1D3C, 0x23B4], [0x0, 0x200, 0x400, 0x600, 0x800, 0xA00, 0xC00, 0xE00, 0xF00]]</v>
      </c>
      <c r="C43" s="38"/>
      <c r="D43" s="38"/>
      <c r="E43" s="38"/>
      <c r="F43" s="38"/>
      <c r="G43" s="38"/>
      <c r="H43" s="38"/>
      <c r="I43" s="38"/>
      <c r="J43" s="38"/>
      <c r="K43" s="39"/>
    </row>
    <row r="44" spans="2:11" ht="16.5" thickBot="1" x14ac:dyDescent="0.3">
      <c r="B44" s="19"/>
      <c r="C44" s="12"/>
      <c r="D44" s="19"/>
      <c r="E44" s="19"/>
      <c r="F44" s="19"/>
      <c r="G44" s="19"/>
      <c r="H44" s="19"/>
      <c r="I44" s="19"/>
      <c r="J44" s="19"/>
      <c r="K44" s="19"/>
    </row>
    <row r="45" spans="2:11" ht="51.95" customHeight="1" thickBot="1" x14ac:dyDescent="0.3">
      <c r="B45" s="37" t="str">
        <f>"if steerConfigIndex == 1: ret.lateralParams.torqueBP, ret.lateralParams.torqueV = [[0x" &amp; C21 &amp; ", 0x" &amp; D21 &amp; ", 0x" &amp; E21 &amp; ", 0x" &amp;F21 &amp; ", 0x" &amp; G21 &amp; ", 0x" &amp; H21 &amp; ", 0x" &amp; I21 &amp; "], [0x" &amp; C13 &amp; ", 0x" &amp; D13 &amp; ", 0x" &amp; E13 &amp; ", 0x" &amp;F13 &amp; ", 0x" &amp; G13 &amp; ", 0x" &amp; H13 &amp; ", 0x" &amp; I13 &amp;"]]"</f>
        <v>if steerConfigIndex == 1: ret.lateralParams.torqueBP, ret.lateralParams.torqueV = [[0x0, 0x2A1, 0x692, 0xAEE, 0xEB6, 0x10AE, 0x1200], [0x0, 0xEC, 0x260, 0x424, 0x5F4, 0x7C8, 0xA04]]</v>
      </c>
      <c r="C45" s="38"/>
      <c r="D45" s="38"/>
      <c r="E45" s="38"/>
      <c r="F45" s="38"/>
      <c r="G45" s="38"/>
      <c r="H45" s="38"/>
      <c r="I45" s="38"/>
      <c r="J45" s="38"/>
      <c r="K45" s="39"/>
    </row>
    <row r="46" spans="2:11" ht="51.95" customHeight="1" x14ac:dyDescent="0.25">
      <c r="B46" s="40" t="str">
        <f>"elif steerConfigIndex in [2, 3, 4, 5, 6]: ret.lateralParams.torqueBP, ret.lateralParams.torqueV = [[0x" &amp; C22 &amp; ", 0x" &amp; D22 &amp; ", 0x" &amp; E22 &amp; ", 0x" &amp;F22 &amp; ", 0x" &amp; G22 &amp; ", 0x" &amp; H22 &amp; ", 0x" &amp; I22 &amp; "], [0x" &amp; C14 &amp; ", 0x" &amp; D14 &amp; ", 0x" &amp; E14 &amp; ", 0x" &amp;F14 &amp; ", 0x" &amp; G14 &amp; ", 0x" &amp; H14 &amp; ", 0x" &amp; I14 &amp; "]]"</f>
        <v>elif steerConfigIndex in [2, 3, 4, 5, 6]: ret.lateralParams.torqueBP, ret.lateralParams.torqueV = [[0x0, 0x746, 0xB04, 0xCDF, 0xE19, 0x1008, 0x1200], [0x0, 0x200, 0x300, 0x478, 0x5EC, 0x800, 0xA00]]</v>
      </c>
      <c r="C46" s="41"/>
      <c r="D46" s="41"/>
      <c r="E46" s="41"/>
      <c r="F46" s="41"/>
      <c r="G46" s="41"/>
      <c r="H46" s="41"/>
      <c r="I46" s="41"/>
      <c r="J46" s="41"/>
      <c r="K46" s="42"/>
    </row>
    <row r="47" spans="2:11" ht="51.95" customHeight="1" thickBot="1" x14ac:dyDescent="0.3">
      <c r="B47" s="43" t="str">
        <f>"elif steerConfigIndex == 7: ret.lateralParams.torqueBP, ret.lateralParams.torqueV = [[0x" &amp; C27 &amp; ", 0x" &amp; D27 &amp; ", 0x" &amp; E27 &amp; ", 0x" &amp;F27 &amp; ", 0x" &amp; G27 &amp; ", 0x" &amp; H27 &amp; ", 0x" &amp; I27 &amp; ", 0x" &amp; J27 &amp; "], [0x" &amp; C19 &amp; ", 0x" &amp; D19 &amp; ", 0x" &amp; E19 &amp; ", 0x" &amp;F19 &amp; ", 0x" &amp; G19 &amp; ", 0x" &amp; H19 &amp; ", 0x" &amp; I19 &amp; ", 0x" &amp; J19 &amp; "]]"</f>
        <v>elif steerConfigIndex == 7: ret.lateralParams.torqueBP, ret.lateralParams.torqueV = [[0x0, 0x6B3, 0xB1A, 0xCCD, 0xE9A, 0x104D, 0x119A, 0x11DA], [0x0, 0x200, 0x400, 0x600, 0x800, 0xA00, 0xC00, 0xE00]]</v>
      </c>
      <c r="C47" s="44"/>
      <c r="D47" s="44"/>
      <c r="E47" s="44"/>
      <c r="F47" s="44"/>
      <c r="G47" s="44"/>
      <c r="H47" s="44"/>
      <c r="I47" s="44"/>
      <c r="J47" s="44"/>
      <c r="K47" s="45"/>
    </row>
    <row r="48" spans="2:11" ht="16.5" thickBot="1" x14ac:dyDescent="0.3"/>
    <row r="49" spans="2:11" ht="16.5" thickBot="1" x14ac:dyDescent="0.3">
      <c r="B49" s="31" t="str">
        <f>"'0x000" &amp; C21 &amp; ", 0x0" &amp; D21 &amp; ", 0x0" &amp; E21 &amp; ", 0x0" &amp;F21 &amp; ", 0x0" &amp; G21 &amp; ", 0x" &amp; H21 &amp; ", 0x" &amp; I21 &amp; ", 0x" &amp; J21 &amp; ", 0x" &amp; K21 &amp; "', # " &amp; B21</f>
        <v>'0x0000, 0x02A1, 0x0692, 0x0AEE, 0x0EB6, 0x10AE, 0x1200, 0x1200, 0x1200', # original torque_table row 1</v>
      </c>
      <c r="C49" s="32"/>
      <c r="D49" s="32"/>
      <c r="E49" s="32"/>
      <c r="F49" s="32"/>
      <c r="G49" s="32"/>
      <c r="H49" s="32"/>
      <c r="I49" s="32"/>
      <c r="J49" s="32"/>
      <c r="K49" s="33"/>
    </row>
    <row r="50" spans="2:11" ht="16.5" thickBot="1" x14ac:dyDescent="0.3">
      <c r="B50" s="31" t="str">
        <f t="shared" ref="B50:B55" si="6">"'0x000" &amp; C22 &amp; ", 0x0" &amp; D22 &amp; ", 0x0" &amp; E22 &amp; ", 0x0" &amp;F22 &amp; ", 0x0" &amp; G22 &amp; ", 0x" &amp; H22 &amp; ", 0x" &amp; I22 &amp; ", 0x" &amp; J22 &amp; ", 0x" &amp; K22 &amp; "', # " &amp; B22</f>
        <v>'0x0000, 0x0746, 0x0B04, 0x0CDF, 0x0E19, 0x1008, 0x1200, 0x1200, 0x1200', # original torque_table row 2</v>
      </c>
      <c r="C50" s="32"/>
      <c r="D50" s="32"/>
      <c r="E50" s="32"/>
      <c r="F50" s="32"/>
      <c r="G50" s="32"/>
      <c r="H50" s="32"/>
      <c r="I50" s="32"/>
      <c r="J50" s="32"/>
      <c r="K50" s="33"/>
    </row>
    <row r="51" spans="2:11" ht="16.5" thickBot="1" x14ac:dyDescent="0.3">
      <c r="B51" s="31" t="str">
        <f t="shared" si="6"/>
        <v>'0x0000, 0x0746, 0x0B04, 0x0CDF, 0x0E19, 0x1008, 0x1200, 0x1200, 0x1200', # original torque_table row 3</v>
      </c>
      <c r="C51" s="32"/>
      <c r="D51" s="32"/>
      <c r="E51" s="32"/>
      <c r="F51" s="32"/>
      <c r="G51" s="32"/>
      <c r="H51" s="32"/>
      <c r="I51" s="32"/>
      <c r="J51" s="32"/>
      <c r="K51" s="33"/>
    </row>
    <row r="52" spans="2:11" ht="16.5" thickBot="1" x14ac:dyDescent="0.3">
      <c r="B52" s="31" t="str">
        <f t="shared" si="6"/>
        <v>'0x0000, 0x0746, 0x0B04, 0x0CDF, 0x0E19, 0x1008, 0x1200, 0x1200, 0x1200', # original torque_table row 4</v>
      </c>
      <c r="C52" s="32"/>
      <c r="D52" s="32"/>
      <c r="E52" s="32"/>
      <c r="F52" s="32"/>
      <c r="G52" s="32"/>
      <c r="H52" s="32"/>
      <c r="I52" s="32"/>
      <c r="J52" s="32"/>
      <c r="K52" s="33"/>
    </row>
    <row r="53" spans="2:11" ht="16.5" thickBot="1" x14ac:dyDescent="0.3">
      <c r="B53" s="31" t="str">
        <f t="shared" si="6"/>
        <v>'0x0000, 0x0746, 0x0B04, 0x0CDF, 0x0E19, 0x1008, 0x1200, 0x1200, 0x1200', # original torque_table row 5</v>
      </c>
      <c r="C53" s="32"/>
      <c r="D53" s="32"/>
      <c r="E53" s="32"/>
      <c r="F53" s="32"/>
      <c r="G53" s="32"/>
      <c r="H53" s="32"/>
      <c r="I53" s="32"/>
      <c r="J53" s="32"/>
      <c r="K53" s="33"/>
    </row>
    <row r="54" spans="2:11" ht="16.5" thickBot="1" x14ac:dyDescent="0.3">
      <c r="B54" s="31" t="str">
        <f t="shared" si="6"/>
        <v>'0x0000, 0x0746, 0x0B04, 0x0CDF, 0x0E19, 0x1008, 0x1200, 0x1200, 0x1200', # original torque_table row 6</v>
      </c>
      <c r="C54" s="32"/>
      <c r="D54" s="32"/>
      <c r="E54" s="32"/>
      <c r="F54" s="32"/>
      <c r="G54" s="32"/>
      <c r="H54" s="32"/>
      <c r="I54" s="32"/>
      <c r="J54" s="32"/>
      <c r="K54" s="33"/>
    </row>
    <row r="55" spans="2:11" ht="16.5" thickBot="1" x14ac:dyDescent="0.3">
      <c r="B55" s="31" t="str">
        <f t="shared" si="6"/>
        <v>'0x0000, 0x06B3, 0x0B1A, 0x0CCD, 0x0E9A, 0x104D, 0x119A, 0x11DA, 0x11DA', # original torque_table row 7</v>
      </c>
      <c r="C55" s="32"/>
      <c r="D55" s="32"/>
      <c r="E55" s="32"/>
      <c r="F55" s="32"/>
      <c r="G55" s="32"/>
      <c r="H55" s="32"/>
      <c r="I55" s="32"/>
      <c r="J55" s="32"/>
      <c r="K55" s="33"/>
    </row>
    <row r="56" spans="2:11" ht="16.5" thickBot="1" x14ac:dyDescent="0.3"/>
    <row r="57" spans="2:11" ht="16.5" thickBot="1" x14ac:dyDescent="0.3">
      <c r="B57" s="31" t="str">
        <f>"'0x000" &amp; C29 &amp; ", 0x0" &amp; D29 &amp; ", 0x0" &amp; E29 &amp; ", 0x0" &amp;F29 &amp; ", 0x0" &amp; G29 &amp; ", 0x" &amp; H29 &amp; ", 0x" &amp; I29 &amp; ", 0x" &amp; J29 &amp; ", 0x" &amp; K29 &amp; "', # " &amp; B29</f>
        <v>'0x0000, 0x02A1, 0x0692, 0x0AEE, 0x0EB6, 0x10AE, 0x1200, 0x1B00, 0x2400', # new torque_table row 1</v>
      </c>
      <c r="C57" s="32"/>
      <c r="D57" s="32"/>
      <c r="E57" s="32"/>
      <c r="F57" s="32"/>
      <c r="G57" s="32"/>
      <c r="H57" s="32"/>
      <c r="I57" s="32"/>
      <c r="J57" s="32"/>
      <c r="K57" s="33"/>
    </row>
    <row r="58" spans="2:11" ht="16.5" thickBot="1" x14ac:dyDescent="0.3">
      <c r="B58" s="31" t="str">
        <f t="shared" ref="B58:B63" si="7">"'0x000" &amp; C30 &amp; ", 0x0" &amp; D30 &amp; ", 0x0" &amp; E30 &amp; ", 0x0" &amp;F30 &amp; ", 0x0" &amp; G30 &amp; ", 0x" &amp; H30 &amp; ", 0x" &amp; I30 &amp; ", 0x" &amp; J30 &amp; ", 0x" &amp; K30 &amp; "', # " &amp; B30</f>
        <v>'0x0000, 0x0746, 0x0B04, 0x0CDF, 0x0E19, 0x1008, 0x1200, 0x1B00, 0x2400', # new torque_table row 2</v>
      </c>
      <c r="C58" s="32"/>
      <c r="D58" s="32"/>
      <c r="E58" s="32"/>
      <c r="F58" s="32"/>
      <c r="G58" s="32"/>
      <c r="H58" s="32"/>
      <c r="I58" s="32"/>
      <c r="J58" s="32"/>
      <c r="K58" s="33"/>
    </row>
    <row r="59" spans="2:11" ht="16.5" thickBot="1" x14ac:dyDescent="0.3">
      <c r="B59" s="31" t="str">
        <f t="shared" si="7"/>
        <v>'0x0000, 0x0746, 0x0B04, 0x0CDF, 0x0E19, 0x1008, 0x1200, 0x1B00, 0x2400', # new torque_table row 3</v>
      </c>
      <c r="C59" s="32"/>
      <c r="D59" s="32"/>
      <c r="E59" s="32"/>
      <c r="F59" s="32"/>
      <c r="G59" s="32"/>
      <c r="H59" s="32"/>
      <c r="I59" s="32"/>
      <c r="J59" s="32"/>
      <c r="K59" s="33"/>
    </row>
    <row r="60" spans="2:11" ht="16.5" thickBot="1" x14ac:dyDescent="0.3">
      <c r="B60" s="31" t="str">
        <f t="shared" si="7"/>
        <v>'0x0000, 0x0746, 0x0B04, 0x0CDF, 0x0E19, 0x1008, 0x1200, 0x1B00, 0x2400', # new torque_table row 4</v>
      </c>
      <c r="C60" s="32"/>
      <c r="D60" s="32"/>
      <c r="E60" s="32"/>
      <c r="F60" s="32"/>
      <c r="G60" s="32"/>
      <c r="H60" s="32"/>
      <c r="I60" s="32"/>
      <c r="J60" s="32"/>
      <c r="K60" s="33"/>
    </row>
    <row r="61" spans="2:11" ht="16.5" thickBot="1" x14ac:dyDescent="0.3">
      <c r="B61" s="31" t="str">
        <f t="shared" si="7"/>
        <v>'0x0000, 0x0746, 0x0B04, 0x0CDF, 0x0E19, 0x1008, 0x1200, 0x1B00, 0x2400', # new torque_table row 5</v>
      </c>
      <c r="C61" s="32"/>
      <c r="D61" s="32"/>
      <c r="E61" s="32"/>
      <c r="F61" s="32"/>
      <c r="G61" s="32"/>
      <c r="H61" s="32"/>
      <c r="I61" s="32"/>
      <c r="J61" s="32"/>
      <c r="K61" s="33"/>
    </row>
    <row r="62" spans="2:11" ht="16.5" thickBot="1" x14ac:dyDescent="0.3">
      <c r="B62" s="31" t="str">
        <f t="shared" si="7"/>
        <v>'0x0000, 0x0746, 0x0B04, 0x0CDF, 0x0E19, 0x1008, 0x1200, 0x1B00, 0x2400', # new torque_table row 6</v>
      </c>
      <c r="C62" s="32"/>
      <c r="D62" s="32"/>
      <c r="E62" s="32"/>
      <c r="F62" s="32"/>
      <c r="G62" s="32"/>
      <c r="H62" s="32"/>
      <c r="I62" s="32"/>
      <c r="J62" s="32"/>
      <c r="K62" s="33"/>
    </row>
    <row r="63" spans="2:11" ht="16.5" thickBot="1" x14ac:dyDescent="0.3">
      <c r="B63" s="31" t="str">
        <f t="shared" si="7"/>
        <v>'0x0000, 0x06B3, 0x0B1A, 0x0CCD, 0x0E9A, 0x104D, 0x16C4, 0x1D3C, 0x23B4', # new torque_table row 7</v>
      </c>
      <c r="C63" s="32"/>
      <c r="D63" s="32"/>
      <c r="E63" s="32"/>
      <c r="F63" s="32"/>
      <c r="G63" s="32"/>
      <c r="H63" s="32"/>
      <c r="I63" s="32"/>
      <c r="J63" s="32"/>
      <c r="K63" s="33"/>
    </row>
  </sheetData>
  <mergeCells count="24">
    <mergeCell ref="B50:K50"/>
    <mergeCell ref="B2:K3"/>
    <mergeCell ref="B37:C37"/>
    <mergeCell ref="B38:C38"/>
    <mergeCell ref="B39:C39"/>
    <mergeCell ref="B41:K41"/>
    <mergeCell ref="B42:K42"/>
    <mergeCell ref="B43:K43"/>
    <mergeCell ref="B45:K45"/>
    <mergeCell ref="B46:K46"/>
    <mergeCell ref="B47:K47"/>
    <mergeCell ref="B49:K49"/>
    <mergeCell ref="B63:K63"/>
    <mergeCell ref="B51:K51"/>
    <mergeCell ref="B52:K52"/>
    <mergeCell ref="B53:K53"/>
    <mergeCell ref="B54:K54"/>
    <mergeCell ref="B55:K55"/>
    <mergeCell ref="B57:K57"/>
    <mergeCell ref="B58:K58"/>
    <mergeCell ref="B59:K59"/>
    <mergeCell ref="B60:K60"/>
    <mergeCell ref="B61:K61"/>
    <mergeCell ref="B62:K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476A5-E6D8-2D4E-A3C2-83ABEFED3974}">
  <dimension ref="B1:K63"/>
  <sheetViews>
    <sheetView zoomScale="95" workbookViewId="0">
      <selection activeCell="K32" sqref="K32"/>
    </sheetView>
  </sheetViews>
  <sheetFormatPr defaultColWidth="10.875" defaultRowHeight="15.75" x14ac:dyDescent="0.25"/>
  <cols>
    <col min="1" max="1" width="7.375" style="11" customWidth="1"/>
    <col min="2" max="2" width="10.125" style="11" bestFit="1" customWidth="1"/>
    <col min="3" max="11" width="7" style="11" customWidth="1"/>
    <col min="12" max="16384" width="10.875" style="11"/>
  </cols>
  <sheetData>
    <row r="1" spans="2:11" x14ac:dyDescent="0.25">
      <c r="C1" s="15"/>
    </row>
    <row r="2" spans="2:11" ht="15.95" customHeight="1" x14ac:dyDescent="0.25">
      <c r="B2" s="34" t="s">
        <v>10</v>
      </c>
      <c r="C2" s="34"/>
      <c r="D2" s="34"/>
      <c r="E2" s="34"/>
      <c r="F2" s="34"/>
      <c r="G2" s="34"/>
      <c r="H2" s="34"/>
      <c r="I2" s="34"/>
      <c r="J2" s="34"/>
      <c r="K2" s="34"/>
    </row>
    <row r="3" spans="2:11" ht="17.100000000000001" customHeight="1" x14ac:dyDescent="0.25"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2:11" x14ac:dyDescent="0.25">
      <c r="K4" s="11" t="s">
        <v>45</v>
      </c>
    </row>
    <row r="5" spans="2:11" x14ac:dyDescent="0.25">
      <c r="B5" s="11" t="s">
        <v>28</v>
      </c>
      <c r="C5" s="1" t="s">
        <v>61</v>
      </c>
      <c r="D5" s="1" t="s">
        <v>69</v>
      </c>
      <c r="E5" s="1" t="s">
        <v>70</v>
      </c>
      <c r="F5" s="1" t="s">
        <v>3</v>
      </c>
      <c r="G5" s="1" t="s">
        <v>71</v>
      </c>
      <c r="H5" s="1" t="s">
        <v>4</v>
      </c>
      <c r="I5" s="1" t="s">
        <v>72</v>
      </c>
      <c r="J5" s="1" t="s">
        <v>5</v>
      </c>
      <c r="K5" s="1" t="s">
        <v>1</v>
      </c>
    </row>
    <row r="6" spans="2:11" x14ac:dyDescent="0.25">
      <c r="B6" s="11" t="s">
        <v>32</v>
      </c>
      <c r="C6" s="1" t="s">
        <v>61</v>
      </c>
      <c r="D6" s="1" t="s">
        <v>2</v>
      </c>
      <c r="E6" s="1" t="s">
        <v>6</v>
      </c>
      <c r="F6" s="1" t="s">
        <v>7</v>
      </c>
      <c r="G6" s="1" t="s">
        <v>73</v>
      </c>
      <c r="H6" s="1" t="s">
        <v>62</v>
      </c>
      <c r="I6" s="1" t="s">
        <v>63</v>
      </c>
      <c r="J6" s="1" t="s">
        <v>65</v>
      </c>
      <c r="K6" s="1" t="s">
        <v>1</v>
      </c>
    </row>
    <row r="7" spans="2:11" x14ac:dyDescent="0.25">
      <c r="B7" s="11" t="s">
        <v>33</v>
      </c>
      <c r="C7" s="1" t="s">
        <v>61</v>
      </c>
      <c r="D7" s="1" t="s">
        <v>2</v>
      </c>
      <c r="E7" s="1" t="s">
        <v>6</v>
      </c>
      <c r="F7" s="1" t="s">
        <v>7</v>
      </c>
      <c r="G7" s="1" t="s">
        <v>73</v>
      </c>
      <c r="H7" s="1" t="s">
        <v>62</v>
      </c>
      <c r="I7" s="1" t="s">
        <v>63</v>
      </c>
      <c r="J7" s="1" t="s">
        <v>65</v>
      </c>
      <c r="K7" s="1" t="s">
        <v>1</v>
      </c>
    </row>
    <row r="8" spans="2:11" x14ac:dyDescent="0.25">
      <c r="B8" s="11" t="s">
        <v>34</v>
      </c>
      <c r="C8" s="1" t="s">
        <v>61</v>
      </c>
      <c r="D8" s="1" t="s">
        <v>2</v>
      </c>
      <c r="E8" s="1" t="s">
        <v>6</v>
      </c>
      <c r="F8" s="1" t="s">
        <v>7</v>
      </c>
      <c r="G8" s="1" t="s">
        <v>73</v>
      </c>
      <c r="H8" s="1" t="s">
        <v>62</v>
      </c>
      <c r="I8" s="1" t="s">
        <v>63</v>
      </c>
      <c r="J8" s="1" t="s">
        <v>65</v>
      </c>
      <c r="K8" s="1" t="s">
        <v>1</v>
      </c>
    </row>
    <row r="9" spans="2:11" x14ac:dyDescent="0.25">
      <c r="B9" s="11" t="s">
        <v>35</v>
      </c>
      <c r="C9" s="1" t="s">
        <v>61</v>
      </c>
      <c r="D9" s="1" t="s">
        <v>2</v>
      </c>
      <c r="E9" s="1" t="s">
        <v>6</v>
      </c>
      <c r="F9" s="1" t="s">
        <v>7</v>
      </c>
      <c r="G9" s="1" t="s">
        <v>73</v>
      </c>
      <c r="H9" s="1" t="s">
        <v>62</v>
      </c>
      <c r="I9" s="1" t="s">
        <v>63</v>
      </c>
      <c r="J9" s="1" t="s">
        <v>65</v>
      </c>
      <c r="K9" s="1" t="s">
        <v>1</v>
      </c>
    </row>
    <row r="10" spans="2:11" x14ac:dyDescent="0.25">
      <c r="B10" s="11" t="s">
        <v>36</v>
      </c>
      <c r="C10" s="1" t="s">
        <v>61</v>
      </c>
      <c r="D10" s="1" t="s">
        <v>2</v>
      </c>
      <c r="E10" s="1" t="s">
        <v>6</v>
      </c>
      <c r="F10" s="1" t="s">
        <v>7</v>
      </c>
      <c r="G10" s="1" t="s">
        <v>73</v>
      </c>
      <c r="H10" s="1" t="s">
        <v>62</v>
      </c>
      <c r="I10" s="1" t="s">
        <v>63</v>
      </c>
      <c r="J10" s="1" t="s">
        <v>65</v>
      </c>
      <c r="K10" s="1" t="s">
        <v>1</v>
      </c>
    </row>
    <row r="11" spans="2:11" x14ac:dyDescent="0.25">
      <c r="B11" s="11" t="s">
        <v>37</v>
      </c>
      <c r="C11" s="1" t="s">
        <v>61</v>
      </c>
      <c r="D11" s="1" t="s">
        <v>2</v>
      </c>
      <c r="E11" s="1" t="s">
        <v>0</v>
      </c>
      <c r="F11" s="1" t="s">
        <v>66</v>
      </c>
      <c r="G11" s="1" t="s">
        <v>62</v>
      </c>
      <c r="H11" s="1" t="s">
        <v>74</v>
      </c>
      <c r="I11" s="1" t="s">
        <v>64</v>
      </c>
      <c r="J11" s="1" t="s">
        <v>65</v>
      </c>
      <c r="K11" s="1" t="s">
        <v>1</v>
      </c>
    </row>
    <row r="13" spans="2:11" x14ac:dyDescent="0.25">
      <c r="B13" s="11" t="s">
        <v>38</v>
      </c>
      <c r="C13" s="11" t="str">
        <f>DEC2HEX(_xlfn.BITLSHIFT(ROUND(HEX2DEC(C5)/SQRT(3),0),2))</f>
        <v>0</v>
      </c>
      <c r="D13" s="11" t="str">
        <f t="shared" ref="D13:K19" si="0">DEC2HEX(_xlfn.BITLSHIFT(ROUND(HEX2DEC(D5)/SQRT(3),0),2))</f>
        <v>EC</v>
      </c>
      <c r="E13" s="11" t="str">
        <f t="shared" si="0"/>
        <v>260</v>
      </c>
      <c r="F13" s="11" t="str">
        <f t="shared" si="0"/>
        <v>424</v>
      </c>
      <c r="G13" s="11" t="str">
        <f t="shared" si="0"/>
        <v>5F4</v>
      </c>
      <c r="H13" s="11" t="str">
        <f t="shared" si="0"/>
        <v>7C8</v>
      </c>
      <c r="I13" s="11" t="str">
        <f t="shared" si="0"/>
        <v>A04</v>
      </c>
      <c r="J13" s="22" t="str">
        <f t="shared" si="0"/>
        <v>DF8</v>
      </c>
      <c r="K13" s="22" t="str">
        <f t="shared" si="0"/>
        <v>F00</v>
      </c>
    </row>
    <row r="14" spans="2:11" x14ac:dyDescent="0.25">
      <c r="B14" s="11" t="s">
        <v>39</v>
      </c>
      <c r="C14" s="11" t="str">
        <f t="shared" ref="C14:C19" si="1">DEC2HEX(_xlfn.BITLSHIFT(ROUND(HEX2DEC(C6)/SQRT(3),0),2))</f>
        <v>0</v>
      </c>
      <c r="D14" s="11" t="str">
        <f t="shared" si="0"/>
        <v>200</v>
      </c>
      <c r="E14" s="11" t="str">
        <f t="shared" si="0"/>
        <v>300</v>
      </c>
      <c r="F14" s="11" t="str">
        <f t="shared" si="0"/>
        <v>478</v>
      </c>
      <c r="G14" s="11" t="str">
        <f t="shared" si="0"/>
        <v>5EC</v>
      </c>
      <c r="H14" s="11" t="str">
        <f t="shared" si="0"/>
        <v>800</v>
      </c>
      <c r="I14" s="11" t="str">
        <f t="shared" si="0"/>
        <v>A00</v>
      </c>
      <c r="J14" s="22" t="str">
        <f t="shared" si="0"/>
        <v>E00</v>
      </c>
      <c r="K14" s="22" t="str">
        <f t="shared" si="0"/>
        <v>F00</v>
      </c>
    </row>
    <row r="15" spans="2:11" x14ac:dyDescent="0.25">
      <c r="B15" s="11" t="s">
        <v>40</v>
      </c>
      <c r="C15" s="11" t="str">
        <f t="shared" si="1"/>
        <v>0</v>
      </c>
      <c r="D15" s="11" t="str">
        <f t="shared" si="0"/>
        <v>200</v>
      </c>
      <c r="E15" s="11" t="str">
        <f t="shared" si="0"/>
        <v>300</v>
      </c>
      <c r="F15" s="11" t="str">
        <f t="shared" si="0"/>
        <v>478</v>
      </c>
      <c r="G15" s="11" t="str">
        <f t="shared" si="0"/>
        <v>5EC</v>
      </c>
      <c r="H15" s="11" t="str">
        <f t="shared" si="0"/>
        <v>800</v>
      </c>
      <c r="I15" s="11" t="str">
        <f t="shared" si="0"/>
        <v>A00</v>
      </c>
      <c r="J15" s="22" t="str">
        <f t="shared" si="0"/>
        <v>E00</v>
      </c>
      <c r="K15" s="22" t="str">
        <f t="shared" si="0"/>
        <v>F00</v>
      </c>
    </row>
    <row r="16" spans="2:11" x14ac:dyDescent="0.25">
      <c r="B16" s="11" t="s">
        <v>41</v>
      </c>
      <c r="C16" s="11" t="str">
        <f t="shared" si="1"/>
        <v>0</v>
      </c>
      <c r="D16" s="11" t="str">
        <f t="shared" si="0"/>
        <v>200</v>
      </c>
      <c r="E16" s="11" t="str">
        <f t="shared" si="0"/>
        <v>300</v>
      </c>
      <c r="F16" s="11" t="str">
        <f t="shared" si="0"/>
        <v>478</v>
      </c>
      <c r="G16" s="11" t="str">
        <f t="shared" si="0"/>
        <v>5EC</v>
      </c>
      <c r="H16" s="11" t="str">
        <f t="shared" si="0"/>
        <v>800</v>
      </c>
      <c r="I16" s="11" t="str">
        <f t="shared" si="0"/>
        <v>A00</v>
      </c>
      <c r="J16" s="22" t="str">
        <f t="shared" si="0"/>
        <v>E00</v>
      </c>
      <c r="K16" s="22" t="str">
        <f t="shared" si="0"/>
        <v>F00</v>
      </c>
    </row>
    <row r="17" spans="2:11" x14ac:dyDescent="0.25">
      <c r="B17" s="11" t="s">
        <v>42</v>
      </c>
      <c r="C17" s="11" t="str">
        <f t="shared" si="1"/>
        <v>0</v>
      </c>
      <c r="D17" s="11" t="str">
        <f t="shared" si="0"/>
        <v>200</v>
      </c>
      <c r="E17" s="11" t="str">
        <f t="shared" si="0"/>
        <v>300</v>
      </c>
      <c r="F17" s="11" t="str">
        <f t="shared" si="0"/>
        <v>478</v>
      </c>
      <c r="G17" s="11" t="str">
        <f t="shared" si="0"/>
        <v>5EC</v>
      </c>
      <c r="H17" s="11" t="str">
        <f t="shared" si="0"/>
        <v>800</v>
      </c>
      <c r="I17" s="11" t="str">
        <f t="shared" si="0"/>
        <v>A00</v>
      </c>
      <c r="J17" s="22" t="str">
        <f t="shared" si="0"/>
        <v>E00</v>
      </c>
      <c r="K17" s="22" t="str">
        <f t="shared" si="0"/>
        <v>F00</v>
      </c>
    </row>
    <row r="18" spans="2:11" x14ac:dyDescent="0.25">
      <c r="B18" s="11" t="s">
        <v>43</v>
      </c>
      <c r="C18" s="11" t="str">
        <f t="shared" si="1"/>
        <v>0</v>
      </c>
      <c r="D18" s="11" t="str">
        <f t="shared" si="0"/>
        <v>200</v>
      </c>
      <c r="E18" s="11" t="str">
        <f t="shared" si="0"/>
        <v>300</v>
      </c>
      <c r="F18" s="11" t="str">
        <f t="shared" si="0"/>
        <v>478</v>
      </c>
      <c r="G18" s="11" t="str">
        <f t="shared" si="0"/>
        <v>5EC</v>
      </c>
      <c r="H18" s="11" t="str">
        <f t="shared" si="0"/>
        <v>800</v>
      </c>
      <c r="I18" s="11" t="str">
        <f t="shared" si="0"/>
        <v>A00</v>
      </c>
      <c r="J18" s="22" t="str">
        <f t="shared" si="0"/>
        <v>E00</v>
      </c>
      <c r="K18" s="22" t="str">
        <f t="shared" si="0"/>
        <v>F00</v>
      </c>
    </row>
    <row r="19" spans="2:11" x14ac:dyDescent="0.25">
      <c r="B19" s="11" t="s">
        <v>44</v>
      </c>
      <c r="C19" s="11" t="str">
        <f t="shared" si="1"/>
        <v>0</v>
      </c>
      <c r="D19" s="11" t="str">
        <f t="shared" si="0"/>
        <v>200</v>
      </c>
      <c r="E19" s="11" t="str">
        <f t="shared" si="0"/>
        <v>400</v>
      </c>
      <c r="F19" s="11" t="str">
        <f t="shared" si="0"/>
        <v>600</v>
      </c>
      <c r="G19" s="11" t="str">
        <f t="shared" si="0"/>
        <v>800</v>
      </c>
      <c r="H19" s="11" t="str">
        <f t="shared" si="0"/>
        <v>A00</v>
      </c>
      <c r="I19" s="11" t="str">
        <f t="shared" si="0"/>
        <v>C00</v>
      </c>
      <c r="J19" s="11" t="str">
        <f t="shared" si="0"/>
        <v>E00</v>
      </c>
      <c r="K19" s="22" t="str">
        <f t="shared" si="0"/>
        <v>F00</v>
      </c>
    </row>
    <row r="21" spans="2:11" x14ac:dyDescent="0.25">
      <c r="B21" s="11" t="s">
        <v>46</v>
      </c>
      <c r="C21" s="17" t="s">
        <v>61</v>
      </c>
      <c r="D21" s="17" t="s">
        <v>88</v>
      </c>
      <c r="E21" s="17" t="s">
        <v>89</v>
      </c>
      <c r="F21" s="17" t="s">
        <v>90</v>
      </c>
      <c r="G21" s="17" t="s">
        <v>78</v>
      </c>
      <c r="H21" s="17" t="s">
        <v>79</v>
      </c>
      <c r="I21" s="17" t="s">
        <v>67</v>
      </c>
      <c r="J21" s="17" t="s">
        <v>67</v>
      </c>
      <c r="K21" s="17" t="s">
        <v>67</v>
      </c>
    </row>
    <row r="22" spans="2:11" x14ac:dyDescent="0.25">
      <c r="B22" s="11" t="s">
        <v>47</v>
      </c>
      <c r="C22" s="17" t="s">
        <v>61</v>
      </c>
      <c r="D22" s="17" t="s">
        <v>80</v>
      </c>
      <c r="E22" s="17" t="s">
        <v>24</v>
      </c>
      <c r="F22" s="17" t="s">
        <v>25</v>
      </c>
      <c r="G22" s="17" t="s">
        <v>26</v>
      </c>
      <c r="H22" s="17" t="s">
        <v>81</v>
      </c>
      <c r="I22" s="17" t="s">
        <v>67</v>
      </c>
      <c r="J22" s="17" t="s">
        <v>67</v>
      </c>
      <c r="K22" s="17" t="s">
        <v>67</v>
      </c>
    </row>
    <row r="23" spans="2:11" x14ac:dyDescent="0.25">
      <c r="B23" s="11" t="s">
        <v>48</v>
      </c>
      <c r="C23" s="17" t="s">
        <v>61</v>
      </c>
      <c r="D23" s="17" t="s">
        <v>80</v>
      </c>
      <c r="E23" s="17" t="s">
        <v>24</v>
      </c>
      <c r="F23" s="17" t="s">
        <v>25</v>
      </c>
      <c r="G23" s="17" t="s">
        <v>26</v>
      </c>
      <c r="H23" s="17" t="s">
        <v>81</v>
      </c>
      <c r="I23" s="17" t="s">
        <v>67</v>
      </c>
      <c r="J23" s="17" t="s">
        <v>67</v>
      </c>
      <c r="K23" s="17" t="s">
        <v>67</v>
      </c>
    </row>
    <row r="24" spans="2:11" x14ac:dyDescent="0.25">
      <c r="B24" s="11" t="s">
        <v>49</v>
      </c>
      <c r="C24" s="17" t="s">
        <v>61</v>
      </c>
      <c r="D24" s="17" t="s">
        <v>80</v>
      </c>
      <c r="E24" s="17" t="s">
        <v>24</v>
      </c>
      <c r="F24" s="17" t="s">
        <v>25</v>
      </c>
      <c r="G24" s="17" t="s">
        <v>26</v>
      </c>
      <c r="H24" s="17" t="s">
        <v>81</v>
      </c>
      <c r="I24" s="17" t="s">
        <v>67</v>
      </c>
      <c r="J24" s="17" t="s">
        <v>67</v>
      </c>
      <c r="K24" s="17" t="s">
        <v>67</v>
      </c>
    </row>
    <row r="25" spans="2:11" x14ac:dyDescent="0.25">
      <c r="B25" s="11" t="s">
        <v>50</v>
      </c>
      <c r="C25" s="17" t="s">
        <v>61</v>
      </c>
      <c r="D25" s="17" t="s">
        <v>80</v>
      </c>
      <c r="E25" s="17" t="s">
        <v>24</v>
      </c>
      <c r="F25" s="17" t="s">
        <v>25</v>
      </c>
      <c r="G25" s="17" t="s">
        <v>26</v>
      </c>
      <c r="H25" s="17" t="s">
        <v>81</v>
      </c>
      <c r="I25" s="17" t="s">
        <v>67</v>
      </c>
      <c r="J25" s="17" t="s">
        <v>67</v>
      </c>
      <c r="K25" s="17" t="s">
        <v>67</v>
      </c>
    </row>
    <row r="26" spans="2:11" x14ac:dyDescent="0.25">
      <c r="B26" s="11" t="s">
        <v>51</v>
      </c>
      <c r="C26" s="17" t="s">
        <v>61</v>
      </c>
      <c r="D26" s="17" t="s">
        <v>80</v>
      </c>
      <c r="E26" s="17" t="s">
        <v>24</v>
      </c>
      <c r="F26" s="17" t="s">
        <v>25</v>
      </c>
      <c r="G26" s="17" t="s">
        <v>26</v>
      </c>
      <c r="H26" s="17" t="s">
        <v>81</v>
      </c>
      <c r="I26" s="17" t="s">
        <v>67</v>
      </c>
      <c r="J26" s="17" t="s">
        <v>67</v>
      </c>
      <c r="K26" s="17" t="s">
        <v>67</v>
      </c>
    </row>
    <row r="27" spans="2:11" x14ac:dyDescent="0.25">
      <c r="B27" s="11" t="s">
        <v>52</v>
      </c>
      <c r="C27" s="16" t="s">
        <v>61</v>
      </c>
      <c r="D27" s="18" t="s">
        <v>68</v>
      </c>
      <c r="E27" s="16" t="s">
        <v>82</v>
      </c>
      <c r="F27" s="16" t="s">
        <v>83</v>
      </c>
      <c r="G27" s="16" t="s">
        <v>84</v>
      </c>
      <c r="H27" s="16" t="s">
        <v>85</v>
      </c>
      <c r="I27" s="16" t="s">
        <v>86</v>
      </c>
      <c r="J27" s="16" t="s">
        <v>87</v>
      </c>
      <c r="K27" s="16" t="s">
        <v>87</v>
      </c>
    </row>
    <row r="29" spans="2:11" x14ac:dyDescent="0.25">
      <c r="B29" s="11" t="s">
        <v>53</v>
      </c>
      <c r="C29" s="11" t="str">
        <f>C21</f>
        <v>0</v>
      </c>
      <c r="D29" s="11" t="str">
        <f t="shared" ref="D29:I29" si="2">D21</f>
        <v>380</v>
      </c>
      <c r="E29" s="11" t="str">
        <f t="shared" si="2"/>
        <v>800</v>
      </c>
      <c r="F29" s="11" t="str">
        <f t="shared" si="2"/>
        <v>C00</v>
      </c>
      <c r="G29" s="11" t="str">
        <f t="shared" si="2"/>
        <v>EB6</v>
      </c>
      <c r="H29" s="11" t="str">
        <f t="shared" si="2"/>
        <v>10AE</v>
      </c>
      <c r="I29" s="11" t="str">
        <f t="shared" si="2"/>
        <v>1200</v>
      </c>
      <c r="J29" s="21" t="str">
        <f>DEC2HEX(HEX2DEC(I29)+((HEX2DEC(K29)-HEX2DEC(I29))/2))</f>
        <v>1F80</v>
      </c>
      <c r="K29" s="21" t="str">
        <f>DEC2HEX(HEX2DEC(K21)*D$37)</f>
        <v>2D00</v>
      </c>
    </row>
    <row r="30" spans="2:11" x14ac:dyDescent="0.25">
      <c r="B30" s="11" t="s">
        <v>54</v>
      </c>
      <c r="C30" s="11" t="str">
        <f t="shared" ref="C30:I35" si="3">C22</f>
        <v>0</v>
      </c>
      <c r="D30" s="11" t="str">
        <f t="shared" si="3"/>
        <v>746</v>
      </c>
      <c r="E30" s="11" t="str">
        <f t="shared" si="3"/>
        <v>B04</v>
      </c>
      <c r="F30" s="11" t="str">
        <f t="shared" si="3"/>
        <v>CDF</v>
      </c>
      <c r="G30" s="11" t="str">
        <f t="shared" si="3"/>
        <v>E19</v>
      </c>
      <c r="H30" s="11" t="str">
        <f t="shared" si="3"/>
        <v>1008</v>
      </c>
      <c r="I30" s="11" t="str">
        <f t="shared" si="3"/>
        <v>1200</v>
      </c>
      <c r="J30" s="21" t="str">
        <f t="shared" ref="J30:J34" si="4">DEC2HEX(HEX2DEC(I30)+((HEX2DEC(K30)-HEX2DEC(I30))/2))</f>
        <v>1F80</v>
      </c>
      <c r="K30" s="21" t="str">
        <f t="shared" ref="K30:K35" si="5">DEC2HEX(HEX2DEC(K22)*D$37)</f>
        <v>2D00</v>
      </c>
    </row>
    <row r="31" spans="2:11" x14ac:dyDescent="0.25">
      <c r="B31" s="11" t="s">
        <v>55</v>
      </c>
      <c r="C31" s="11" t="str">
        <f t="shared" si="3"/>
        <v>0</v>
      </c>
      <c r="D31" s="11" t="str">
        <f t="shared" si="3"/>
        <v>746</v>
      </c>
      <c r="E31" s="11" t="str">
        <f t="shared" si="3"/>
        <v>B04</v>
      </c>
      <c r="F31" s="11" t="str">
        <f t="shared" si="3"/>
        <v>CDF</v>
      </c>
      <c r="G31" s="11" t="str">
        <f t="shared" si="3"/>
        <v>E19</v>
      </c>
      <c r="H31" s="11" t="str">
        <f t="shared" si="3"/>
        <v>1008</v>
      </c>
      <c r="I31" s="11" t="str">
        <f t="shared" si="3"/>
        <v>1200</v>
      </c>
      <c r="J31" s="21" t="str">
        <f t="shared" si="4"/>
        <v>1F80</v>
      </c>
      <c r="K31" s="21" t="str">
        <f t="shared" si="5"/>
        <v>2D00</v>
      </c>
    </row>
    <row r="32" spans="2:11" x14ac:dyDescent="0.25">
      <c r="B32" s="11" t="s">
        <v>56</v>
      </c>
      <c r="C32" s="11" t="str">
        <f t="shared" si="3"/>
        <v>0</v>
      </c>
      <c r="D32" s="11" t="str">
        <f t="shared" si="3"/>
        <v>746</v>
      </c>
      <c r="E32" s="11" t="str">
        <f t="shared" si="3"/>
        <v>B04</v>
      </c>
      <c r="F32" s="11" t="str">
        <f t="shared" si="3"/>
        <v>CDF</v>
      </c>
      <c r="G32" s="11" t="str">
        <f t="shared" si="3"/>
        <v>E19</v>
      </c>
      <c r="H32" s="11" t="str">
        <f t="shared" si="3"/>
        <v>1008</v>
      </c>
      <c r="I32" s="11" t="str">
        <f t="shared" si="3"/>
        <v>1200</v>
      </c>
      <c r="J32" s="21" t="str">
        <f t="shared" si="4"/>
        <v>1F80</v>
      </c>
      <c r="K32" s="21" t="str">
        <f t="shared" si="5"/>
        <v>2D00</v>
      </c>
    </row>
    <row r="33" spans="2:11" x14ac:dyDescent="0.25">
      <c r="B33" s="11" t="s">
        <v>57</v>
      </c>
      <c r="C33" s="11" t="str">
        <f t="shared" si="3"/>
        <v>0</v>
      </c>
      <c r="D33" s="11" t="str">
        <f t="shared" si="3"/>
        <v>746</v>
      </c>
      <c r="E33" s="11" t="str">
        <f t="shared" si="3"/>
        <v>B04</v>
      </c>
      <c r="F33" s="11" t="str">
        <f t="shared" si="3"/>
        <v>CDF</v>
      </c>
      <c r="G33" s="11" t="str">
        <f t="shared" si="3"/>
        <v>E19</v>
      </c>
      <c r="H33" s="11" t="str">
        <f t="shared" si="3"/>
        <v>1008</v>
      </c>
      <c r="I33" s="11" t="str">
        <f t="shared" si="3"/>
        <v>1200</v>
      </c>
      <c r="J33" s="21" t="str">
        <f t="shared" si="4"/>
        <v>1F80</v>
      </c>
      <c r="K33" s="21" t="str">
        <f t="shared" si="5"/>
        <v>2D00</v>
      </c>
    </row>
    <row r="34" spans="2:11" x14ac:dyDescent="0.25">
      <c r="B34" s="11" t="s">
        <v>58</v>
      </c>
      <c r="C34" s="11" t="str">
        <f t="shared" si="3"/>
        <v>0</v>
      </c>
      <c r="D34" s="11" t="str">
        <f t="shared" si="3"/>
        <v>746</v>
      </c>
      <c r="E34" s="11" t="str">
        <f t="shared" si="3"/>
        <v>B04</v>
      </c>
      <c r="F34" s="11" t="str">
        <f t="shared" si="3"/>
        <v>CDF</v>
      </c>
      <c r="G34" s="11" t="str">
        <f t="shared" si="3"/>
        <v>E19</v>
      </c>
      <c r="H34" s="11" t="str">
        <f t="shared" si="3"/>
        <v>1008</v>
      </c>
      <c r="I34" s="11" t="str">
        <f t="shared" si="3"/>
        <v>1200</v>
      </c>
      <c r="J34" s="21" t="str">
        <f t="shared" si="4"/>
        <v>1F80</v>
      </c>
      <c r="K34" s="21" t="str">
        <f t="shared" si="5"/>
        <v>2D00</v>
      </c>
    </row>
    <row r="35" spans="2:11" x14ac:dyDescent="0.25">
      <c r="B35" s="11" t="s">
        <v>59</v>
      </c>
      <c r="C35" s="11" t="str">
        <f t="shared" si="3"/>
        <v>0</v>
      </c>
      <c r="D35" s="11" t="str">
        <f t="shared" si="3"/>
        <v>6B3</v>
      </c>
      <c r="E35" s="11" t="str">
        <f t="shared" si="3"/>
        <v>B1A</v>
      </c>
      <c r="F35" s="11" t="str">
        <f t="shared" si="3"/>
        <v>CCD</v>
      </c>
      <c r="G35" s="11" t="str">
        <f t="shared" si="3"/>
        <v>E9A</v>
      </c>
      <c r="H35" s="11" t="str">
        <f t="shared" si="3"/>
        <v>104D</v>
      </c>
      <c r="I35" s="21" t="str">
        <f>DEC2HEX(HEX2DEC(H35)+((HEX2DEC(K35)-HEX2DEC(H35))/3*1))</f>
        <v>19BE</v>
      </c>
      <c r="J35" s="21" t="str">
        <f>DEC2HEX(HEX2DEC(H35)+((HEX2DEC(K35)-HEX2DEC(H35))/3*2))</f>
        <v>232F</v>
      </c>
      <c r="K35" s="21" t="str">
        <f t="shared" si="5"/>
        <v>2CA1</v>
      </c>
    </row>
    <row r="37" spans="2:11" x14ac:dyDescent="0.25">
      <c r="B37" s="35" t="s">
        <v>27</v>
      </c>
      <c r="C37" s="35"/>
      <c r="D37" s="16">
        <v>2.5</v>
      </c>
    </row>
    <row r="38" spans="2:11" x14ac:dyDescent="0.25">
      <c r="B38" s="35" t="s">
        <v>9</v>
      </c>
      <c r="C38" s="35"/>
      <c r="D38" s="16" t="s">
        <v>8</v>
      </c>
    </row>
    <row r="39" spans="2:11" x14ac:dyDescent="0.25">
      <c r="B39" s="36" t="s">
        <v>23</v>
      </c>
      <c r="C39" s="36"/>
      <c r="D39" s="17">
        <v>1</v>
      </c>
    </row>
    <row r="40" spans="2:11" ht="16.5" thickBot="1" x14ac:dyDescent="0.3"/>
    <row r="41" spans="2:11" ht="50.1" customHeight="1" thickBot="1" x14ac:dyDescent="0.3">
      <c r="B41" s="37" t="str">
        <f>"if steerConfigIndex == 1: ret.lateralParams.torqueBP, ret.lateralParams.torqueV = [[0x" &amp; C29 &amp; ", 0x" &amp; D29 &amp; ", 0x" &amp; E29 &amp; ", 0x" &amp;F29 &amp; ", 0x" &amp; G29 &amp; ", 0x" &amp; H29 &amp; ", 0x" &amp; I29 &amp; ", 0x" &amp; J29 &amp; ", 0x" &amp; K29 &amp; "], [0x" &amp; C13 &amp; ", 0x" &amp; D13 &amp; ", 0x" &amp; E13 &amp; ", 0x" &amp;F13 &amp; ", 0x" &amp; G13 &amp; ", 0x" &amp; H13 &amp; ", 0x" &amp; I13 &amp; ", 0x" &amp; J13 &amp; ", 0x" &amp; K13 &amp; "]]"</f>
        <v>if steerConfigIndex == 1: ret.lateralParams.torqueBP, ret.lateralParams.torqueV = [[0x0, 0x380, 0x800, 0xC00, 0xEB6, 0x10AE, 0x1200, 0x1F80, 0x2D00], [0x0, 0xEC, 0x260, 0x424, 0x5F4, 0x7C8, 0xA04, 0xDF8, 0xF00]]</v>
      </c>
      <c r="C41" s="38"/>
      <c r="D41" s="38"/>
      <c r="E41" s="38"/>
      <c r="F41" s="38"/>
      <c r="G41" s="38"/>
      <c r="H41" s="38"/>
      <c r="I41" s="38"/>
      <c r="J41" s="38"/>
      <c r="K41" s="39"/>
    </row>
    <row r="42" spans="2:11" ht="50.1" customHeight="1" thickBot="1" x14ac:dyDescent="0.3">
      <c r="B42" s="37" t="str">
        <f>"elif steerConfigIndex in [2, 3, 4, 5, 6]: ret.lateralParams.torqueBP, ret.lateralParams.torqueV = [[0x" &amp; C31 &amp; ", 0x" &amp; D31 &amp; ", 0x" &amp; E31 &amp; ", 0x" &amp;F31 &amp; ", 0x" &amp; G31 &amp; ", 0x" &amp; H31 &amp; ", 0x" &amp; I31 &amp; ", 0x" &amp; J31 &amp; ", 0x" &amp; K31 &amp; "], [0x" &amp; C15 &amp; ", 0x" &amp; D15 &amp; ", 0x" &amp; E15 &amp; ", 0x" &amp;F15 &amp; ", 0x" &amp; G15 &amp; ", 0x" &amp; H15 &amp; ", 0x" &amp; I15 &amp; ", 0x" &amp; J15 &amp; ", 0x" &amp; K15 &amp; "]]"</f>
        <v>elif steerConfigIndex in [2, 3, 4, 5, 6]: ret.lateralParams.torqueBP, ret.lateralParams.torqueV = [[0x0, 0x746, 0xB04, 0xCDF, 0xE19, 0x1008, 0x1200, 0x1F80, 0x2D00], [0x0, 0x200, 0x300, 0x478, 0x5EC, 0x800, 0xA00, 0xE00, 0xF00]]</v>
      </c>
      <c r="C42" s="38"/>
      <c r="D42" s="38"/>
      <c r="E42" s="38"/>
      <c r="F42" s="38"/>
      <c r="G42" s="38"/>
      <c r="H42" s="38"/>
      <c r="I42" s="38"/>
      <c r="J42" s="38"/>
      <c r="K42" s="39"/>
    </row>
    <row r="43" spans="2:11" ht="50.1" customHeight="1" thickBot="1" x14ac:dyDescent="0.3">
      <c r="B43" s="37" t="str">
        <f>"elif steerConfigIndex == 7: ret.lateralParams.torqueBP, ret.lateralParams.torqueV = [[0x" &amp; C35 &amp; ", 0x" &amp; D35 &amp; ", 0x" &amp; E35 &amp; ", 0x" &amp;F35 &amp; ", 0x" &amp; G35 &amp; ", 0x" &amp; H35 &amp; ", 0x" &amp; I35 &amp; ", 0x" &amp; J35 &amp; ", 0x" &amp; K35 &amp; "], [0x" &amp; C19 &amp; ", 0x" &amp; D19 &amp; ", 0x" &amp; E19 &amp; ", 0x" &amp;F19 &amp; ", 0x" &amp; G19 &amp; ", 0x" &amp; H19 &amp; ", 0x" &amp; I19 &amp; ", 0x" &amp; J19 &amp; ", 0x" &amp; K19 &amp; "]]"</f>
        <v>elif steerConfigIndex == 7: ret.lateralParams.torqueBP, ret.lateralParams.torqueV = [[0x0, 0x6B3, 0xB1A, 0xCCD, 0xE9A, 0x104D, 0x19BE, 0x232F, 0x2CA1], [0x0, 0x200, 0x400, 0x600, 0x800, 0xA00, 0xC00, 0xE00, 0xF00]]</v>
      </c>
      <c r="C43" s="38"/>
      <c r="D43" s="38"/>
      <c r="E43" s="38"/>
      <c r="F43" s="38"/>
      <c r="G43" s="38"/>
      <c r="H43" s="38"/>
      <c r="I43" s="38"/>
      <c r="J43" s="38"/>
      <c r="K43" s="39"/>
    </row>
    <row r="44" spans="2:11" ht="16.5" thickBot="1" x14ac:dyDescent="0.3">
      <c r="B44" s="19"/>
      <c r="C44" s="12"/>
      <c r="D44" s="19"/>
      <c r="E44" s="19"/>
      <c r="F44" s="19"/>
      <c r="G44" s="19"/>
      <c r="H44" s="19"/>
      <c r="I44" s="19"/>
      <c r="J44" s="19"/>
      <c r="K44" s="19"/>
    </row>
    <row r="45" spans="2:11" ht="51.95" customHeight="1" thickBot="1" x14ac:dyDescent="0.3">
      <c r="B45" s="37" t="str">
        <f>"if steerConfigIndex == 1: ret.lateralParams.torqueBP, ret.lateralParams.torqueV = [[0x" &amp; C21 &amp; ", 0x" &amp; D21 &amp; ", 0x" &amp; E21 &amp; ", 0x" &amp;F21 &amp; ", 0x" &amp; G21 &amp; ", 0x" &amp; H21 &amp; ", 0x" &amp; I21 &amp; "], [0x" &amp; C13 &amp; ", 0x" &amp; D13 &amp; ", 0x" &amp; E13 &amp; ", 0x" &amp;F13 &amp; ", 0x" &amp; G13 &amp; ", 0x" &amp; H13 &amp; ", 0x" &amp; I13 &amp;"]]"</f>
        <v>if steerConfigIndex == 1: ret.lateralParams.torqueBP, ret.lateralParams.torqueV = [[0x0, 0x380, 0x800, 0xC00, 0xEB6, 0x10AE, 0x1200], [0x0, 0xEC, 0x260, 0x424, 0x5F4, 0x7C8, 0xA04]]</v>
      </c>
      <c r="C45" s="38"/>
      <c r="D45" s="38"/>
      <c r="E45" s="38"/>
      <c r="F45" s="38"/>
      <c r="G45" s="38"/>
      <c r="H45" s="38"/>
      <c r="I45" s="38"/>
      <c r="J45" s="38"/>
      <c r="K45" s="39"/>
    </row>
    <row r="46" spans="2:11" ht="51.95" customHeight="1" x14ac:dyDescent="0.25">
      <c r="B46" s="40" t="str">
        <f>"elif steerConfigIndex in [2, 3, 4, 5, 6]: ret.lateralParams.torqueBP, ret.lateralParams.torqueV = [[0x" &amp; C22 &amp; ", 0x" &amp; D22 &amp; ", 0x" &amp; E22 &amp; ", 0x" &amp;F22 &amp; ", 0x" &amp; G22 &amp; ", 0x" &amp; H22 &amp; ", 0x" &amp; I22 &amp; "], [0x" &amp; C14 &amp; ", 0x" &amp; D14 &amp; ", 0x" &amp; E14 &amp; ", 0x" &amp;F14 &amp; ", 0x" &amp; G14 &amp; ", 0x" &amp; H14 &amp; ", 0x" &amp; I14 &amp; "]]"</f>
        <v>elif steerConfigIndex in [2, 3, 4, 5, 6]: ret.lateralParams.torqueBP, ret.lateralParams.torqueV = [[0x0, 0x746, 0xB04, 0xCDF, 0xE19, 0x1008, 0x1200], [0x0, 0x200, 0x300, 0x478, 0x5EC, 0x800, 0xA00]]</v>
      </c>
      <c r="C46" s="41"/>
      <c r="D46" s="41"/>
      <c r="E46" s="41"/>
      <c r="F46" s="41"/>
      <c r="G46" s="41"/>
      <c r="H46" s="41"/>
      <c r="I46" s="41"/>
      <c r="J46" s="41"/>
      <c r="K46" s="42"/>
    </row>
    <row r="47" spans="2:11" ht="51.95" customHeight="1" thickBot="1" x14ac:dyDescent="0.3">
      <c r="B47" s="43" t="str">
        <f>"elif steerConfigIndex == 7: ret.lateralParams.torqueBP, ret.lateralParams.torqueV = [[0x" &amp; C27 &amp; ", 0x" &amp; D27 &amp; ", 0x" &amp; E27 &amp; ", 0x" &amp;F27 &amp; ", 0x" &amp; G27 &amp; ", 0x" &amp; H27 &amp; ", 0x" &amp; I27 &amp; ", 0x" &amp; J27 &amp; "], [0x" &amp; C19 &amp; ", 0x" &amp; D19 &amp; ", 0x" &amp; E19 &amp; ", 0x" &amp;F19 &amp; ", 0x" &amp; G19 &amp; ", 0x" &amp; H19 &amp; ", 0x" &amp; I19 &amp; ", 0x" &amp; J19 &amp; "]]"</f>
        <v>elif steerConfigIndex == 7: ret.lateralParams.torqueBP, ret.lateralParams.torqueV = [[0x0, 0x6B3, 0xB1A, 0xCCD, 0xE9A, 0x104D, 0x119A, 0x11DA], [0x0, 0x200, 0x400, 0x600, 0x800, 0xA00, 0xC00, 0xE00]]</v>
      </c>
      <c r="C47" s="44"/>
      <c r="D47" s="44"/>
      <c r="E47" s="44"/>
      <c r="F47" s="44"/>
      <c r="G47" s="44"/>
      <c r="H47" s="44"/>
      <c r="I47" s="44"/>
      <c r="J47" s="44"/>
      <c r="K47" s="45"/>
    </row>
    <row r="48" spans="2:11" ht="16.5" thickBot="1" x14ac:dyDescent="0.3"/>
    <row r="49" spans="2:11" ht="16.5" thickBot="1" x14ac:dyDescent="0.3">
      <c r="B49" s="31" t="str">
        <f>"'0x000" &amp; C21 &amp; ", 0x0" &amp; D21 &amp; ", 0x0" &amp; E21 &amp; ", 0x0" &amp;F21 &amp; ", 0x0" &amp; G21 &amp; ", 0x" &amp; H21 &amp; ", 0x" &amp; I21 &amp; ", 0x" &amp; J21 &amp; ", 0x" &amp; K21 &amp; "', # " &amp; B21</f>
        <v>'0x0000, 0x0380, 0x0800, 0x0C00, 0x0EB6, 0x10AE, 0x1200, 0x1200, 0x1200', # original torque_table row 1</v>
      </c>
      <c r="C49" s="32"/>
      <c r="D49" s="32"/>
      <c r="E49" s="32"/>
      <c r="F49" s="32"/>
      <c r="G49" s="32"/>
      <c r="H49" s="32"/>
      <c r="I49" s="32"/>
      <c r="J49" s="32"/>
      <c r="K49" s="33"/>
    </row>
    <row r="50" spans="2:11" ht="16.5" thickBot="1" x14ac:dyDescent="0.3">
      <c r="B50" s="31" t="str">
        <f t="shared" ref="B50:B55" si="6">"'0x000" &amp; C22 &amp; ", 0x0" &amp; D22 &amp; ", 0x0" &amp; E22 &amp; ", 0x0" &amp;F22 &amp; ", 0x0" &amp; G22 &amp; ", 0x" &amp; H22 &amp; ", 0x" &amp; I22 &amp; ", 0x" &amp; J22 &amp; ", 0x" &amp; K22 &amp; "', # " &amp; B22</f>
        <v>'0x0000, 0x0746, 0x0B04, 0x0CDF, 0x0E19, 0x1008, 0x1200, 0x1200, 0x1200', # original torque_table row 2</v>
      </c>
      <c r="C50" s="32"/>
      <c r="D50" s="32"/>
      <c r="E50" s="32"/>
      <c r="F50" s="32"/>
      <c r="G50" s="32"/>
      <c r="H50" s="32"/>
      <c r="I50" s="32"/>
      <c r="J50" s="32"/>
      <c r="K50" s="33"/>
    </row>
    <row r="51" spans="2:11" ht="16.5" thickBot="1" x14ac:dyDescent="0.3">
      <c r="B51" s="31" t="str">
        <f t="shared" si="6"/>
        <v>'0x0000, 0x0746, 0x0B04, 0x0CDF, 0x0E19, 0x1008, 0x1200, 0x1200, 0x1200', # original torque_table row 3</v>
      </c>
      <c r="C51" s="32"/>
      <c r="D51" s="32"/>
      <c r="E51" s="32"/>
      <c r="F51" s="32"/>
      <c r="G51" s="32"/>
      <c r="H51" s="32"/>
      <c r="I51" s="32"/>
      <c r="J51" s="32"/>
      <c r="K51" s="33"/>
    </row>
    <row r="52" spans="2:11" ht="16.5" thickBot="1" x14ac:dyDescent="0.3">
      <c r="B52" s="31" t="str">
        <f t="shared" si="6"/>
        <v>'0x0000, 0x0746, 0x0B04, 0x0CDF, 0x0E19, 0x1008, 0x1200, 0x1200, 0x1200', # original torque_table row 4</v>
      </c>
      <c r="C52" s="32"/>
      <c r="D52" s="32"/>
      <c r="E52" s="32"/>
      <c r="F52" s="32"/>
      <c r="G52" s="32"/>
      <c r="H52" s="32"/>
      <c r="I52" s="32"/>
      <c r="J52" s="32"/>
      <c r="K52" s="33"/>
    </row>
    <row r="53" spans="2:11" ht="16.5" thickBot="1" x14ac:dyDescent="0.3">
      <c r="B53" s="31" t="str">
        <f t="shared" si="6"/>
        <v>'0x0000, 0x0746, 0x0B04, 0x0CDF, 0x0E19, 0x1008, 0x1200, 0x1200, 0x1200', # original torque_table row 5</v>
      </c>
      <c r="C53" s="32"/>
      <c r="D53" s="32"/>
      <c r="E53" s="32"/>
      <c r="F53" s="32"/>
      <c r="G53" s="32"/>
      <c r="H53" s="32"/>
      <c r="I53" s="32"/>
      <c r="J53" s="32"/>
      <c r="K53" s="33"/>
    </row>
    <row r="54" spans="2:11" ht="16.5" thickBot="1" x14ac:dyDescent="0.3">
      <c r="B54" s="31" t="str">
        <f t="shared" si="6"/>
        <v>'0x0000, 0x0746, 0x0B04, 0x0CDF, 0x0E19, 0x1008, 0x1200, 0x1200, 0x1200', # original torque_table row 6</v>
      </c>
      <c r="C54" s="32"/>
      <c r="D54" s="32"/>
      <c r="E54" s="32"/>
      <c r="F54" s="32"/>
      <c r="G54" s="32"/>
      <c r="H54" s="32"/>
      <c r="I54" s="32"/>
      <c r="J54" s="32"/>
      <c r="K54" s="33"/>
    </row>
    <row r="55" spans="2:11" ht="16.5" thickBot="1" x14ac:dyDescent="0.3">
      <c r="B55" s="31" t="str">
        <f t="shared" si="6"/>
        <v>'0x0000, 0x06B3, 0x0B1A, 0x0CCD, 0x0E9A, 0x104D, 0x119A, 0x11DA, 0x11DA', # original torque_table row 7</v>
      </c>
      <c r="C55" s="32"/>
      <c r="D55" s="32"/>
      <c r="E55" s="32"/>
      <c r="F55" s="32"/>
      <c r="G55" s="32"/>
      <c r="H55" s="32"/>
      <c r="I55" s="32"/>
      <c r="J55" s="32"/>
      <c r="K55" s="33"/>
    </row>
    <row r="56" spans="2:11" ht="16.5" thickBot="1" x14ac:dyDescent="0.3"/>
    <row r="57" spans="2:11" ht="16.5" thickBot="1" x14ac:dyDescent="0.3">
      <c r="B57" s="31" t="str">
        <f>"'0x000" &amp; C29 &amp; ", 0x0" &amp; D29 &amp; ", 0x0" &amp; E29 &amp; ", 0x0" &amp;F29 &amp; ", 0x0" &amp; G29 &amp; ", 0x" &amp; H29 &amp; ", 0x" &amp; I29 &amp; ", 0x" &amp; J29 &amp; ", 0x" &amp; K29 &amp; "', # " &amp; B29</f>
        <v>'0x0000, 0x0380, 0x0800, 0x0C00, 0x0EB6, 0x10AE, 0x1200, 0x1F80, 0x2D00', # new torque_table row 1</v>
      </c>
      <c r="C57" s="32"/>
      <c r="D57" s="32"/>
      <c r="E57" s="32"/>
      <c r="F57" s="32"/>
      <c r="G57" s="32"/>
      <c r="H57" s="32"/>
      <c r="I57" s="32"/>
      <c r="J57" s="32"/>
      <c r="K57" s="33"/>
    </row>
    <row r="58" spans="2:11" ht="16.5" thickBot="1" x14ac:dyDescent="0.3">
      <c r="B58" s="31" t="str">
        <f t="shared" ref="B58:B63" si="7">"'0x000" &amp; C30 &amp; ", 0x0" &amp; D30 &amp; ", 0x0" &amp; E30 &amp; ", 0x0" &amp;F30 &amp; ", 0x0" &amp; G30 &amp; ", 0x" &amp; H30 &amp; ", 0x" &amp; I30 &amp; ", 0x" &amp; J30 &amp; ", 0x" &amp; K30 &amp; "', # " &amp; B30</f>
        <v>'0x0000, 0x0746, 0x0B04, 0x0CDF, 0x0E19, 0x1008, 0x1200, 0x1F80, 0x2D00', # new torque_table row 2</v>
      </c>
      <c r="C58" s="32"/>
      <c r="D58" s="32"/>
      <c r="E58" s="32"/>
      <c r="F58" s="32"/>
      <c r="G58" s="32"/>
      <c r="H58" s="32"/>
      <c r="I58" s="32"/>
      <c r="J58" s="32"/>
      <c r="K58" s="33"/>
    </row>
    <row r="59" spans="2:11" ht="16.5" thickBot="1" x14ac:dyDescent="0.3">
      <c r="B59" s="31" t="str">
        <f t="shared" si="7"/>
        <v>'0x0000, 0x0746, 0x0B04, 0x0CDF, 0x0E19, 0x1008, 0x1200, 0x1F80, 0x2D00', # new torque_table row 3</v>
      </c>
      <c r="C59" s="32"/>
      <c r="D59" s="32"/>
      <c r="E59" s="32"/>
      <c r="F59" s="32"/>
      <c r="G59" s="32"/>
      <c r="H59" s="32"/>
      <c r="I59" s="32"/>
      <c r="J59" s="32"/>
      <c r="K59" s="33"/>
    </row>
    <row r="60" spans="2:11" ht="16.5" thickBot="1" x14ac:dyDescent="0.3">
      <c r="B60" s="31" t="str">
        <f t="shared" si="7"/>
        <v>'0x0000, 0x0746, 0x0B04, 0x0CDF, 0x0E19, 0x1008, 0x1200, 0x1F80, 0x2D00', # new torque_table row 4</v>
      </c>
      <c r="C60" s="32"/>
      <c r="D60" s="32"/>
      <c r="E60" s="32"/>
      <c r="F60" s="32"/>
      <c r="G60" s="32"/>
      <c r="H60" s="32"/>
      <c r="I60" s="32"/>
      <c r="J60" s="32"/>
      <c r="K60" s="33"/>
    </row>
    <row r="61" spans="2:11" ht="16.5" thickBot="1" x14ac:dyDescent="0.3">
      <c r="B61" s="31" t="str">
        <f t="shared" si="7"/>
        <v>'0x0000, 0x0746, 0x0B04, 0x0CDF, 0x0E19, 0x1008, 0x1200, 0x1F80, 0x2D00', # new torque_table row 5</v>
      </c>
      <c r="C61" s="32"/>
      <c r="D61" s="32"/>
      <c r="E61" s="32"/>
      <c r="F61" s="32"/>
      <c r="G61" s="32"/>
      <c r="H61" s="32"/>
      <c r="I61" s="32"/>
      <c r="J61" s="32"/>
      <c r="K61" s="33"/>
    </row>
    <row r="62" spans="2:11" ht="16.5" thickBot="1" x14ac:dyDescent="0.3">
      <c r="B62" s="31" t="str">
        <f t="shared" si="7"/>
        <v>'0x0000, 0x0746, 0x0B04, 0x0CDF, 0x0E19, 0x1008, 0x1200, 0x1F80, 0x2D00', # new torque_table row 6</v>
      </c>
      <c r="C62" s="32"/>
      <c r="D62" s="32"/>
      <c r="E62" s="32"/>
      <c r="F62" s="32"/>
      <c r="G62" s="32"/>
      <c r="H62" s="32"/>
      <c r="I62" s="32"/>
      <c r="J62" s="32"/>
      <c r="K62" s="33"/>
    </row>
    <row r="63" spans="2:11" ht="16.5" thickBot="1" x14ac:dyDescent="0.3">
      <c r="B63" s="31" t="str">
        <f t="shared" si="7"/>
        <v>'0x0000, 0x06B3, 0x0B1A, 0x0CCD, 0x0E9A, 0x104D, 0x19BE, 0x232F, 0x2CA1', # new torque_table row 7</v>
      </c>
      <c r="C63" s="32"/>
      <c r="D63" s="32"/>
      <c r="E63" s="32"/>
      <c r="F63" s="32"/>
      <c r="G63" s="32"/>
      <c r="H63" s="32"/>
      <c r="I63" s="32"/>
      <c r="J63" s="32"/>
      <c r="K63" s="33"/>
    </row>
  </sheetData>
  <mergeCells count="24">
    <mergeCell ref="B43:K43"/>
    <mergeCell ref="B45:K45"/>
    <mergeCell ref="B46:K46"/>
    <mergeCell ref="B47:K47"/>
    <mergeCell ref="B2:K3"/>
    <mergeCell ref="B37:C37"/>
    <mergeCell ref="B38:C38"/>
    <mergeCell ref="B39:C39"/>
    <mergeCell ref="B41:K41"/>
    <mergeCell ref="B42:K42"/>
    <mergeCell ref="B49:K49"/>
    <mergeCell ref="B50:K50"/>
    <mergeCell ref="B51:K51"/>
    <mergeCell ref="B52:K52"/>
    <mergeCell ref="B53:K53"/>
    <mergeCell ref="B61:K61"/>
    <mergeCell ref="B62:K62"/>
    <mergeCell ref="B63:K63"/>
    <mergeCell ref="B54:K54"/>
    <mergeCell ref="B55:K55"/>
    <mergeCell ref="B57:K57"/>
    <mergeCell ref="B58:K58"/>
    <mergeCell ref="B59:K59"/>
    <mergeCell ref="B60:K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54D8-158B-A84D-9075-87CE06A8021D}">
  <dimension ref="B1:Q63"/>
  <sheetViews>
    <sheetView zoomScale="85" zoomScaleNormal="85" workbookViewId="0">
      <selection activeCell="G38" sqref="G38"/>
    </sheetView>
  </sheetViews>
  <sheetFormatPr defaultColWidth="10.875" defaultRowHeight="15.75" x14ac:dyDescent="0.25"/>
  <cols>
    <col min="1" max="1" width="7.375" style="11" customWidth="1"/>
    <col min="2" max="2" width="13.5" style="11" customWidth="1"/>
    <col min="3" max="11" width="7" style="11" customWidth="1"/>
    <col min="12" max="12" width="10.875" style="11"/>
    <col min="13" max="13" width="18.625" style="11" customWidth="1"/>
    <col min="14" max="14" width="11.875" style="11" customWidth="1"/>
    <col min="15" max="16384" width="10.875" style="11"/>
  </cols>
  <sheetData>
    <row r="1" spans="2:17" x14ac:dyDescent="0.25">
      <c r="C1" s="15"/>
    </row>
    <row r="2" spans="2:17" ht="15.95" customHeight="1" x14ac:dyDescent="0.25">
      <c r="B2" s="34" t="s">
        <v>11</v>
      </c>
      <c r="C2" s="34"/>
      <c r="D2" s="34"/>
      <c r="E2" s="34"/>
      <c r="F2" s="34"/>
      <c r="G2" s="34"/>
      <c r="H2" s="34"/>
      <c r="I2" s="34"/>
      <c r="J2" s="34"/>
      <c r="K2" s="34"/>
    </row>
    <row r="3" spans="2:17" ht="17.100000000000001" customHeight="1" x14ac:dyDescent="0.25"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2:17" x14ac:dyDescent="0.25">
      <c r="K4" s="11" t="s">
        <v>45</v>
      </c>
    </row>
    <row r="5" spans="2:17" x14ac:dyDescent="0.25">
      <c r="B5" s="11" t="s">
        <v>28</v>
      </c>
      <c r="C5" s="16" t="s">
        <v>61</v>
      </c>
      <c r="D5" s="16" t="s">
        <v>2</v>
      </c>
      <c r="E5" s="16" t="s">
        <v>6</v>
      </c>
      <c r="F5" s="16" t="s">
        <v>7</v>
      </c>
      <c r="G5" s="16" t="s">
        <v>73</v>
      </c>
      <c r="H5" s="16" t="s">
        <v>62</v>
      </c>
      <c r="I5" s="16" t="s">
        <v>63</v>
      </c>
      <c r="J5" s="16" t="s">
        <v>65</v>
      </c>
      <c r="K5" s="16" t="s">
        <v>1</v>
      </c>
      <c r="L5" s="23">
        <f>HEX2DEC(K5)</f>
        <v>1663</v>
      </c>
    </row>
    <row r="6" spans="2:17" x14ac:dyDescent="0.25">
      <c r="B6" s="11" t="s">
        <v>32</v>
      </c>
      <c r="C6" s="16" t="s">
        <v>61</v>
      </c>
      <c r="D6" s="16" t="s">
        <v>2</v>
      </c>
      <c r="E6" s="16" t="s">
        <v>6</v>
      </c>
      <c r="F6" s="16" t="s">
        <v>7</v>
      </c>
      <c r="G6" s="16" t="s">
        <v>73</v>
      </c>
      <c r="H6" s="16" t="s">
        <v>62</v>
      </c>
      <c r="I6" s="16" t="s">
        <v>63</v>
      </c>
      <c r="J6" s="16" t="s">
        <v>65</v>
      </c>
      <c r="K6" s="16" t="s">
        <v>1</v>
      </c>
      <c r="N6" s="26" t="s">
        <v>98</v>
      </c>
      <c r="O6" s="26" t="s">
        <v>99</v>
      </c>
      <c r="P6" s="26" t="s">
        <v>103</v>
      </c>
      <c r="Q6" s="26" t="s">
        <v>98</v>
      </c>
    </row>
    <row r="7" spans="2:17" x14ac:dyDescent="0.25">
      <c r="B7" s="11" t="s">
        <v>33</v>
      </c>
      <c r="C7" s="16" t="s">
        <v>61</v>
      </c>
      <c r="D7" s="16" t="s">
        <v>2</v>
      </c>
      <c r="E7" s="16" t="s">
        <v>6</v>
      </c>
      <c r="F7" s="16" t="s">
        <v>7</v>
      </c>
      <c r="G7" s="16" t="s">
        <v>73</v>
      </c>
      <c r="H7" s="16" t="s">
        <v>62</v>
      </c>
      <c r="I7" s="16" t="s">
        <v>63</v>
      </c>
      <c r="J7" s="16" t="s">
        <v>65</v>
      </c>
      <c r="K7" s="16" t="s">
        <v>1</v>
      </c>
      <c r="M7" s="11" t="s">
        <v>96</v>
      </c>
      <c r="N7" s="24" t="s">
        <v>94</v>
      </c>
      <c r="O7" s="11">
        <f>HEX2DEC(N7)</f>
        <v>5760</v>
      </c>
      <c r="P7" s="11">
        <f>SUM(O7*D37)</f>
        <v>14400</v>
      </c>
      <c r="Q7" s="11" t="str">
        <f>DEC2HEX(P7)</f>
        <v>3840</v>
      </c>
    </row>
    <row r="8" spans="2:17" x14ac:dyDescent="0.25">
      <c r="B8" s="11" t="s">
        <v>34</v>
      </c>
      <c r="C8" s="16" t="s">
        <v>61</v>
      </c>
      <c r="D8" s="16" t="s">
        <v>2</v>
      </c>
      <c r="E8" s="16" t="s">
        <v>6</v>
      </c>
      <c r="F8" s="16" t="s">
        <v>7</v>
      </c>
      <c r="G8" s="16" t="s">
        <v>73</v>
      </c>
      <c r="H8" s="16" t="s">
        <v>62</v>
      </c>
      <c r="I8" s="16" t="s">
        <v>63</v>
      </c>
      <c r="J8" s="16" t="s">
        <v>65</v>
      </c>
      <c r="K8" s="16" t="s">
        <v>1</v>
      </c>
      <c r="M8" s="11" t="s">
        <v>97</v>
      </c>
      <c r="N8" s="11">
        <v>3840</v>
      </c>
      <c r="O8" s="23">
        <f>HEX2DEC(N8)</f>
        <v>14400</v>
      </c>
    </row>
    <row r="9" spans="2:17" x14ac:dyDescent="0.25">
      <c r="B9" s="11" t="s">
        <v>35</v>
      </c>
      <c r="C9" s="16" t="s">
        <v>61</v>
      </c>
      <c r="D9" s="16" t="s">
        <v>2</v>
      </c>
      <c r="E9" s="16" t="s">
        <v>6</v>
      </c>
      <c r="F9" s="16" t="s">
        <v>7</v>
      </c>
      <c r="G9" s="16" t="s">
        <v>73</v>
      </c>
      <c r="H9" s="16" t="s">
        <v>62</v>
      </c>
      <c r="I9" s="16" t="s">
        <v>63</v>
      </c>
      <c r="J9" s="16" t="s">
        <v>65</v>
      </c>
      <c r="K9" s="16" t="s">
        <v>1</v>
      </c>
    </row>
    <row r="10" spans="2:17" x14ac:dyDescent="0.25">
      <c r="B10" s="11" t="s">
        <v>36</v>
      </c>
      <c r="C10" s="16" t="s">
        <v>61</v>
      </c>
      <c r="D10" s="16" t="s">
        <v>2</v>
      </c>
      <c r="E10" s="16" t="s">
        <v>6</v>
      </c>
      <c r="F10" s="16" t="s">
        <v>7</v>
      </c>
      <c r="G10" s="16" t="s">
        <v>73</v>
      </c>
      <c r="H10" s="16" t="s">
        <v>62</v>
      </c>
      <c r="I10" s="16" t="s">
        <v>63</v>
      </c>
      <c r="J10" s="16" t="s">
        <v>65</v>
      </c>
      <c r="K10" s="16" t="s">
        <v>1</v>
      </c>
      <c r="M10" s="11" t="s">
        <v>100</v>
      </c>
      <c r="N10" s="11">
        <v>1200</v>
      </c>
      <c r="O10" s="11">
        <f>HEX2DEC(N10)</f>
        <v>4608</v>
      </c>
      <c r="P10" s="11">
        <f>SUM(O10*D37)</f>
        <v>11520</v>
      </c>
      <c r="Q10" s="23" t="str">
        <f>DEC2HEX(P10)</f>
        <v>2D00</v>
      </c>
    </row>
    <row r="11" spans="2:17" x14ac:dyDescent="0.25">
      <c r="B11" s="11" t="s">
        <v>37</v>
      </c>
      <c r="C11" s="16" t="s">
        <v>61</v>
      </c>
      <c r="D11" s="16" t="s">
        <v>2</v>
      </c>
      <c r="E11" s="16" t="s">
        <v>0</v>
      </c>
      <c r="F11" s="16" t="s">
        <v>66</v>
      </c>
      <c r="G11" s="16" t="s">
        <v>62</v>
      </c>
      <c r="H11" s="16" t="s">
        <v>74</v>
      </c>
      <c r="I11" s="16" t="s">
        <v>64</v>
      </c>
      <c r="J11" s="16" t="s">
        <v>65</v>
      </c>
      <c r="K11" s="16" t="s">
        <v>1</v>
      </c>
      <c r="M11" s="11" t="s">
        <v>101</v>
      </c>
      <c r="N11" s="11" t="s">
        <v>102</v>
      </c>
      <c r="O11" s="23">
        <f>HEX2DEC(N11)</f>
        <v>11520</v>
      </c>
    </row>
    <row r="13" spans="2:17" x14ac:dyDescent="0.25">
      <c r="B13" s="11" t="s">
        <v>38</v>
      </c>
      <c r="C13" s="11" t="str">
        <f>DEC2HEX(_xlfn.BITLSHIFT(ROUND(HEX2DEC(C5)/SQRT(3),0),2))</f>
        <v>0</v>
      </c>
      <c r="D13" s="11" t="str">
        <f t="shared" ref="D13:K19" si="0">DEC2HEX(_xlfn.BITLSHIFT(ROUND(HEX2DEC(D5)/SQRT(3),0),2))</f>
        <v>200</v>
      </c>
      <c r="E13" s="11" t="str">
        <f t="shared" si="0"/>
        <v>300</v>
      </c>
      <c r="F13" s="11" t="str">
        <f t="shared" si="0"/>
        <v>478</v>
      </c>
      <c r="G13" s="11" t="str">
        <f t="shared" si="0"/>
        <v>5EC</v>
      </c>
      <c r="H13" s="11" t="str">
        <f t="shared" si="0"/>
        <v>800</v>
      </c>
      <c r="I13" s="11" t="str">
        <f t="shared" si="0"/>
        <v>A00</v>
      </c>
      <c r="J13" s="22" t="str">
        <f t="shared" si="0"/>
        <v>E00</v>
      </c>
      <c r="K13" s="22" t="str">
        <f t="shared" si="0"/>
        <v>F00</v>
      </c>
      <c r="L13" s="11">
        <f>HEX2DEC(K13)</f>
        <v>3840</v>
      </c>
    </row>
    <row r="14" spans="2:17" x14ac:dyDescent="0.25">
      <c r="B14" s="11" t="s">
        <v>39</v>
      </c>
      <c r="C14" s="11" t="str">
        <f t="shared" ref="C14:C19" si="1">DEC2HEX(_xlfn.BITLSHIFT(ROUND(HEX2DEC(C6)/SQRT(3),0),2))</f>
        <v>0</v>
      </c>
      <c r="D14" s="11" t="str">
        <f t="shared" si="0"/>
        <v>200</v>
      </c>
      <c r="E14" s="11" t="str">
        <f t="shared" si="0"/>
        <v>300</v>
      </c>
      <c r="F14" s="11" t="str">
        <f t="shared" si="0"/>
        <v>478</v>
      </c>
      <c r="G14" s="11" t="str">
        <f t="shared" si="0"/>
        <v>5EC</v>
      </c>
      <c r="H14" s="11" t="str">
        <f t="shared" si="0"/>
        <v>800</v>
      </c>
      <c r="I14" s="11" t="str">
        <f t="shared" si="0"/>
        <v>A00</v>
      </c>
      <c r="J14" s="22" t="str">
        <f t="shared" si="0"/>
        <v>E00</v>
      </c>
      <c r="K14" s="22" t="str">
        <f t="shared" si="0"/>
        <v>F00</v>
      </c>
    </row>
    <row r="15" spans="2:17" x14ac:dyDescent="0.25">
      <c r="B15" s="11" t="s">
        <v>40</v>
      </c>
      <c r="C15" s="11" t="str">
        <f t="shared" si="1"/>
        <v>0</v>
      </c>
      <c r="D15" s="11" t="str">
        <f t="shared" si="0"/>
        <v>200</v>
      </c>
      <c r="E15" s="11" t="str">
        <f t="shared" si="0"/>
        <v>300</v>
      </c>
      <c r="F15" s="11" t="str">
        <f t="shared" si="0"/>
        <v>478</v>
      </c>
      <c r="G15" s="11" t="str">
        <f t="shared" si="0"/>
        <v>5EC</v>
      </c>
      <c r="H15" s="11" t="str">
        <f t="shared" si="0"/>
        <v>800</v>
      </c>
      <c r="I15" s="11" t="str">
        <f t="shared" si="0"/>
        <v>A00</v>
      </c>
      <c r="J15" s="22" t="str">
        <f t="shared" si="0"/>
        <v>E00</v>
      </c>
      <c r="K15" s="22" t="str">
        <f t="shared" si="0"/>
        <v>F00</v>
      </c>
    </row>
    <row r="16" spans="2:17" x14ac:dyDescent="0.25">
      <c r="B16" s="11" t="s">
        <v>41</v>
      </c>
      <c r="C16" s="11" t="str">
        <f t="shared" si="1"/>
        <v>0</v>
      </c>
      <c r="D16" s="11" t="str">
        <f t="shared" si="0"/>
        <v>200</v>
      </c>
      <c r="E16" s="11" t="str">
        <f t="shared" si="0"/>
        <v>300</v>
      </c>
      <c r="F16" s="11" t="str">
        <f t="shared" si="0"/>
        <v>478</v>
      </c>
      <c r="G16" s="11" t="str">
        <f t="shared" si="0"/>
        <v>5EC</v>
      </c>
      <c r="H16" s="11" t="str">
        <f t="shared" si="0"/>
        <v>800</v>
      </c>
      <c r="I16" s="11" t="str">
        <f t="shared" si="0"/>
        <v>A00</v>
      </c>
      <c r="J16" s="22" t="str">
        <f t="shared" si="0"/>
        <v>E00</v>
      </c>
      <c r="K16" s="22" t="str">
        <f t="shared" si="0"/>
        <v>F00</v>
      </c>
    </row>
    <row r="17" spans="2:17" x14ac:dyDescent="0.25">
      <c r="B17" s="11" t="s">
        <v>42</v>
      </c>
      <c r="C17" s="11" t="str">
        <f t="shared" si="1"/>
        <v>0</v>
      </c>
      <c r="D17" s="11" t="str">
        <f t="shared" si="0"/>
        <v>200</v>
      </c>
      <c r="E17" s="11" t="str">
        <f t="shared" si="0"/>
        <v>300</v>
      </c>
      <c r="F17" s="11" t="str">
        <f t="shared" si="0"/>
        <v>478</v>
      </c>
      <c r="G17" s="11" t="str">
        <f t="shared" si="0"/>
        <v>5EC</v>
      </c>
      <c r="H17" s="11" t="str">
        <f t="shared" si="0"/>
        <v>800</v>
      </c>
      <c r="I17" s="11" t="str">
        <f t="shared" si="0"/>
        <v>A00</v>
      </c>
      <c r="J17" s="22" t="str">
        <f t="shared" si="0"/>
        <v>E00</v>
      </c>
      <c r="K17" s="22" t="str">
        <f t="shared" si="0"/>
        <v>F00</v>
      </c>
    </row>
    <row r="18" spans="2:17" x14ac:dyDescent="0.25">
      <c r="B18" s="11" t="s">
        <v>43</v>
      </c>
      <c r="C18" s="11" t="str">
        <f t="shared" si="1"/>
        <v>0</v>
      </c>
      <c r="D18" s="11" t="str">
        <f t="shared" si="0"/>
        <v>200</v>
      </c>
      <c r="E18" s="11" t="str">
        <f t="shared" si="0"/>
        <v>300</v>
      </c>
      <c r="F18" s="11" t="str">
        <f t="shared" si="0"/>
        <v>478</v>
      </c>
      <c r="G18" s="11" t="str">
        <f t="shared" si="0"/>
        <v>5EC</v>
      </c>
      <c r="H18" s="11" t="str">
        <f t="shared" si="0"/>
        <v>800</v>
      </c>
      <c r="I18" s="11" t="str">
        <f t="shared" si="0"/>
        <v>A00</v>
      </c>
      <c r="J18" s="22" t="str">
        <f t="shared" si="0"/>
        <v>E00</v>
      </c>
      <c r="K18" s="22" t="str">
        <f t="shared" si="0"/>
        <v>F00</v>
      </c>
      <c r="N18" s="26" t="s">
        <v>98</v>
      </c>
      <c r="O18" s="26" t="s">
        <v>99</v>
      </c>
      <c r="P18" s="26" t="s">
        <v>103</v>
      </c>
    </row>
    <row r="19" spans="2:17" x14ac:dyDescent="0.25">
      <c r="B19" s="11" t="s">
        <v>44</v>
      </c>
      <c r="C19" s="11" t="str">
        <f t="shared" si="1"/>
        <v>0</v>
      </c>
      <c r="D19" s="11" t="str">
        <f t="shared" si="0"/>
        <v>200</v>
      </c>
      <c r="E19" s="11" t="str">
        <f t="shared" si="0"/>
        <v>400</v>
      </c>
      <c r="F19" s="11" t="str">
        <f t="shared" si="0"/>
        <v>600</v>
      </c>
      <c r="G19" s="11" t="str">
        <f t="shared" si="0"/>
        <v>800</v>
      </c>
      <c r="H19" s="11" t="str">
        <f t="shared" si="0"/>
        <v>A00</v>
      </c>
      <c r="I19" s="11" t="str">
        <f t="shared" si="0"/>
        <v>C00</v>
      </c>
      <c r="J19" s="11" t="str">
        <f t="shared" si="0"/>
        <v>E00</v>
      </c>
      <c r="K19" s="22" t="str">
        <f t="shared" si="0"/>
        <v>F00</v>
      </c>
      <c r="M19" s="11" t="s">
        <v>104</v>
      </c>
      <c r="N19" s="11">
        <v>108</v>
      </c>
      <c r="O19" s="11">
        <f>HEX2DEC(N19)</f>
        <v>264</v>
      </c>
      <c r="P19" s="11">
        <f>SUM(O19*D37)</f>
        <v>660</v>
      </c>
    </row>
    <row r="20" spans="2:17" x14ac:dyDescent="0.25">
      <c r="M20" s="11" t="s">
        <v>105</v>
      </c>
      <c r="N20" s="11">
        <v>480</v>
      </c>
      <c r="O20" s="23">
        <f>HEX2DEC(N20)</f>
        <v>1152</v>
      </c>
      <c r="P20" s="23"/>
    </row>
    <row r="21" spans="2:17" x14ac:dyDescent="0.25">
      <c r="B21" s="11" t="s">
        <v>46</v>
      </c>
      <c r="C21" s="17" t="s">
        <v>61</v>
      </c>
      <c r="D21" s="17" t="s">
        <v>60</v>
      </c>
      <c r="E21" s="17" t="s">
        <v>22</v>
      </c>
      <c r="F21" s="17" t="s">
        <v>91</v>
      </c>
      <c r="G21" s="17" t="s">
        <v>92</v>
      </c>
      <c r="H21" s="17" t="s">
        <v>93</v>
      </c>
      <c r="I21" s="17" t="s">
        <v>94</v>
      </c>
      <c r="J21" s="17" t="s">
        <v>94</v>
      </c>
      <c r="K21" s="17" t="s">
        <v>94</v>
      </c>
      <c r="L21" s="11">
        <f>HEX2DEC(K21)</f>
        <v>5760</v>
      </c>
    </row>
    <row r="22" spans="2:17" x14ac:dyDescent="0.25">
      <c r="B22" s="11" t="s">
        <v>47</v>
      </c>
      <c r="C22" s="17" t="s">
        <v>61</v>
      </c>
      <c r="D22" s="17" t="s">
        <v>60</v>
      </c>
      <c r="E22" s="17" t="s">
        <v>22</v>
      </c>
      <c r="F22" s="17" t="s">
        <v>91</v>
      </c>
      <c r="G22" s="17" t="s">
        <v>92</v>
      </c>
      <c r="H22" s="17" t="s">
        <v>93</v>
      </c>
      <c r="I22" s="17" t="s">
        <v>94</v>
      </c>
      <c r="J22" s="17" t="s">
        <v>94</v>
      </c>
      <c r="K22" s="17" t="s">
        <v>94</v>
      </c>
    </row>
    <row r="23" spans="2:17" x14ac:dyDescent="0.25">
      <c r="B23" s="11" t="s">
        <v>48</v>
      </c>
      <c r="C23" s="17" t="s">
        <v>61</v>
      </c>
      <c r="D23" s="17" t="s">
        <v>60</v>
      </c>
      <c r="E23" s="17" t="s">
        <v>22</v>
      </c>
      <c r="F23" s="17" t="s">
        <v>91</v>
      </c>
      <c r="G23" s="17" t="s">
        <v>92</v>
      </c>
      <c r="H23" s="17" t="s">
        <v>93</v>
      </c>
      <c r="I23" s="17" t="s">
        <v>94</v>
      </c>
      <c r="J23" s="17" t="s">
        <v>94</v>
      </c>
      <c r="K23" s="17" t="s">
        <v>94</v>
      </c>
    </row>
    <row r="24" spans="2:17" x14ac:dyDescent="0.25">
      <c r="B24" s="11" t="s">
        <v>49</v>
      </c>
      <c r="C24" s="17" t="s">
        <v>61</v>
      </c>
      <c r="D24" s="17" t="s">
        <v>60</v>
      </c>
      <c r="E24" s="17" t="s">
        <v>22</v>
      </c>
      <c r="F24" s="17" t="s">
        <v>91</v>
      </c>
      <c r="G24" s="17" t="s">
        <v>92</v>
      </c>
      <c r="H24" s="17" t="s">
        <v>93</v>
      </c>
      <c r="I24" s="17" t="s">
        <v>94</v>
      </c>
      <c r="J24" s="17" t="s">
        <v>94</v>
      </c>
      <c r="K24" s="17" t="s">
        <v>94</v>
      </c>
    </row>
    <row r="25" spans="2:17" x14ac:dyDescent="0.25">
      <c r="B25" s="11" t="s">
        <v>50</v>
      </c>
      <c r="C25" s="17" t="s">
        <v>61</v>
      </c>
      <c r="D25" s="17" t="s">
        <v>60</v>
      </c>
      <c r="E25" s="17" t="s">
        <v>22</v>
      </c>
      <c r="F25" s="17" t="s">
        <v>91</v>
      </c>
      <c r="G25" s="17" t="s">
        <v>92</v>
      </c>
      <c r="H25" s="17" t="s">
        <v>93</v>
      </c>
      <c r="I25" s="17" t="s">
        <v>94</v>
      </c>
      <c r="J25" s="17" t="s">
        <v>94</v>
      </c>
      <c r="K25" s="17" t="s">
        <v>94</v>
      </c>
      <c r="N25" s="26" t="s">
        <v>106</v>
      </c>
      <c r="O25" s="26" t="s">
        <v>107</v>
      </c>
      <c r="P25" s="27" t="s">
        <v>110</v>
      </c>
      <c r="Q25" s="26" t="s">
        <v>111</v>
      </c>
    </row>
    <row r="26" spans="2:17" x14ac:dyDescent="0.25">
      <c r="B26" s="11" t="s">
        <v>51</v>
      </c>
      <c r="C26" s="17" t="s">
        <v>61</v>
      </c>
      <c r="D26" s="17" t="s">
        <v>60</v>
      </c>
      <c r="E26" s="17" t="s">
        <v>22</v>
      </c>
      <c r="F26" s="17" t="s">
        <v>91</v>
      </c>
      <c r="G26" s="17" t="s">
        <v>92</v>
      </c>
      <c r="H26" s="17" t="s">
        <v>93</v>
      </c>
      <c r="I26" s="17" t="s">
        <v>94</v>
      </c>
      <c r="J26" s="17" t="s">
        <v>94</v>
      </c>
      <c r="K26" s="17" t="s">
        <v>94</v>
      </c>
      <c r="M26" s="11" t="s">
        <v>108</v>
      </c>
      <c r="N26" s="11">
        <v>2560</v>
      </c>
      <c r="O26" s="11">
        <v>8000</v>
      </c>
      <c r="P26" s="11" t="str">
        <f>DEC2HEX(N26)</f>
        <v>A00</v>
      </c>
      <c r="Q26" s="23" t="str">
        <f>DEC2HEX(O26)</f>
        <v>1F40</v>
      </c>
    </row>
    <row r="27" spans="2:17" x14ac:dyDescent="0.25">
      <c r="B27" s="11" t="s">
        <v>52</v>
      </c>
      <c r="C27" s="16" t="s">
        <v>61</v>
      </c>
      <c r="D27" s="18" t="s">
        <v>68</v>
      </c>
      <c r="E27" s="16" t="s">
        <v>82</v>
      </c>
      <c r="F27" s="16" t="s">
        <v>83</v>
      </c>
      <c r="G27" s="16" t="s">
        <v>84</v>
      </c>
      <c r="H27" s="16" t="s">
        <v>85</v>
      </c>
      <c r="I27" s="16" t="s">
        <v>86</v>
      </c>
      <c r="J27" s="16" t="s">
        <v>87</v>
      </c>
      <c r="K27" s="16" t="s">
        <v>87</v>
      </c>
      <c r="M27" s="23" t="s">
        <v>109</v>
      </c>
      <c r="N27" s="11">
        <v>2560</v>
      </c>
      <c r="O27" s="11">
        <v>3840</v>
      </c>
      <c r="P27" s="23" t="str">
        <f>DEC2HEX(N27)</f>
        <v>A00</v>
      </c>
      <c r="Q27" s="23" t="str">
        <f>DEC2HEX(O27)</f>
        <v>F00</v>
      </c>
    </row>
    <row r="29" spans="2:17" x14ac:dyDescent="0.25">
      <c r="B29" s="11" t="s">
        <v>53</v>
      </c>
      <c r="C29" s="11" t="str">
        <f>C21</f>
        <v>0</v>
      </c>
      <c r="D29" s="11" t="str">
        <f t="shared" ref="D29:I29" si="2">D21</f>
        <v>917</v>
      </c>
      <c r="E29" s="11" t="str">
        <f t="shared" si="2"/>
        <v>DC5</v>
      </c>
      <c r="F29" s="11" t="str">
        <f t="shared" si="2"/>
        <v>1017</v>
      </c>
      <c r="G29" s="11" t="str">
        <f t="shared" si="2"/>
        <v>119F</v>
      </c>
      <c r="H29" s="11" t="str">
        <f t="shared" si="2"/>
        <v>140B</v>
      </c>
      <c r="I29" s="11" t="str">
        <f t="shared" si="2"/>
        <v>1680</v>
      </c>
      <c r="J29" s="21" t="str">
        <f>DEC2HEX(HEX2DEC(K29)-HEX2DEC(I29)/2)</f>
        <v>2D00</v>
      </c>
      <c r="K29" s="21" t="str">
        <f>DEC2HEX(HEX2DEC(K21)*D$37)</f>
        <v>3840</v>
      </c>
      <c r="L29" s="11">
        <f>HEX2DEC(K29)</f>
        <v>14400</v>
      </c>
    </row>
    <row r="30" spans="2:17" x14ac:dyDescent="0.25">
      <c r="B30" s="11" t="s">
        <v>54</v>
      </c>
      <c r="C30" s="11" t="str">
        <f t="shared" ref="C30:I35" si="3">C22</f>
        <v>0</v>
      </c>
      <c r="D30" s="11" t="str">
        <f t="shared" si="3"/>
        <v>917</v>
      </c>
      <c r="E30" s="11" t="str">
        <f t="shared" si="3"/>
        <v>DC5</v>
      </c>
      <c r="F30" s="11" t="str">
        <f t="shared" si="3"/>
        <v>1017</v>
      </c>
      <c r="G30" s="11" t="str">
        <f t="shared" si="3"/>
        <v>119F</v>
      </c>
      <c r="H30" s="11" t="str">
        <f t="shared" si="3"/>
        <v>140B</v>
      </c>
      <c r="I30" s="11" t="str">
        <f t="shared" si="3"/>
        <v>1680</v>
      </c>
      <c r="J30" s="21" t="str">
        <f t="shared" ref="J30:J34" si="4">DEC2HEX(HEX2DEC(K30)-HEX2DEC(I30)/2)</f>
        <v>2D00</v>
      </c>
      <c r="K30" s="21" t="str">
        <f t="shared" ref="K30:K35" si="5">DEC2HEX(HEX2DEC(K22)*D$37)</f>
        <v>3840</v>
      </c>
    </row>
    <row r="31" spans="2:17" x14ac:dyDescent="0.25">
      <c r="B31" s="11" t="s">
        <v>55</v>
      </c>
      <c r="C31" s="11" t="str">
        <f t="shared" si="3"/>
        <v>0</v>
      </c>
      <c r="D31" s="11" t="str">
        <f t="shared" si="3"/>
        <v>917</v>
      </c>
      <c r="E31" s="11" t="str">
        <f t="shared" si="3"/>
        <v>DC5</v>
      </c>
      <c r="F31" s="11" t="str">
        <f t="shared" si="3"/>
        <v>1017</v>
      </c>
      <c r="G31" s="11" t="str">
        <f t="shared" si="3"/>
        <v>119F</v>
      </c>
      <c r="H31" s="11" t="str">
        <f t="shared" si="3"/>
        <v>140B</v>
      </c>
      <c r="I31" s="11" t="str">
        <f t="shared" si="3"/>
        <v>1680</v>
      </c>
      <c r="J31" s="21" t="str">
        <f t="shared" si="4"/>
        <v>2D00</v>
      </c>
      <c r="K31" s="21" t="str">
        <f t="shared" si="5"/>
        <v>3840</v>
      </c>
    </row>
    <row r="32" spans="2:17" x14ac:dyDescent="0.25">
      <c r="B32" s="11" t="s">
        <v>56</v>
      </c>
      <c r="C32" s="11" t="str">
        <f t="shared" si="3"/>
        <v>0</v>
      </c>
      <c r="D32" s="11" t="str">
        <f t="shared" si="3"/>
        <v>917</v>
      </c>
      <c r="E32" s="11" t="str">
        <f t="shared" si="3"/>
        <v>DC5</v>
      </c>
      <c r="F32" s="11" t="str">
        <f t="shared" si="3"/>
        <v>1017</v>
      </c>
      <c r="G32" s="11" t="str">
        <f t="shared" si="3"/>
        <v>119F</v>
      </c>
      <c r="H32" s="11" t="str">
        <f t="shared" si="3"/>
        <v>140B</v>
      </c>
      <c r="I32" s="11" t="str">
        <f t="shared" si="3"/>
        <v>1680</v>
      </c>
      <c r="J32" s="21" t="str">
        <f t="shared" si="4"/>
        <v>2D00</v>
      </c>
      <c r="K32" s="21" t="str">
        <f t="shared" si="5"/>
        <v>3840</v>
      </c>
    </row>
    <row r="33" spans="2:11" x14ac:dyDescent="0.25">
      <c r="B33" s="11" t="s">
        <v>57</v>
      </c>
      <c r="C33" s="11" t="str">
        <f t="shared" si="3"/>
        <v>0</v>
      </c>
      <c r="D33" s="11" t="str">
        <f t="shared" si="3"/>
        <v>917</v>
      </c>
      <c r="E33" s="11" t="str">
        <f t="shared" si="3"/>
        <v>DC5</v>
      </c>
      <c r="F33" s="11" t="str">
        <f t="shared" si="3"/>
        <v>1017</v>
      </c>
      <c r="G33" s="11" t="str">
        <f t="shared" si="3"/>
        <v>119F</v>
      </c>
      <c r="H33" s="11" t="str">
        <f t="shared" si="3"/>
        <v>140B</v>
      </c>
      <c r="I33" s="11" t="str">
        <f t="shared" si="3"/>
        <v>1680</v>
      </c>
      <c r="J33" s="21" t="str">
        <f t="shared" si="4"/>
        <v>2D00</v>
      </c>
      <c r="K33" s="21" t="str">
        <f t="shared" si="5"/>
        <v>3840</v>
      </c>
    </row>
    <row r="34" spans="2:11" x14ac:dyDescent="0.25">
      <c r="B34" s="11" t="s">
        <v>58</v>
      </c>
      <c r="C34" s="11" t="str">
        <f t="shared" si="3"/>
        <v>0</v>
      </c>
      <c r="D34" s="11" t="str">
        <f t="shared" si="3"/>
        <v>917</v>
      </c>
      <c r="E34" s="11" t="str">
        <f t="shared" si="3"/>
        <v>DC5</v>
      </c>
      <c r="F34" s="11" t="str">
        <f t="shared" si="3"/>
        <v>1017</v>
      </c>
      <c r="G34" s="11" t="str">
        <f t="shared" si="3"/>
        <v>119F</v>
      </c>
      <c r="H34" s="11" t="str">
        <f t="shared" si="3"/>
        <v>140B</v>
      </c>
      <c r="I34" s="11" t="str">
        <f t="shared" si="3"/>
        <v>1680</v>
      </c>
      <c r="J34" s="21" t="str">
        <f t="shared" si="4"/>
        <v>2D00</v>
      </c>
      <c r="K34" s="21" t="str">
        <f t="shared" si="5"/>
        <v>3840</v>
      </c>
    </row>
    <row r="35" spans="2:11" x14ac:dyDescent="0.25">
      <c r="B35" s="11" t="s">
        <v>59</v>
      </c>
      <c r="C35" s="11" t="str">
        <f t="shared" si="3"/>
        <v>0</v>
      </c>
      <c r="D35" s="11" t="str">
        <f t="shared" si="3"/>
        <v>6B3</v>
      </c>
      <c r="E35" s="11" t="str">
        <f t="shared" si="3"/>
        <v>B1A</v>
      </c>
      <c r="F35" s="11" t="str">
        <f t="shared" si="3"/>
        <v>CCD</v>
      </c>
      <c r="G35" s="11" t="str">
        <f t="shared" si="3"/>
        <v>E9A</v>
      </c>
      <c r="H35" s="11" t="str">
        <f t="shared" si="3"/>
        <v>104D</v>
      </c>
      <c r="I35" s="21" t="str">
        <f>DEC2HEX(HEX2DEC(H35)+((HEX2DEC(K35)-HEX2DEC(H35))/3*1))</f>
        <v>19BE</v>
      </c>
      <c r="J35" s="21" t="str">
        <f>DEC2HEX(HEX2DEC(H35)+((HEX2DEC(K35)-HEX2DEC(H35))/3*2))</f>
        <v>232F</v>
      </c>
      <c r="K35" s="21" t="str">
        <f t="shared" si="5"/>
        <v>2CA1</v>
      </c>
    </row>
    <row r="37" spans="2:11" x14ac:dyDescent="0.25">
      <c r="B37" s="35" t="s">
        <v>27</v>
      </c>
      <c r="C37" s="35"/>
      <c r="D37" s="16">
        <v>2.5</v>
      </c>
    </row>
    <row r="38" spans="2:11" x14ac:dyDescent="0.25">
      <c r="B38" s="35" t="s">
        <v>9</v>
      </c>
      <c r="C38" s="35"/>
      <c r="D38" s="16" t="s">
        <v>8</v>
      </c>
    </row>
    <row r="39" spans="2:11" x14ac:dyDescent="0.25">
      <c r="B39" s="36" t="s">
        <v>23</v>
      </c>
      <c r="C39" s="36"/>
      <c r="D39" s="17">
        <v>1</v>
      </c>
    </row>
    <row r="40" spans="2:11" ht="16.5" thickBot="1" x14ac:dyDescent="0.3"/>
    <row r="41" spans="2:11" ht="50.1" customHeight="1" thickBot="1" x14ac:dyDescent="0.3">
      <c r="B41" s="37" t="str">
        <f>"if steerConfigIndex in [1, 2, 3, 4, 5, 6]: ret.lateralParams.torqueBP, ret.lateralParams.torqueV = [[0x" &amp; C29 &amp; ", 0x" &amp; D29 &amp; ", 0x" &amp; E29 &amp; ", 0x" &amp;F29 &amp; ", 0x" &amp; G29 &amp; ", 0x" &amp; H29 &amp; ", 0x" &amp; I29 &amp; ", 0x" &amp; J29 &amp; ", 0x" &amp; K29 &amp; "], [0x" &amp; C13 &amp; ", 0x" &amp; D13 &amp; ", 0x" &amp; E13 &amp; ", 0x" &amp;F13 &amp; ", 0x" &amp; G13 &amp; ", 0x" &amp; H13 &amp; ", 0x" &amp; I13 &amp; ", 0x" &amp; J13 &amp; ", 0x" &amp; K13 &amp; "]]"</f>
        <v>if steerConfigIndex in [1, 2, 3, 4, 5, 6]: ret.lateralParams.torqueBP, ret.lateralParams.torqueV = [[0x0, 0x917, 0xDC5, 0x1017, 0x119F, 0x140B, 0x1680, 0x2D00, 0x3840], [0x0, 0x200, 0x300, 0x478, 0x5EC, 0x800, 0xA00, 0xE00, 0xF00]]</v>
      </c>
      <c r="C41" s="38"/>
      <c r="D41" s="38"/>
      <c r="E41" s="38"/>
      <c r="F41" s="38"/>
      <c r="G41" s="38"/>
      <c r="H41" s="38"/>
      <c r="I41" s="38"/>
      <c r="J41" s="38"/>
      <c r="K41" s="39"/>
    </row>
    <row r="42" spans="2:11" ht="50.1" customHeight="1" thickBot="1" x14ac:dyDescent="0.3">
      <c r="B42" s="37" t="str">
        <f>"elif steerConfigIndex == 7: ret.lateralParams.torqueBP, ret.lateralParams.torqueV = [[0x" &amp; C35 &amp; ", 0x" &amp; D35 &amp; ", 0x" &amp; E35 &amp; ", 0x" &amp;F35 &amp; ", 0x" &amp; G35 &amp; ", 0x" &amp; H35 &amp; ", 0x" &amp; I35 &amp; ", 0x" &amp; J35 &amp; ", 0x" &amp; K35 &amp; "], [0x" &amp; C19 &amp; ", 0x" &amp; D19 &amp; ", 0x" &amp; E19 &amp; ", 0x" &amp;F19 &amp; ", 0x" &amp; G19 &amp; ", 0x" &amp; H19 &amp; ", 0x" &amp; I19 &amp; ", 0x" &amp; J19 &amp; ", 0x" &amp; K19 &amp; "]]"</f>
        <v>elif steerConfigIndex == 7: ret.lateralParams.torqueBP, ret.lateralParams.torqueV = [[0x0, 0x6B3, 0xB1A, 0xCCD, 0xE9A, 0x104D, 0x19BE, 0x232F, 0x2CA1], [0x0, 0x200, 0x400, 0x600, 0x800, 0xA00, 0xC00, 0xE00, 0xF00]]</v>
      </c>
      <c r="C42" s="38"/>
      <c r="D42" s="38"/>
      <c r="E42" s="38"/>
      <c r="F42" s="38"/>
      <c r="G42" s="38"/>
      <c r="H42" s="38"/>
      <c r="I42" s="38"/>
      <c r="J42" s="38"/>
      <c r="K42" s="39"/>
    </row>
    <row r="43" spans="2:11" ht="16.5" thickBot="1" x14ac:dyDescent="0.3">
      <c r="B43" s="19"/>
      <c r="C43" s="12"/>
      <c r="D43" s="19"/>
      <c r="E43" s="19"/>
      <c r="F43" s="19"/>
      <c r="G43" s="19"/>
      <c r="H43" s="19"/>
      <c r="I43" s="19"/>
      <c r="J43" s="19"/>
      <c r="K43" s="19"/>
    </row>
    <row r="44" spans="2:11" ht="51.95" customHeight="1" thickBot="1" x14ac:dyDescent="0.3">
      <c r="B44" s="37" t="str">
        <f>"if steerConfigIndex in [1, 2, 3, 4, 5, 6]: ret.lateralParams.torqueBP, ret.lateralParams.torqueV = [[0x" &amp; C21 &amp; ", 0x" &amp; D21 &amp; ", 0x" &amp; E21 &amp; ", 0x" &amp;F21 &amp; ", 0x" &amp; G21 &amp; ", 0x" &amp; H21 &amp; ", 0x" &amp; I21 &amp; "], [0x" &amp; C13 &amp; ", 0x" &amp; D13 &amp; ", 0x" &amp; E13 &amp; ", 0x" &amp;F13 &amp; ", 0x" &amp; G13 &amp; ", 0x" &amp; H13 &amp; ", 0x" &amp; I13 &amp;"]]"</f>
        <v>if steerConfigIndex in [1, 2, 3, 4, 5, 6]: ret.lateralParams.torqueBP, ret.lateralParams.torqueV = [[0x0, 0x917, 0xDC5, 0x1017, 0x119F, 0x140B, 0x1680], [0x0, 0x200, 0x300, 0x478, 0x5EC, 0x800, 0xA00]]</v>
      </c>
      <c r="C44" s="38"/>
      <c r="D44" s="38"/>
      <c r="E44" s="38"/>
      <c r="F44" s="38"/>
      <c r="G44" s="38"/>
      <c r="H44" s="38"/>
      <c r="I44" s="38"/>
      <c r="J44" s="38"/>
      <c r="K44" s="39"/>
    </row>
    <row r="45" spans="2:11" ht="51.95" customHeight="1" thickBot="1" x14ac:dyDescent="0.3">
      <c r="B45" s="43" t="str">
        <f>"elif steerConfigIndex == 7: ret.lateralParams.torqueBP, ret.lateralParams.torqueV = [[0x" &amp; C27 &amp; ", 0x" &amp; D27 &amp; ", 0x" &amp; E27 &amp; ", 0x" &amp;F27 &amp; ", 0x" &amp; G27 &amp; ", 0x" &amp; H27 &amp; ", 0x" &amp; I27 &amp; ", 0x" &amp; J27 &amp; "], [0x" &amp; C19 &amp; ", 0x" &amp; D19 &amp; ", 0x" &amp; E19 &amp; ", 0x" &amp;F19 &amp; ", 0x" &amp; G19 &amp; ", 0x" &amp; H19 &amp; ", 0x" &amp; I19 &amp; ", 0x" &amp; J19 &amp; "]]"</f>
        <v>elif steerConfigIndex == 7: ret.lateralParams.torqueBP, ret.lateralParams.torqueV = [[0x0, 0x6B3, 0xB1A, 0xCCD, 0xE9A, 0x104D, 0x119A, 0x11DA], [0x0, 0x200, 0x400, 0x600, 0x800, 0xA00, 0xC00, 0xE00]]</v>
      </c>
      <c r="C45" s="44"/>
      <c r="D45" s="44"/>
      <c r="E45" s="44"/>
      <c r="F45" s="44"/>
      <c r="G45" s="44"/>
      <c r="H45" s="44"/>
      <c r="I45" s="44"/>
      <c r="J45" s="44"/>
      <c r="K45" s="45"/>
    </row>
    <row r="46" spans="2:11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2:11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spans="2:11" ht="16.5" thickBot="1" x14ac:dyDescent="0.3"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2:11" ht="16.5" thickBot="1" x14ac:dyDescent="0.3">
      <c r="B49" s="31" t="str">
        <f>"'0x000" &amp; C21 &amp; ", 0x0" &amp; D21 &amp; ", 0x0" &amp; E21 &amp; ", 0x" &amp;F21 &amp; ", 0x" &amp; G21 &amp; ", 0x" &amp; H21 &amp; ", 0x" &amp; I21 &amp; ", 0x" &amp; J21 &amp; ", 0x" &amp; K21 &amp; "', # " &amp; B21</f>
        <v>'0x0000, 0x0917, 0x0DC5, 0x1017, 0x119F, 0x140B, 0x1680, 0x1680, 0x1680', # original torque_table row 1</v>
      </c>
      <c r="C49" s="32"/>
      <c r="D49" s="32"/>
      <c r="E49" s="32"/>
      <c r="F49" s="32"/>
      <c r="G49" s="32"/>
      <c r="H49" s="32"/>
      <c r="I49" s="32"/>
      <c r="J49" s="32"/>
      <c r="K49" s="33"/>
    </row>
    <row r="50" spans="2:11" ht="16.5" thickBot="1" x14ac:dyDescent="0.3">
      <c r="B50" s="31" t="str">
        <f t="shared" ref="B50:B54" si="6">"'0x000" &amp; C22 &amp; ", 0x0" &amp; D22 &amp; ", 0x0" &amp; E22 &amp; ", 0x" &amp;F22 &amp; ", 0x" &amp; G22 &amp; ", 0x" &amp; H22 &amp; ", 0x" &amp; I22 &amp; ", 0x" &amp; J22 &amp; ", 0x" &amp; K22 &amp; "', # " &amp; B22</f>
        <v>'0x0000, 0x0917, 0x0DC5, 0x1017, 0x119F, 0x140B, 0x1680, 0x1680, 0x1680', # original torque_table row 2</v>
      </c>
      <c r="C50" s="32"/>
      <c r="D50" s="32"/>
      <c r="E50" s="32"/>
      <c r="F50" s="32"/>
      <c r="G50" s="32"/>
      <c r="H50" s="32"/>
      <c r="I50" s="32"/>
      <c r="J50" s="32"/>
      <c r="K50" s="33"/>
    </row>
    <row r="51" spans="2:11" ht="16.5" thickBot="1" x14ac:dyDescent="0.3">
      <c r="B51" s="31" t="str">
        <f t="shared" si="6"/>
        <v>'0x0000, 0x0917, 0x0DC5, 0x1017, 0x119F, 0x140B, 0x1680, 0x1680, 0x1680', # original torque_table row 3</v>
      </c>
      <c r="C51" s="32"/>
      <c r="D51" s="32"/>
      <c r="E51" s="32"/>
      <c r="F51" s="32"/>
      <c r="G51" s="32"/>
      <c r="H51" s="32"/>
      <c r="I51" s="32"/>
      <c r="J51" s="32"/>
      <c r="K51" s="33"/>
    </row>
    <row r="52" spans="2:11" ht="16.5" thickBot="1" x14ac:dyDescent="0.3">
      <c r="B52" s="31" t="str">
        <f t="shared" si="6"/>
        <v>'0x0000, 0x0917, 0x0DC5, 0x1017, 0x119F, 0x140B, 0x1680, 0x1680, 0x1680', # original torque_table row 4</v>
      </c>
      <c r="C52" s="32"/>
      <c r="D52" s="32"/>
      <c r="E52" s="32"/>
      <c r="F52" s="32"/>
      <c r="G52" s="32"/>
      <c r="H52" s="32"/>
      <c r="I52" s="32"/>
      <c r="J52" s="32"/>
      <c r="K52" s="33"/>
    </row>
    <row r="53" spans="2:11" ht="16.5" thickBot="1" x14ac:dyDescent="0.3">
      <c r="B53" s="31" t="str">
        <f t="shared" si="6"/>
        <v>'0x0000, 0x0917, 0x0DC5, 0x1017, 0x119F, 0x140B, 0x1680, 0x1680, 0x1680', # original torque_table row 5</v>
      </c>
      <c r="C53" s="32"/>
      <c r="D53" s="32"/>
      <c r="E53" s="32"/>
      <c r="F53" s="32"/>
      <c r="G53" s="32"/>
      <c r="H53" s="32"/>
      <c r="I53" s="32"/>
      <c r="J53" s="32"/>
      <c r="K53" s="33"/>
    </row>
    <row r="54" spans="2:11" ht="16.5" thickBot="1" x14ac:dyDescent="0.3">
      <c r="B54" s="31" t="str">
        <f t="shared" si="6"/>
        <v>'0x0000, 0x0917, 0x0DC5, 0x1017, 0x119F, 0x140B, 0x1680, 0x1680, 0x1680', # original torque_table row 6</v>
      </c>
      <c r="C54" s="32"/>
      <c r="D54" s="32"/>
      <c r="E54" s="32"/>
      <c r="F54" s="32"/>
      <c r="G54" s="32"/>
      <c r="H54" s="32"/>
      <c r="I54" s="32"/>
      <c r="J54" s="32"/>
      <c r="K54" s="33"/>
    </row>
    <row r="55" spans="2:11" ht="16.5" thickBot="1" x14ac:dyDescent="0.3">
      <c r="B55" s="31" t="str">
        <f>"'0x000" &amp; C27 &amp; ", 0x0" &amp; D27 &amp; ", 0x0" &amp; E27 &amp; ", 0x0" &amp;F27 &amp; ", 0x0" &amp; G27 &amp; ", 0x" &amp; H27 &amp; ", 0x" &amp; I27 &amp; ", 0x" &amp; J27 &amp; ", 0x" &amp; K27 &amp; "', # " &amp; B27</f>
        <v>'0x0000, 0x06B3, 0x0B1A, 0x0CCD, 0x0E9A, 0x104D, 0x119A, 0x11DA, 0x11DA', # original torque_table row 7</v>
      </c>
      <c r="C55" s="32"/>
      <c r="D55" s="32"/>
      <c r="E55" s="32"/>
      <c r="F55" s="32"/>
      <c r="G55" s="32"/>
      <c r="H55" s="32"/>
      <c r="I55" s="32"/>
      <c r="J55" s="32"/>
      <c r="K55" s="33"/>
    </row>
    <row r="56" spans="2:11" ht="16.5" thickBot="1" x14ac:dyDescent="0.3"/>
    <row r="57" spans="2:11" ht="16.5" thickBot="1" x14ac:dyDescent="0.3">
      <c r="B57" s="31" t="str">
        <f>"'0x000" &amp; C29 &amp; ", 0x0" &amp; D29 &amp; ", 0x0" &amp; E29 &amp; ", 0x" &amp;F29 &amp; ", 0x" &amp; G29 &amp; ", 0x" &amp; H29 &amp; ", 0x" &amp; I29 &amp; ", 0x" &amp; J29 &amp; ", 0x" &amp; K29 &amp; "', # " &amp; B29</f>
        <v>'0x0000, 0x0917, 0x0DC5, 0x1017, 0x119F, 0x140B, 0x1680, 0x2D00, 0x3840', # new torque_table row 1</v>
      </c>
      <c r="C57" s="32"/>
      <c r="D57" s="32"/>
      <c r="E57" s="32"/>
      <c r="F57" s="32"/>
      <c r="G57" s="32"/>
      <c r="H57" s="32"/>
      <c r="I57" s="32"/>
      <c r="J57" s="32"/>
      <c r="K57" s="33"/>
    </row>
    <row r="58" spans="2:11" ht="16.5" thickBot="1" x14ac:dyDescent="0.3">
      <c r="B58" s="31" t="str">
        <f t="shared" ref="B58:B62" si="7">"'0x000" &amp; C30 &amp; ", 0x0" &amp; D30 &amp; ", 0x0" &amp; E30 &amp; ", 0x" &amp;F30 &amp; ", 0x" &amp; G30 &amp; ", 0x" &amp; H30 &amp; ", 0x" &amp; I30 &amp; ", 0x" &amp; J30 &amp; ", 0x" &amp; K30 &amp; "', # " &amp; B30</f>
        <v>'0x0000, 0x0917, 0x0DC5, 0x1017, 0x119F, 0x140B, 0x1680, 0x2D00, 0x3840', # new torque_table row 2</v>
      </c>
      <c r="C58" s="32"/>
      <c r="D58" s="32"/>
      <c r="E58" s="32"/>
      <c r="F58" s="32"/>
      <c r="G58" s="32"/>
      <c r="H58" s="32"/>
      <c r="I58" s="32"/>
      <c r="J58" s="32"/>
      <c r="K58" s="33"/>
    </row>
    <row r="59" spans="2:11" ht="16.5" thickBot="1" x14ac:dyDescent="0.3">
      <c r="B59" s="31" t="str">
        <f t="shared" si="7"/>
        <v>'0x0000, 0x0917, 0x0DC5, 0x1017, 0x119F, 0x140B, 0x1680, 0x2D00, 0x3840', # new torque_table row 3</v>
      </c>
      <c r="C59" s="32"/>
      <c r="D59" s="32"/>
      <c r="E59" s="32"/>
      <c r="F59" s="32"/>
      <c r="G59" s="32"/>
      <c r="H59" s="32"/>
      <c r="I59" s="32"/>
      <c r="J59" s="32"/>
      <c r="K59" s="33"/>
    </row>
    <row r="60" spans="2:11" ht="16.5" thickBot="1" x14ac:dyDescent="0.3">
      <c r="B60" s="31" t="str">
        <f t="shared" si="7"/>
        <v>'0x0000, 0x0917, 0x0DC5, 0x1017, 0x119F, 0x140B, 0x1680, 0x2D00, 0x3840', # new torque_table row 4</v>
      </c>
      <c r="C60" s="32"/>
      <c r="D60" s="32"/>
      <c r="E60" s="32"/>
      <c r="F60" s="32"/>
      <c r="G60" s="32"/>
      <c r="H60" s="32"/>
      <c r="I60" s="32"/>
      <c r="J60" s="32"/>
      <c r="K60" s="33"/>
    </row>
    <row r="61" spans="2:11" ht="16.5" thickBot="1" x14ac:dyDescent="0.3">
      <c r="B61" s="31" t="str">
        <f t="shared" si="7"/>
        <v>'0x0000, 0x0917, 0x0DC5, 0x1017, 0x119F, 0x140B, 0x1680, 0x2D00, 0x3840', # new torque_table row 5</v>
      </c>
      <c r="C61" s="32"/>
      <c r="D61" s="32"/>
      <c r="E61" s="32"/>
      <c r="F61" s="32"/>
      <c r="G61" s="32"/>
      <c r="H61" s="32"/>
      <c r="I61" s="32"/>
      <c r="J61" s="32"/>
      <c r="K61" s="33"/>
    </row>
    <row r="62" spans="2:11" ht="16.5" thickBot="1" x14ac:dyDescent="0.3">
      <c r="B62" s="31" t="str">
        <f t="shared" si="7"/>
        <v>'0x0000, 0x0917, 0x0DC5, 0x1017, 0x119F, 0x140B, 0x1680, 0x2D00, 0x3840', # new torque_table row 6</v>
      </c>
      <c r="C62" s="32"/>
      <c r="D62" s="32"/>
      <c r="E62" s="32"/>
      <c r="F62" s="32"/>
      <c r="G62" s="32"/>
      <c r="H62" s="32"/>
      <c r="I62" s="32"/>
      <c r="J62" s="32"/>
      <c r="K62" s="33"/>
    </row>
    <row r="63" spans="2:11" ht="16.5" thickBot="1" x14ac:dyDescent="0.3">
      <c r="B63" s="31" t="str">
        <f>"'0x000" &amp; C35 &amp; ", 0x0" &amp; D35 &amp; ", 0x0" &amp; E35 &amp; ", 0x0" &amp;F35 &amp; ", 0x0" &amp; G35 &amp; ", 0x" &amp; H35 &amp; ", 0x" &amp; I35 &amp; ", 0x" &amp; J35 &amp; ", 0x" &amp; K35 &amp; "', # " &amp; B35</f>
        <v>'0x0000, 0x06B3, 0x0B1A, 0x0CCD, 0x0E9A, 0x104D, 0x19BE, 0x232F, 0x2CA1', # new torque_table row 7</v>
      </c>
      <c r="C63" s="32"/>
      <c r="D63" s="32"/>
      <c r="E63" s="32"/>
      <c r="F63" s="32"/>
      <c r="G63" s="32"/>
      <c r="H63" s="32"/>
      <c r="I63" s="32"/>
      <c r="J63" s="32"/>
      <c r="K63" s="33"/>
    </row>
  </sheetData>
  <mergeCells count="22">
    <mergeCell ref="B42:K42"/>
    <mergeCell ref="B44:K44"/>
    <mergeCell ref="B45:K45"/>
    <mergeCell ref="B2:K3"/>
    <mergeCell ref="B37:C37"/>
    <mergeCell ref="B38:C38"/>
    <mergeCell ref="B39:C39"/>
    <mergeCell ref="B41:K41"/>
    <mergeCell ref="B62:K62"/>
    <mergeCell ref="B63:K63"/>
    <mergeCell ref="B49:K49"/>
    <mergeCell ref="B50:K50"/>
    <mergeCell ref="B51:K51"/>
    <mergeCell ref="B52:K52"/>
    <mergeCell ref="B53:K53"/>
    <mergeCell ref="B54:K54"/>
    <mergeCell ref="B55:K55"/>
    <mergeCell ref="B57:K57"/>
    <mergeCell ref="B58:K58"/>
    <mergeCell ref="B59:K59"/>
    <mergeCell ref="B60:K60"/>
    <mergeCell ref="B61:K61"/>
  </mergeCells>
  <phoneticPr fontId="2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7D7A-24B4-4D3D-A69C-A42BDFD1E195}">
  <dimension ref="B1:X63"/>
  <sheetViews>
    <sheetView tabSelected="1" topLeftCell="A7" zoomScale="85" zoomScaleNormal="85" workbookViewId="0">
      <selection activeCell="D37" sqref="D37"/>
    </sheetView>
  </sheetViews>
  <sheetFormatPr defaultColWidth="10.875" defaultRowHeight="15.75" x14ac:dyDescent="0.25"/>
  <cols>
    <col min="1" max="1" width="7.375" style="25" customWidth="1"/>
    <col min="2" max="2" width="13.5" style="25" customWidth="1"/>
    <col min="3" max="7" width="7" style="25" customWidth="1"/>
    <col min="8" max="8" width="8.75" style="25" customWidth="1"/>
    <col min="9" max="11" width="7" style="25" customWidth="1"/>
    <col min="12" max="12" width="10.875" style="25"/>
    <col min="13" max="13" width="18.625" style="25" customWidth="1"/>
    <col min="14" max="14" width="11.875" style="25" customWidth="1"/>
    <col min="15" max="16384" width="10.875" style="25"/>
  </cols>
  <sheetData>
    <row r="1" spans="2:24" x14ac:dyDescent="0.25">
      <c r="C1" s="15"/>
    </row>
    <row r="2" spans="2:24" ht="15.95" customHeight="1" x14ac:dyDescent="0.25">
      <c r="B2" s="34" t="s">
        <v>112</v>
      </c>
      <c r="C2" s="34"/>
      <c r="D2" s="34"/>
      <c r="E2" s="34"/>
      <c r="F2" s="34"/>
      <c r="G2" s="34"/>
      <c r="H2" s="34"/>
      <c r="I2" s="34"/>
      <c r="J2" s="34"/>
      <c r="K2" s="34"/>
    </row>
    <row r="3" spans="2:24" ht="17.100000000000001" customHeight="1" x14ac:dyDescent="0.25"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2:24" x14ac:dyDescent="0.25">
      <c r="K4" s="25" t="s">
        <v>45</v>
      </c>
      <c r="U4" s="30" t="s">
        <v>133</v>
      </c>
    </row>
    <row r="5" spans="2:24" x14ac:dyDescent="0.25">
      <c r="B5" s="25" t="s">
        <v>28</v>
      </c>
      <c r="C5" s="16" t="s">
        <v>61</v>
      </c>
      <c r="D5" s="16" t="s">
        <v>2</v>
      </c>
      <c r="E5" s="16" t="s">
        <v>6</v>
      </c>
      <c r="F5" s="16" t="s">
        <v>7</v>
      </c>
      <c r="G5" s="16" t="s">
        <v>73</v>
      </c>
      <c r="H5" s="16" t="s">
        <v>62</v>
      </c>
      <c r="I5" s="16" t="s">
        <v>63</v>
      </c>
      <c r="J5" s="16" t="s">
        <v>65</v>
      </c>
      <c r="K5" s="16" t="s">
        <v>1</v>
      </c>
      <c r="L5" s="25">
        <f>HEX2DEC(K5)</f>
        <v>1663</v>
      </c>
    </row>
    <row r="6" spans="2:24" x14ac:dyDescent="0.25">
      <c r="B6" s="25" t="s">
        <v>32</v>
      </c>
      <c r="C6" s="16" t="s">
        <v>61</v>
      </c>
      <c r="D6" s="16" t="s">
        <v>2</v>
      </c>
      <c r="E6" s="16" t="s">
        <v>6</v>
      </c>
      <c r="F6" s="16" t="s">
        <v>7</v>
      </c>
      <c r="G6" s="16" t="s">
        <v>73</v>
      </c>
      <c r="H6" s="16" t="s">
        <v>62</v>
      </c>
      <c r="I6" s="16" t="s">
        <v>63</v>
      </c>
      <c r="J6" s="16" t="s">
        <v>65</v>
      </c>
      <c r="K6" s="16" t="s">
        <v>1</v>
      </c>
      <c r="N6" s="26" t="s">
        <v>98</v>
      </c>
      <c r="O6" s="26" t="s">
        <v>99</v>
      </c>
      <c r="P6" s="26" t="s">
        <v>103</v>
      </c>
      <c r="Q6" s="26" t="s">
        <v>98</v>
      </c>
      <c r="S6" s="26" t="s">
        <v>127</v>
      </c>
      <c r="T6" s="26" t="s">
        <v>128</v>
      </c>
      <c r="U6" s="26" t="s">
        <v>129</v>
      </c>
      <c r="V6" s="26" t="s">
        <v>130</v>
      </c>
      <c r="W6" s="26" t="s">
        <v>131</v>
      </c>
      <c r="X6" s="26" t="s">
        <v>132</v>
      </c>
    </row>
    <row r="7" spans="2:24" x14ac:dyDescent="0.25">
      <c r="B7" s="25" t="s">
        <v>33</v>
      </c>
      <c r="C7" s="16" t="s">
        <v>61</v>
      </c>
      <c r="D7" s="16" t="s">
        <v>2</v>
      </c>
      <c r="E7" s="16" t="s">
        <v>6</v>
      </c>
      <c r="F7" s="16" t="s">
        <v>7</v>
      </c>
      <c r="G7" s="16" t="s">
        <v>73</v>
      </c>
      <c r="H7" s="16" t="s">
        <v>62</v>
      </c>
      <c r="I7" s="16" t="s">
        <v>63</v>
      </c>
      <c r="J7" s="16" t="s">
        <v>65</v>
      </c>
      <c r="K7" s="16" t="s">
        <v>1</v>
      </c>
      <c r="M7" s="25" t="s">
        <v>96</v>
      </c>
      <c r="N7" s="24" t="s">
        <v>94</v>
      </c>
      <c r="O7" s="25">
        <f>HEX2DEC(N7)</f>
        <v>5760</v>
      </c>
      <c r="P7" s="25">
        <f>SUM(O7*D37)</f>
        <v>23040</v>
      </c>
      <c r="Q7" s="25" t="str">
        <f>DEC2HEX(P7)</f>
        <v>5A00</v>
      </c>
      <c r="S7" s="25">
        <f>SUM($L$21*1)</f>
        <v>4608</v>
      </c>
      <c r="T7" s="28">
        <f>SUM($L$21*2)</f>
        <v>9216</v>
      </c>
      <c r="U7" s="28">
        <f>SUM($L$21*2.5)</f>
        <v>11520</v>
      </c>
      <c r="V7" s="28">
        <f>SUM($L$21*3)</f>
        <v>13824</v>
      </c>
      <c r="W7" s="28">
        <f>SUM($L$21*3.5)</f>
        <v>16128</v>
      </c>
      <c r="X7" s="28">
        <f>SUM($L$21*4)</f>
        <v>18432</v>
      </c>
    </row>
    <row r="8" spans="2:24" x14ac:dyDescent="0.25">
      <c r="B8" s="25" t="s">
        <v>34</v>
      </c>
      <c r="C8" s="16" t="s">
        <v>61</v>
      </c>
      <c r="D8" s="16" t="s">
        <v>2</v>
      </c>
      <c r="E8" s="16" t="s">
        <v>6</v>
      </c>
      <c r="F8" s="16" t="s">
        <v>7</v>
      </c>
      <c r="G8" s="16" t="s">
        <v>73</v>
      </c>
      <c r="H8" s="16" t="s">
        <v>62</v>
      </c>
      <c r="I8" s="16" t="s">
        <v>63</v>
      </c>
      <c r="J8" s="16" t="s">
        <v>65</v>
      </c>
      <c r="K8" s="16" t="s">
        <v>1</v>
      </c>
      <c r="M8" s="25" t="s">
        <v>124</v>
      </c>
      <c r="N8" s="25">
        <v>3840</v>
      </c>
      <c r="O8" s="25">
        <f>HEX2DEC(N8)</f>
        <v>14400</v>
      </c>
    </row>
    <row r="9" spans="2:24" x14ac:dyDescent="0.25">
      <c r="B9" s="25" t="s">
        <v>35</v>
      </c>
      <c r="C9" s="16" t="s">
        <v>61</v>
      </c>
      <c r="D9" s="16" t="s">
        <v>2</v>
      </c>
      <c r="E9" s="16" t="s">
        <v>6</v>
      </c>
      <c r="F9" s="16" t="s">
        <v>7</v>
      </c>
      <c r="G9" s="16" t="s">
        <v>73</v>
      </c>
      <c r="H9" s="16" t="s">
        <v>62</v>
      </c>
      <c r="I9" s="16" t="s">
        <v>63</v>
      </c>
      <c r="J9" s="16" t="s">
        <v>65</v>
      </c>
      <c r="K9" s="16" t="s">
        <v>1</v>
      </c>
    </row>
    <row r="10" spans="2:24" x14ac:dyDescent="0.25">
      <c r="B10" s="25" t="s">
        <v>36</v>
      </c>
      <c r="C10" s="16" t="s">
        <v>61</v>
      </c>
      <c r="D10" s="16" t="s">
        <v>2</v>
      </c>
      <c r="E10" s="16" t="s">
        <v>6</v>
      </c>
      <c r="F10" s="16" t="s">
        <v>7</v>
      </c>
      <c r="G10" s="16" t="s">
        <v>73</v>
      </c>
      <c r="H10" s="16" t="s">
        <v>62</v>
      </c>
      <c r="I10" s="16" t="s">
        <v>63</v>
      </c>
      <c r="J10" s="16" t="s">
        <v>65</v>
      </c>
      <c r="K10" s="16" t="s">
        <v>1</v>
      </c>
      <c r="M10" s="25" t="s">
        <v>100</v>
      </c>
      <c r="N10" s="25">
        <v>1200</v>
      </c>
      <c r="O10" s="25">
        <f>HEX2DEC(N10)</f>
        <v>4608</v>
      </c>
      <c r="P10" s="25">
        <f>SUM(O10*D37)</f>
        <v>18432</v>
      </c>
      <c r="Q10" s="25" t="str">
        <f>DEC2HEX(P10)</f>
        <v>4800</v>
      </c>
    </row>
    <row r="11" spans="2:24" x14ac:dyDescent="0.25">
      <c r="B11" s="25" t="s">
        <v>37</v>
      </c>
      <c r="C11" s="16" t="s">
        <v>61</v>
      </c>
      <c r="D11" s="16" t="s">
        <v>2</v>
      </c>
      <c r="E11" s="16" t="s">
        <v>0</v>
      </c>
      <c r="F11" s="16" t="s">
        <v>66</v>
      </c>
      <c r="G11" s="16" t="s">
        <v>62</v>
      </c>
      <c r="H11" s="16" t="s">
        <v>74</v>
      </c>
      <c r="I11" s="16" t="s">
        <v>64</v>
      </c>
      <c r="J11" s="16" t="s">
        <v>65</v>
      </c>
      <c r="K11" s="16" t="s">
        <v>1</v>
      </c>
      <c r="M11" s="25" t="s">
        <v>123</v>
      </c>
      <c r="N11" s="25" t="s">
        <v>102</v>
      </c>
      <c r="O11" s="25">
        <f>HEX2DEC(N11)</f>
        <v>11520</v>
      </c>
    </row>
    <row r="13" spans="2:24" x14ac:dyDescent="0.25">
      <c r="B13" s="25" t="s">
        <v>38</v>
      </c>
      <c r="C13" s="25" t="str">
        <f>DEC2HEX(_xlfn.BITLSHIFT(ROUND(HEX2DEC(C5)/SQRT(3),0),2))</f>
        <v>0</v>
      </c>
      <c r="D13" s="25" t="str">
        <f t="shared" ref="D13:K19" si="0">DEC2HEX(_xlfn.BITLSHIFT(ROUND(HEX2DEC(D5)/SQRT(3),0),2))</f>
        <v>200</v>
      </c>
      <c r="E13" s="25" t="str">
        <f t="shared" si="0"/>
        <v>300</v>
      </c>
      <c r="F13" s="25" t="str">
        <f t="shared" si="0"/>
        <v>478</v>
      </c>
      <c r="G13" s="25" t="str">
        <f t="shared" si="0"/>
        <v>5EC</v>
      </c>
      <c r="H13" s="25" t="str">
        <f t="shared" si="0"/>
        <v>800</v>
      </c>
      <c r="I13" s="25" t="str">
        <f t="shared" si="0"/>
        <v>A00</v>
      </c>
      <c r="J13" s="22" t="str">
        <f t="shared" si="0"/>
        <v>E00</v>
      </c>
      <c r="K13" s="22" t="str">
        <f t="shared" si="0"/>
        <v>F00</v>
      </c>
      <c r="L13" s="25">
        <f>HEX2DEC(K13)</f>
        <v>3840</v>
      </c>
      <c r="O13" s="26" t="s">
        <v>125</v>
      </c>
      <c r="P13" s="25">
        <f>SUM(P10-O11)</f>
        <v>6912</v>
      </c>
    </row>
    <row r="14" spans="2:24" x14ac:dyDescent="0.25">
      <c r="B14" s="25" t="s">
        <v>39</v>
      </c>
      <c r="C14" s="25" t="str">
        <f t="shared" ref="C14:C19" si="1">DEC2HEX(_xlfn.BITLSHIFT(ROUND(HEX2DEC(C6)/SQRT(3),0),2))</f>
        <v>0</v>
      </c>
      <c r="D14" s="25" t="str">
        <f t="shared" si="0"/>
        <v>200</v>
      </c>
      <c r="E14" s="25" t="str">
        <f t="shared" si="0"/>
        <v>300</v>
      </c>
      <c r="F14" s="25" t="str">
        <f t="shared" si="0"/>
        <v>478</v>
      </c>
      <c r="G14" s="25" t="str">
        <f t="shared" si="0"/>
        <v>5EC</v>
      </c>
      <c r="H14" s="25" t="str">
        <f t="shared" si="0"/>
        <v>800</v>
      </c>
      <c r="I14" s="25" t="str">
        <f t="shared" si="0"/>
        <v>A00</v>
      </c>
      <c r="J14" s="22" t="str">
        <f t="shared" si="0"/>
        <v>E00</v>
      </c>
      <c r="K14" s="22" t="str">
        <f t="shared" si="0"/>
        <v>F00</v>
      </c>
    </row>
    <row r="15" spans="2:24" x14ac:dyDescent="0.25">
      <c r="B15" s="25" t="s">
        <v>40</v>
      </c>
      <c r="C15" s="25" t="str">
        <f t="shared" si="1"/>
        <v>0</v>
      </c>
      <c r="D15" s="25" t="str">
        <f t="shared" si="0"/>
        <v>200</v>
      </c>
      <c r="E15" s="25" t="str">
        <f t="shared" si="0"/>
        <v>300</v>
      </c>
      <c r="F15" s="25" t="str">
        <f t="shared" si="0"/>
        <v>478</v>
      </c>
      <c r="G15" s="25" t="str">
        <f t="shared" si="0"/>
        <v>5EC</v>
      </c>
      <c r="H15" s="25" t="str">
        <f t="shared" si="0"/>
        <v>800</v>
      </c>
      <c r="I15" s="25" t="str">
        <f t="shared" si="0"/>
        <v>A00</v>
      </c>
      <c r="J15" s="22" t="str">
        <f t="shared" si="0"/>
        <v>E00</v>
      </c>
      <c r="K15" s="22" t="str">
        <f t="shared" si="0"/>
        <v>F00</v>
      </c>
    </row>
    <row r="16" spans="2:24" x14ac:dyDescent="0.25">
      <c r="B16" s="25" t="s">
        <v>41</v>
      </c>
      <c r="C16" s="25" t="str">
        <f t="shared" si="1"/>
        <v>0</v>
      </c>
      <c r="D16" s="25" t="str">
        <f t="shared" si="0"/>
        <v>200</v>
      </c>
      <c r="E16" s="25" t="str">
        <f t="shared" si="0"/>
        <v>300</v>
      </c>
      <c r="F16" s="25" t="str">
        <f t="shared" si="0"/>
        <v>478</v>
      </c>
      <c r="G16" s="25" t="str">
        <f t="shared" si="0"/>
        <v>5EC</v>
      </c>
      <c r="H16" s="25" t="str">
        <f t="shared" si="0"/>
        <v>800</v>
      </c>
      <c r="I16" s="25" t="str">
        <f t="shared" si="0"/>
        <v>A00</v>
      </c>
      <c r="J16" s="22" t="str">
        <f t="shared" si="0"/>
        <v>E00</v>
      </c>
      <c r="K16" s="22" t="str">
        <f t="shared" si="0"/>
        <v>F00</v>
      </c>
    </row>
    <row r="17" spans="2:17" x14ac:dyDescent="0.25">
      <c r="B17" s="25" t="s">
        <v>42</v>
      </c>
      <c r="C17" s="25" t="str">
        <f t="shared" si="1"/>
        <v>0</v>
      </c>
      <c r="D17" s="25" t="str">
        <f t="shared" si="0"/>
        <v>200</v>
      </c>
      <c r="E17" s="25" t="str">
        <f t="shared" si="0"/>
        <v>300</v>
      </c>
      <c r="F17" s="25" t="str">
        <f t="shared" si="0"/>
        <v>478</v>
      </c>
      <c r="G17" s="25" t="str">
        <f t="shared" si="0"/>
        <v>5EC</v>
      </c>
      <c r="H17" s="25" t="str">
        <f t="shared" si="0"/>
        <v>800</v>
      </c>
      <c r="I17" s="25" t="str">
        <f t="shared" si="0"/>
        <v>A00</v>
      </c>
      <c r="J17" s="22" t="str">
        <f t="shared" si="0"/>
        <v>E00</v>
      </c>
      <c r="K17" s="22" t="str">
        <f t="shared" si="0"/>
        <v>F00</v>
      </c>
    </row>
    <row r="18" spans="2:17" x14ac:dyDescent="0.25">
      <c r="B18" s="25" t="s">
        <v>43</v>
      </c>
      <c r="C18" s="25" t="str">
        <f t="shared" si="1"/>
        <v>0</v>
      </c>
      <c r="D18" s="25" t="str">
        <f t="shared" si="0"/>
        <v>200</v>
      </c>
      <c r="E18" s="25" t="str">
        <f t="shared" si="0"/>
        <v>300</v>
      </c>
      <c r="F18" s="25" t="str">
        <f t="shared" si="0"/>
        <v>478</v>
      </c>
      <c r="G18" s="25" t="str">
        <f t="shared" si="0"/>
        <v>5EC</v>
      </c>
      <c r="H18" s="25" t="str">
        <f t="shared" si="0"/>
        <v>800</v>
      </c>
      <c r="I18" s="25" t="str">
        <f t="shared" si="0"/>
        <v>A00</v>
      </c>
      <c r="J18" s="22" t="str">
        <f t="shared" si="0"/>
        <v>E00</v>
      </c>
      <c r="K18" s="22" t="str">
        <f t="shared" si="0"/>
        <v>F00</v>
      </c>
      <c r="N18" s="26" t="s">
        <v>98</v>
      </c>
      <c r="O18" s="26" t="s">
        <v>99</v>
      </c>
      <c r="P18" s="26" t="s">
        <v>103</v>
      </c>
    </row>
    <row r="19" spans="2:17" x14ac:dyDescent="0.25">
      <c r="B19" s="25" t="s">
        <v>44</v>
      </c>
      <c r="C19" s="25" t="str">
        <f t="shared" si="1"/>
        <v>0</v>
      </c>
      <c r="D19" s="25" t="str">
        <f t="shared" si="0"/>
        <v>200</v>
      </c>
      <c r="E19" s="25" t="str">
        <f t="shared" si="0"/>
        <v>400</v>
      </c>
      <c r="F19" s="25" t="str">
        <f t="shared" si="0"/>
        <v>600</v>
      </c>
      <c r="G19" s="25" t="str">
        <f t="shared" si="0"/>
        <v>800</v>
      </c>
      <c r="H19" s="25" t="str">
        <f t="shared" si="0"/>
        <v>A00</v>
      </c>
      <c r="I19" s="25" t="str">
        <f t="shared" si="0"/>
        <v>C00</v>
      </c>
      <c r="J19" s="25" t="str">
        <f t="shared" si="0"/>
        <v>E00</v>
      </c>
      <c r="K19" s="22" t="str">
        <f t="shared" si="0"/>
        <v>F00</v>
      </c>
      <c r="M19" s="25" t="s">
        <v>104</v>
      </c>
      <c r="N19" s="25">
        <v>108</v>
      </c>
      <c r="O19" s="25">
        <f>HEX2DEC(N19)</f>
        <v>264</v>
      </c>
      <c r="P19" s="25">
        <f>SUM(O19*D37)</f>
        <v>1056</v>
      </c>
    </row>
    <row r="20" spans="2:17" x14ac:dyDescent="0.25">
      <c r="M20" s="25" t="s">
        <v>105</v>
      </c>
      <c r="N20" s="25">
        <v>480</v>
      </c>
      <c r="O20" s="25">
        <f>HEX2DEC(N20)</f>
        <v>1152</v>
      </c>
    </row>
    <row r="21" spans="2:17" x14ac:dyDescent="0.25">
      <c r="B21" s="25" t="s">
        <v>46</v>
      </c>
      <c r="C21" s="17" t="s">
        <v>61</v>
      </c>
      <c r="D21" s="17">
        <v>500</v>
      </c>
      <c r="E21" s="17">
        <v>980</v>
      </c>
      <c r="F21" s="17" t="s">
        <v>113</v>
      </c>
      <c r="G21" s="17" t="s">
        <v>114</v>
      </c>
      <c r="H21" s="17">
        <v>1180</v>
      </c>
      <c r="I21" s="17" t="s">
        <v>67</v>
      </c>
      <c r="J21" s="17" t="s">
        <v>67</v>
      </c>
      <c r="K21" s="17" t="s">
        <v>67</v>
      </c>
      <c r="L21" s="25">
        <f>HEX2DEC(K21)</f>
        <v>4608</v>
      </c>
    </row>
    <row r="22" spans="2:17" x14ac:dyDescent="0.25">
      <c r="B22" s="25" t="s">
        <v>47</v>
      </c>
      <c r="C22" s="17" t="s">
        <v>61</v>
      </c>
      <c r="D22" s="17" t="s">
        <v>122</v>
      </c>
      <c r="E22" s="17" t="s">
        <v>120</v>
      </c>
      <c r="F22" s="17" t="s">
        <v>126</v>
      </c>
      <c r="G22" s="17" t="s">
        <v>116</v>
      </c>
      <c r="H22" s="17">
        <v>1080</v>
      </c>
      <c r="I22" s="17" t="s">
        <v>67</v>
      </c>
      <c r="J22" s="17" t="s">
        <v>67</v>
      </c>
      <c r="K22" s="17" t="s">
        <v>67</v>
      </c>
    </row>
    <row r="23" spans="2:17" x14ac:dyDescent="0.25">
      <c r="B23" s="25" t="s">
        <v>48</v>
      </c>
      <c r="C23" s="17" t="s">
        <v>61</v>
      </c>
      <c r="D23" s="17" t="s">
        <v>122</v>
      </c>
      <c r="E23" s="17" t="s">
        <v>120</v>
      </c>
      <c r="F23" s="17" t="s">
        <v>90</v>
      </c>
      <c r="G23" s="17" t="s">
        <v>117</v>
      </c>
      <c r="H23" s="17">
        <v>1066</v>
      </c>
      <c r="I23" s="17" t="s">
        <v>67</v>
      </c>
      <c r="J23" s="17" t="s">
        <v>67</v>
      </c>
      <c r="K23" s="17" t="s">
        <v>67</v>
      </c>
    </row>
    <row r="24" spans="2:17" x14ac:dyDescent="0.25">
      <c r="B24" s="25" t="s">
        <v>49</v>
      </c>
      <c r="C24" s="17" t="s">
        <v>61</v>
      </c>
      <c r="D24" s="17">
        <v>400</v>
      </c>
      <c r="E24" s="17">
        <v>680</v>
      </c>
      <c r="F24" s="17">
        <v>980</v>
      </c>
      <c r="G24" s="17" t="s">
        <v>118</v>
      </c>
      <c r="H24" s="17">
        <v>1000</v>
      </c>
      <c r="I24" s="17" t="s">
        <v>67</v>
      </c>
      <c r="J24" s="17" t="s">
        <v>67</v>
      </c>
      <c r="K24" s="17" t="s">
        <v>67</v>
      </c>
    </row>
    <row r="25" spans="2:17" x14ac:dyDescent="0.25">
      <c r="B25" s="25" t="s">
        <v>50</v>
      </c>
      <c r="C25" s="17" t="s">
        <v>61</v>
      </c>
      <c r="D25" s="17" t="s">
        <v>121</v>
      </c>
      <c r="E25" s="17">
        <v>726</v>
      </c>
      <c r="F25" s="17" t="s">
        <v>119</v>
      </c>
      <c r="G25" s="17" t="s">
        <v>84</v>
      </c>
      <c r="H25" s="29" t="s">
        <v>115</v>
      </c>
      <c r="I25" s="17" t="s">
        <v>67</v>
      </c>
      <c r="J25" s="17" t="s">
        <v>67</v>
      </c>
      <c r="K25" s="17" t="s">
        <v>67</v>
      </c>
      <c r="N25" s="26" t="s">
        <v>106</v>
      </c>
      <c r="O25" s="26" t="s">
        <v>107</v>
      </c>
      <c r="P25" s="27" t="s">
        <v>110</v>
      </c>
      <c r="Q25" s="26" t="s">
        <v>111</v>
      </c>
    </row>
    <row r="26" spans="2:17" x14ac:dyDescent="0.25">
      <c r="B26" s="25" t="s">
        <v>51</v>
      </c>
      <c r="C26" s="17" t="s">
        <v>61</v>
      </c>
      <c r="D26" s="17" t="s">
        <v>80</v>
      </c>
      <c r="E26" s="17" t="s">
        <v>24</v>
      </c>
      <c r="F26" s="17" t="s">
        <v>25</v>
      </c>
      <c r="G26" s="17" t="s">
        <v>26</v>
      </c>
      <c r="H26" s="17" t="s">
        <v>81</v>
      </c>
      <c r="I26" s="17" t="s">
        <v>67</v>
      </c>
      <c r="J26" s="17" t="s">
        <v>67</v>
      </c>
      <c r="K26" s="17" t="s">
        <v>67</v>
      </c>
      <c r="M26" s="25" t="s">
        <v>108</v>
      </c>
      <c r="N26" s="25">
        <v>2560</v>
      </c>
      <c r="O26" s="25">
        <v>8000</v>
      </c>
      <c r="P26" s="25" t="str">
        <f>DEC2HEX(N26)</f>
        <v>A00</v>
      </c>
      <c r="Q26" s="25" t="str">
        <f>DEC2HEX(O26)</f>
        <v>1F40</v>
      </c>
    </row>
    <row r="27" spans="2:17" x14ac:dyDescent="0.25">
      <c r="B27" s="25" t="s">
        <v>52</v>
      </c>
      <c r="C27" s="16" t="s">
        <v>61</v>
      </c>
      <c r="D27" s="18" t="s">
        <v>68</v>
      </c>
      <c r="E27" s="16" t="s">
        <v>82</v>
      </c>
      <c r="F27" s="16" t="s">
        <v>83</v>
      </c>
      <c r="G27" s="16" t="s">
        <v>84</v>
      </c>
      <c r="H27" s="16" t="s">
        <v>85</v>
      </c>
      <c r="I27" s="16" t="s">
        <v>86</v>
      </c>
      <c r="J27" s="16" t="s">
        <v>87</v>
      </c>
      <c r="K27" s="16" t="s">
        <v>87</v>
      </c>
      <c r="M27" s="25" t="s">
        <v>109</v>
      </c>
      <c r="N27" s="25">
        <v>2560</v>
      </c>
      <c r="O27" s="25">
        <v>3840</v>
      </c>
      <c r="P27" s="25" t="str">
        <f>DEC2HEX(N27)</f>
        <v>A00</v>
      </c>
      <c r="Q27" s="25" t="str">
        <f>DEC2HEX(O27)</f>
        <v>F00</v>
      </c>
    </row>
    <row r="29" spans="2:17" x14ac:dyDescent="0.25">
      <c r="B29" s="25" t="s">
        <v>53</v>
      </c>
      <c r="C29" s="25" t="str">
        <f>C21</f>
        <v>0</v>
      </c>
      <c r="D29" s="25">
        <f t="shared" ref="D29:I29" si="2">D21</f>
        <v>500</v>
      </c>
      <c r="E29" s="25">
        <f t="shared" si="2"/>
        <v>980</v>
      </c>
      <c r="F29" s="25" t="str">
        <f t="shared" si="2"/>
        <v>D80</v>
      </c>
      <c r="G29" s="25" t="str">
        <f t="shared" si="2"/>
        <v>FCD</v>
      </c>
      <c r="H29" s="25">
        <f t="shared" si="2"/>
        <v>1180</v>
      </c>
      <c r="I29" s="25" t="str">
        <f t="shared" si="2"/>
        <v>1200</v>
      </c>
      <c r="J29" s="21" t="str">
        <f>DEC2HEX(HEX2DEC(K29)-HEX2DEC(I29)/2)</f>
        <v>3F00</v>
      </c>
      <c r="K29" s="21" t="str">
        <f>DEC2HEX(HEX2DEC(K21)*D$37)</f>
        <v>4800</v>
      </c>
      <c r="L29" s="25">
        <f>HEX2DEC(K29)</f>
        <v>18432</v>
      </c>
    </row>
    <row r="30" spans="2:17" x14ac:dyDescent="0.25">
      <c r="B30" s="25" t="s">
        <v>54</v>
      </c>
      <c r="C30" s="25" t="str">
        <f t="shared" ref="C30:I35" si="3">C22</f>
        <v>0</v>
      </c>
      <c r="D30" s="25" t="str">
        <f t="shared" si="3"/>
        <v>34D</v>
      </c>
      <c r="E30" s="25" t="str">
        <f t="shared" si="3"/>
        <v>7CD</v>
      </c>
      <c r="F30" s="25" t="str">
        <f t="shared" si="3"/>
        <v>0C00</v>
      </c>
      <c r="G30" s="25" t="str">
        <f t="shared" si="3"/>
        <v>F00</v>
      </c>
      <c r="H30" s="25">
        <f t="shared" si="3"/>
        <v>1080</v>
      </c>
      <c r="I30" s="25" t="str">
        <f t="shared" si="3"/>
        <v>1200</v>
      </c>
      <c r="J30" s="21" t="str">
        <f t="shared" ref="J30:J34" si="4">DEC2HEX(HEX2DEC(K30)-HEX2DEC(I30)/2)</f>
        <v>3F00</v>
      </c>
      <c r="K30" s="21" t="str">
        <f t="shared" ref="K30:K35" si="5">DEC2HEX(HEX2DEC(K22)*D$37)</f>
        <v>4800</v>
      </c>
    </row>
    <row r="31" spans="2:17" x14ac:dyDescent="0.25">
      <c r="B31" s="25" t="s">
        <v>55</v>
      </c>
      <c r="C31" s="25" t="str">
        <f t="shared" si="3"/>
        <v>0</v>
      </c>
      <c r="D31" s="25" t="str">
        <f t="shared" si="3"/>
        <v>34D</v>
      </c>
      <c r="E31" s="25" t="str">
        <f t="shared" si="3"/>
        <v>7CD</v>
      </c>
      <c r="F31" s="25" t="str">
        <f t="shared" si="3"/>
        <v>C00</v>
      </c>
      <c r="G31" s="25" t="str">
        <f t="shared" si="3"/>
        <v>ECC</v>
      </c>
      <c r="H31" s="25">
        <f t="shared" si="3"/>
        <v>1066</v>
      </c>
      <c r="I31" s="25" t="str">
        <f t="shared" si="3"/>
        <v>1200</v>
      </c>
      <c r="J31" s="21" t="str">
        <f t="shared" si="4"/>
        <v>3F00</v>
      </c>
      <c r="K31" s="21" t="str">
        <f t="shared" si="5"/>
        <v>4800</v>
      </c>
    </row>
    <row r="32" spans="2:17" x14ac:dyDescent="0.25">
      <c r="B32" s="25" t="s">
        <v>56</v>
      </c>
      <c r="C32" s="25" t="str">
        <f t="shared" si="3"/>
        <v>0</v>
      </c>
      <c r="D32" s="25">
        <f t="shared" si="3"/>
        <v>400</v>
      </c>
      <c r="E32" s="25">
        <f t="shared" si="3"/>
        <v>680</v>
      </c>
      <c r="F32" s="25">
        <f t="shared" si="3"/>
        <v>980</v>
      </c>
      <c r="G32" s="25" t="str">
        <f t="shared" si="3"/>
        <v>CD5</v>
      </c>
      <c r="H32" s="25">
        <f t="shared" si="3"/>
        <v>1000</v>
      </c>
      <c r="I32" s="25" t="str">
        <f t="shared" si="3"/>
        <v>1200</v>
      </c>
      <c r="J32" s="21" t="str">
        <f t="shared" si="4"/>
        <v>3F00</v>
      </c>
      <c r="K32" s="21" t="str">
        <f t="shared" si="5"/>
        <v>4800</v>
      </c>
    </row>
    <row r="33" spans="2:11" x14ac:dyDescent="0.25">
      <c r="B33" s="25" t="s">
        <v>57</v>
      </c>
      <c r="C33" s="25" t="str">
        <f t="shared" si="3"/>
        <v>0</v>
      </c>
      <c r="D33" s="25" t="str">
        <f t="shared" si="3"/>
        <v>39A</v>
      </c>
      <c r="E33" s="25">
        <f t="shared" si="3"/>
        <v>726</v>
      </c>
      <c r="F33" s="25" t="str">
        <f t="shared" si="3"/>
        <v>AEF</v>
      </c>
      <c r="G33" s="25" t="str">
        <f t="shared" si="3"/>
        <v>E9A</v>
      </c>
      <c r="H33" s="25" t="str">
        <f t="shared" si="3"/>
        <v>10E6</v>
      </c>
      <c r="I33" s="25" t="str">
        <f t="shared" si="3"/>
        <v>1200</v>
      </c>
      <c r="J33" s="21" t="str">
        <f t="shared" si="4"/>
        <v>3F00</v>
      </c>
      <c r="K33" s="21" t="str">
        <f t="shared" si="5"/>
        <v>4800</v>
      </c>
    </row>
    <row r="34" spans="2:11" x14ac:dyDescent="0.25">
      <c r="B34" s="25" t="s">
        <v>58</v>
      </c>
      <c r="C34" s="25" t="str">
        <f t="shared" si="3"/>
        <v>0</v>
      </c>
      <c r="D34" s="25" t="str">
        <f t="shared" si="3"/>
        <v>746</v>
      </c>
      <c r="E34" s="25" t="str">
        <f t="shared" si="3"/>
        <v>B04</v>
      </c>
      <c r="F34" s="25" t="str">
        <f t="shared" si="3"/>
        <v>CDF</v>
      </c>
      <c r="G34" s="25" t="str">
        <f t="shared" si="3"/>
        <v>E19</v>
      </c>
      <c r="H34" s="25" t="str">
        <f t="shared" si="3"/>
        <v>1008</v>
      </c>
      <c r="I34" s="25" t="str">
        <f t="shared" si="3"/>
        <v>1200</v>
      </c>
      <c r="J34" s="21" t="str">
        <f t="shared" si="4"/>
        <v>3F00</v>
      </c>
      <c r="K34" s="21" t="str">
        <f t="shared" si="5"/>
        <v>4800</v>
      </c>
    </row>
    <row r="35" spans="2:11" x14ac:dyDescent="0.25">
      <c r="B35" s="25" t="s">
        <v>59</v>
      </c>
      <c r="C35" s="25" t="str">
        <f t="shared" si="3"/>
        <v>0</v>
      </c>
      <c r="D35" s="25" t="str">
        <f t="shared" si="3"/>
        <v>6B3</v>
      </c>
      <c r="E35" s="25" t="str">
        <f t="shared" si="3"/>
        <v>B1A</v>
      </c>
      <c r="F35" s="25" t="str">
        <f t="shared" si="3"/>
        <v>CCD</v>
      </c>
      <c r="G35" s="25" t="str">
        <f t="shared" si="3"/>
        <v>E9A</v>
      </c>
      <c r="H35" s="25" t="str">
        <f t="shared" si="3"/>
        <v>104D</v>
      </c>
      <c r="I35" s="21" t="str">
        <f>DEC2HEX(HEX2DEC(H35)+((HEX2DEC(K35)-HEX2DEC(H35))/3*1))</f>
        <v>22AB</v>
      </c>
      <c r="J35" s="21" t="str">
        <f>DEC2HEX(HEX2DEC(H35)+((HEX2DEC(K35)-HEX2DEC(H35))/3*2))</f>
        <v>3509</v>
      </c>
      <c r="K35" s="21" t="str">
        <f t="shared" si="5"/>
        <v>4768</v>
      </c>
    </row>
    <row r="37" spans="2:11" x14ac:dyDescent="0.25">
      <c r="B37" s="35" t="s">
        <v>27</v>
      </c>
      <c r="C37" s="35"/>
      <c r="D37" s="16">
        <v>4</v>
      </c>
    </row>
    <row r="38" spans="2:11" x14ac:dyDescent="0.25">
      <c r="B38" s="35" t="s">
        <v>9</v>
      </c>
      <c r="C38" s="35"/>
      <c r="D38" s="16" t="s">
        <v>8</v>
      </c>
    </row>
    <row r="39" spans="2:11" x14ac:dyDescent="0.25">
      <c r="B39" s="36" t="s">
        <v>23</v>
      </c>
      <c r="C39" s="36"/>
      <c r="D39" s="17">
        <v>1</v>
      </c>
    </row>
    <row r="40" spans="2:11" ht="16.5" thickBot="1" x14ac:dyDescent="0.3"/>
    <row r="41" spans="2:11" ht="50.1" customHeight="1" thickBot="1" x14ac:dyDescent="0.3">
      <c r="B41" s="37" t="str">
        <f>"if steerConfigIndex in [1, 2, 3, 4, 5, 6]: ret.lateralParams.torqueBP, ret.lateralParams.torqueV = [[0x" &amp; C29 &amp; ", 0x" &amp; D29 &amp; ", 0x" &amp; E29 &amp; ", 0x" &amp;F29 &amp; ", 0x" &amp; G29 &amp; ", 0x" &amp; H29 &amp; ", 0x" &amp; I29 &amp; ", 0x" &amp; J29 &amp; ", 0x" &amp; K29 &amp; "], [0x" &amp; C13 &amp; ", 0x" &amp; D13 &amp; ", 0x" &amp; E13 &amp; ", 0x" &amp;F13 &amp; ", 0x" &amp; G13 &amp; ", 0x" &amp; H13 &amp; ", 0x" &amp; I13 &amp; ", 0x" &amp; J13 &amp; ", 0x" &amp; K13 &amp; "]]"</f>
        <v>if steerConfigIndex in [1, 2, 3, 4, 5, 6]: ret.lateralParams.torqueBP, ret.lateralParams.torqueV = [[0x0, 0x500, 0x980, 0xD80, 0xFCD, 0x1180, 0x1200, 0x3F00, 0x4800], [0x0, 0x200, 0x300, 0x478, 0x5EC, 0x800, 0xA00, 0xE00, 0xF00]]</v>
      </c>
      <c r="C41" s="38"/>
      <c r="D41" s="38"/>
      <c r="E41" s="38"/>
      <c r="F41" s="38"/>
      <c r="G41" s="38"/>
      <c r="H41" s="38"/>
      <c r="I41" s="38"/>
      <c r="J41" s="38"/>
      <c r="K41" s="39"/>
    </row>
    <row r="42" spans="2:11" ht="50.1" customHeight="1" thickBot="1" x14ac:dyDescent="0.3">
      <c r="B42" s="37" t="str">
        <f>"elif steerConfigIndex == 7: ret.lateralParams.torqueBP, ret.lateralParams.torqueV = [[0x" &amp; C35 &amp; ", 0x" &amp; D35 &amp; ", 0x" &amp; E35 &amp; ", 0x" &amp;F35 &amp; ", 0x" &amp; G35 &amp; ", 0x" &amp; H35 &amp; ", 0x" &amp; I35 &amp; ", 0x" &amp; J35 &amp; ", 0x" &amp; K35 &amp; "], [0x" &amp; C19 &amp; ", 0x" &amp; D19 &amp; ", 0x" &amp; E19 &amp; ", 0x" &amp;F19 &amp; ", 0x" &amp; G19 &amp; ", 0x" &amp; H19 &amp; ", 0x" &amp; I19 &amp; ", 0x" &amp; J19 &amp; ", 0x" &amp; K19 &amp; "]]"</f>
        <v>elif steerConfigIndex == 7: ret.lateralParams.torqueBP, ret.lateralParams.torqueV = [[0x0, 0x6B3, 0xB1A, 0xCCD, 0xE9A, 0x104D, 0x22AB, 0x3509, 0x4768], [0x0, 0x200, 0x400, 0x600, 0x800, 0xA00, 0xC00, 0xE00, 0xF00]]</v>
      </c>
      <c r="C42" s="38"/>
      <c r="D42" s="38"/>
      <c r="E42" s="38"/>
      <c r="F42" s="38"/>
      <c r="G42" s="38"/>
      <c r="H42" s="38"/>
      <c r="I42" s="38"/>
      <c r="J42" s="38"/>
      <c r="K42" s="39"/>
    </row>
    <row r="43" spans="2:11" ht="16.5" thickBot="1" x14ac:dyDescent="0.3">
      <c r="B43" s="19"/>
      <c r="C43" s="12"/>
      <c r="D43" s="19"/>
      <c r="E43" s="19"/>
      <c r="F43" s="19"/>
      <c r="G43" s="19"/>
      <c r="H43" s="19"/>
      <c r="I43" s="19"/>
      <c r="J43" s="19"/>
      <c r="K43" s="19"/>
    </row>
    <row r="44" spans="2:11" ht="51.95" customHeight="1" thickBot="1" x14ac:dyDescent="0.3">
      <c r="B44" s="37" t="str">
        <f>"if steerConfigIndex in [1, 2, 3, 4, 5, 6]: ret.lateralParams.torqueBP, ret.lateralParams.torqueV = [[0x" &amp; C21 &amp; ", 0x" &amp; D21 &amp; ", 0x" &amp; E21 &amp; ", 0x" &amp;F21 &amp; ", 0x" &amp; G21 &amp; ", 0x" &amp; H21 &amp; ", 0x" &amp; I21 &amp; "], [0x" &amp; C13 &amp; ", 0x" &amp; D13 &amp; ", 0x" &amp; E13 &amp; ", 0x" &amp;F13 &amp; ", 0x" &amp; G13 &amp; ", 0x" &amp; H13 &amp; ", 0x" &amp; I13 &amp;"]]"</f>
        <v>if steerConfigIndex in [1, 2, 3, 4, 5, 6]: ret.lateralParams.torqueBP, ret.lateralParams.torqueV = [[0x0, 0x500, 0x980, 0xD80, 0xFCD, 0x1180, 0x1200], [0x0, 0x200, 0x300, 0x478, 0x5EC, 0x800, 0xA00]]</v>
      </c>
      <c r="C44" s="38"/>
      <c r="D44" s="38"/>
      <c r="E44" s="38"/>
      <c r="F44" s="38"/>
      <c r="G44" s="38"/>
      <c r="H44" s="38"/>
      <c r="I44" s="38"/>
      <c r="J44" s="38"/>
      <c r="K44" s="39"/>
    </row>
    <row r="45" spans="2:11" ht="51.95" customHeight="1" thickBot="1" x14ac:dyDescent="0.3">
      <c r="B45" s="43" t="str">
        <f>"elif steerConfigIndex == 7: ret.lateralParams.torqueBP, ret.lateralParams.torqueV = [[0x" &amp; C27 &amp; ", 0x" &amp; D27 &amp; ", 0x" &amp; E27 &amp; ", 0x" &amp;F27 &amp; ", 0x" &amp; G27 &amp; ", 0x" &amp; H27 &amp; ", 0x" &amp; I27 &amp; ", 0x" &amp; J27 &amp; "], [0x" &amp; C19 &amp; ", 0x" &amp; D19 &amp; ", 0x" &amp; E19 &amp; ", 0x" &amp;F19 &amp; ", 0x" &amp; G19 &amp; ", 0x" &amp; H19 &amp; ", 0x" &amp; I19 &amp; ", 0x" &amp; J19 &amp; "]]"</f>
        <v>elif steerConfigIndex == 7: ret.lateralParams.torqueBP, ret.lateralParams.torqueV = [[0x0, 0x6B3, 0xB1A, 0xCCD, 0xE9A, 0x104D, 0x119A, 0x11DA], [0x0, 0x200, 0x400, 0x600, 0x800, 0xA00, 0xC00, 0xE00]]</v>
      </c>
      <c r="C45" s="44"/>
      <c r="D45" s="44"/>
      <c r="E45" s="44"/>
      <c r="F45" s="44"/>
      <c r="G45" s="44"/>
      <c r="H45" s="44"/>
      <c r="I45" s="44"/>
      <c r="J45" s="44"/>
      <c r="K45" s="45"/>
    </row>
    <row r="46" spans="2:11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2:11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spans="2:11" ht="16.5" thickBot="1" x14ac:dyDescent="0.3"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2:11" ht="16.5" thickBot="1" x14ac:dyDescent="0.3">
      <c r="B49" s="31" t="str">
        <f>"'0x000" &amp; C21 &amp; ", 0x0" &amp; D21 &amp; ", 0x0" &amp; E21 &amp; ", 0x" &amp;F21 &amp; ", 0x" &amp; G21 &amp; ", 0x" &amp; H21 &amp; ", 0x" &amp; I21 &amp; ", 0x" &amp; J21 &amp; ", 0x" &amp; K21 &amp; "', # " &amp; B21</f>
        <v>'0x0000, 0x0500, 0x0980, 0xD80, 0xFCD, 0x1180, 0x1200, 0x1200, 0x1200', # original torque_table row 1</v>
      </c>
      <c r="C49" s="32"/>
      <c r="D49" s="32"/>
      <c r="E49" s="32"/>
      <c r="F49" s="32"/>
      <c r="G49" s="32"/>
      <c r="H49" s="32"/>
      <c r="I49" s="32"/>
      <c r="J49" s="32"/>
      <c r="K49" s="33"/>
    </row>
    <row r="50" spans="2:11" ht="16.5" thickBot="1" x14ac:dyDescent="0.3">
      <c r="B50" s="31" t="str">
        <f t="shared" ref="B50:B54" si="6">"'0x000" &amp; C22 &amp; ", 0x0" &amp; D22 &amp; ", 0x0" &amp; E22 &amp; ", 0x" &amp;F22 &amp; ", 0x" &amp; G22 &amp; ", 0x" &amp; H22 &amp; ", 0x" &amp; I22 &amp; ", 0x" &amp; J22 &amp; ", 0x" &amp; K22 &amp; "', # " &amp; B22</f>
        <v>'0x0000, 0x034D, 0x07CD, 0x0C00, 0xF00, 0x1080, 0x1200, 0x1200, 0x1200', # original torque_table row 2</v>
      </c>
      <c r="C50" s="32"/>
      <c r="D50" s="32"/>
      <c r="E50" s="32"/>
      <c r="F50" s="32"/>
      <c r="G50" s="32"/>
      <c r="H50" s="32"/>
      <c r="I50" s="32"/>
      <c r="J50" s="32"/>
      <c r="K50" s="33"/>
    </row>
    <row r="51" spans="2:11" ht="16.5" thickBot="1" x14ac:dyDescent="0.3">
      <c r="B51" s="31" t="str">
        <f t="shared" si="6"/>
        <v>'0x0000, 0x034D, 0x07CD, 0xC00, 0xECC, 0x1066, 0x1200, 0x1200, 0x1200', # original torque_table row 3</v>
      </c>
      <c r="C51" s="32"/>
      <c r="D51" s="32"/>
      <c r="E51" s="32"/>
      <c r="F51" s="32"/>
      <c r="G51" s="32"/>
      <c r="H51" s="32"/>
      <c r="I51" s="32"/>
      <c r="J51" s="32"/>
      <c r="K51" s="33"/>
    </row>
    <row r="52" spans="2:11" ht="16.5" thickBot="1" x14ac:dyDescent="0.3">
      <c r="B52" s="31" t="str">
        <f t="shared" si="6"/>
        <v>'0x0000, 0x0400, 0x0680, 0x980, 0xCD5, 0x1000, 0x1200, 0x1200, 0x1200', # original torque_table row 4</v>
      </c>
      <c r="C52" s="32"/>
      <c r="D52" s="32"/>
      <c r="E52" s="32"/>
      <c r="F52" s="32"/>
      <c r="G52" s="32"/>
      <c r="H52" s="32"/>
      <c r="I52" s="32"/>
      <c r="J52" s="32"/>
      <c r="K52" s="33"/>
    </row>
    <row r="53" spans="2:11" ht="16.5" thickBot="1" x14ac:dyDescent="0.3">
      <c r="B53" s="31" t="str">
        <f t="shared" si="6"/>
        <v>'0x0000, 0x039A, 0x0726, 0xAEF, 0xE9A, 0x10E6, 0x1200, 0x1200, 0x1200', # original torque_table row 5</v>
      </c>
      <c r="C53" s="32"/>
      <c r="D53" s="32"/>
      <c r="E53" s="32"/>
      <c r="F53" s="32"/>
      <c r="G53" s="32"/>
      <c r="H53" s="32"/>
      <c r="I53" s="32"/>
      <c r="J53" s="32"/>
      <c r="K53" s="33"/>
    </row>
    <row r="54" spans="2:11" ht="16.5" thickBot="1" x14ac:dyDescent="0.3">
      <c r="B54" s="31" t="str">
        <f t="shared" si="6"/>
        <v>'0x0000, 0x0746, 0x0B04, 0xCDF, 0xE19, 0x1008, 0x1200, 0x1200, 0x1200', # original torque_table row 6</v>
      </c>
      <c r="C54" s="32"/>
      <c r="D54" s="32"/>
      <c r="E54" s="32"/>
      <c r="F54" s="32"/>
      <c r="G54" s="32"/>
      <c r="H54" s="32"/>
      <c r="I54" s="32"/>
      <c r="J54" s="32"/>
      <c r="K54" s="33"/>
    </row>
    <row r="55" spans="2:11" ht="16.5" thickBot="1" x14ac:dyDescent="0.3">
      <c r="B55" s="31" t="str">
        <f>"'0x000" &amp; C27 &amp; ", 0x0" &amp; D27 &amp; ", 0x0" &amp; E27 &amp; ", 0x0" &amp;F27 &amp; ", 0x0" &amp; G27 &amp; ", 0x" &amp; H27 &amp; ", 0x" &amp; I27 &amp; ", 0x" &amp; J27 &amp; ", 0x" &amp; K27 &amp; "', # " &amp; B27</f>
        <v>'0x0000, 0x06B3, 0x0B1A, 0x0CCD, 0x0E9A, 0x104D, 0x119A, 0x11DA, 0x11DA', # original torque_table row 7</v>
      </c>
      <c r="C55" s="32"/>
      <c r="D55" s="32"/>
      <c r="E55" s="32"/>
      <c r="F55" s="32"/>
      <c r="G55" s="32"/>
      <c r="H55" s="32"/>
      <c r="I55" s="32"/>
      <c r="J55" s="32"/>
      <c r="K55" s="33"/>
    </row>
    <row r="56" spans="2:11" ht="16.5" thickBot="1" x14ac:dyDescent="0.3"/>
    <row r="57" spans="2:11" ht="16.5" thickBot="1" x14ac:dyDescent="0.3">
      <c r="B57" s="31" t="str">
        <f>"'0x000" &amp; C29 &amp; ", 0x0" &amp; D29 &amp; ", 0x0" &amp; E29 &amp; ", 0x" &amp;F29 &amp; ", 0x" &amp; G29 &amp; ", 0x" &amp; H29 &amp; ", 0x" &amp; I29 &amp; ", 0x" &amp; J29 &amp; ", 0x" &amp; K29 &amp; "', # " &amp; B29</f>
        <v>'0x0000, 0x0500, 0x0980, 0xD80, 0xFCD, 0x1180, 0x1200, 0x3F00, 0x4800', # new torque_table row 1</v>
      </c>
      <c r="C57" s="32"/>
      <c r="D57" s="32"/>
      <c r="E57" s="32"/>
      <c r="F57" s="32"/>
      <c r="G57" s="32"/>
      <c r="H57" s="32"/>
      <c r="I57" s="32"/>
      <c r="J57" s="32"/>
      <c r="K57" s="33"/>
    </row>
    <row r="58" spans="2:11" ht="16.5" thickBot="1" x14ac:dyDescent="0.3">
      <c r="B58" s="31" t="str">
        <f t="shared" ref="B58:B62" si="7">"'0x000" &amp; C30 &amp; ", 0x0" &amp; D30 &amp; ", 0x0" &amp; E30 &amp; ", 0x" &amp;F30 &amp; ", 0x" &amp; G30 &amp; ", 0x" &amp; H30 &amp; ", 0x" &amp; I30 &amp; ", 0x" &amp; J30 &amp; ", 0x" &amp; K30 &amp; "', # " &amp; B30</f>
        <v>'0x0000, 0x034D, 0x07CD, 0x0C00, 0xF00, 0x1080, 0x1200, 0x3F00, 0x4800', # new torque_table row 2</v>
      </c>
      <c r="C58" s="32"/>
      <c r="D58" s="32"/>
      <c r="E58" s="32"/>
      <c r="F58" s="32"/>
      <c r="G58" s="32"/>
      <c r="H58" s="32"/>
      <c r="I58" s="32"/>
      <c r="J58" s="32"/>
      <c r="K58" s="33"/>
    </row>
    <row r="59" spans="2:11" ht="16.5" thickBot="1" x14ac:dyDescent="0.3">
      <c r="B59" s="31" t="str">
        <f t="shared" si="7"/>
        <v>'0x0000, 0x034D, 0x07CD, 0xC00, 0xECC, 0x1066, 0x1200, 0x3F00, 0x4800', # new torque_table row 3</v>
      </c>
      <c r="C59" s="32"/>
      <c r="D59" s="32"/>
      <c r="E59" s="32"/>
      <c r="F59" s="32"/>
      <c r="G59" s="32"/>
      <c r="H59" s="32"/>
      <c r="I59" s="32"/>
      <c r="J59" s="32"/>
      <c r="K59" s="33"/>
    </row>
    <row r="60" spans="2:11" ht="16.5" thickBot="1" x14ac:dyDescent="0.3">
      <c r="B60" s="31" t="str">
        <f t="shared" si="7"/>
        <v>'0x0000, 0x0400, 0x0680, 0x980, 0xCD5, 0x1000, 0x1200, 0x3F00, 0x4800', # new torque_table row 4</v>
      </c>
      <c r="C60" s="32"/>
      <c r="D60" s="32"/>
      <c r="E60" s="32"/>
      <c r="F60" s="32"/>
      <c r="G60" s="32"/>
      <c r="H60" s="32"/>
      <c r="I60" s="32"/>
      <c r="J60" s="32"/>
      <c r="K60" s="33"/>
    </row>
    <row r="61" spans="2:11" ht="16.5" thickBot="1" x14ac:dyDescent="0.3">
      <c r="B61" s="31" t="str">
        <f t="shared" si="7"/>
        <v>'0x0000, 0x039A, 0x0726, 0xAEF, 0xE9A, 0x10E6, 0x1200, 0x3F00, 0x4800', # new torque_table row 5</v>
      </c>
      <c r="C61" s="32"/>
      <c r="D61" s="32"/>
      <c r="E61" s="32"/>
      <c r="F61" s="32"/>
      <c r="G61" s="32"/>
      <c r="H61" s="32"/>
      <c r="I61" s="32"/>
      <c r="J61" s="32"/>
      <c r="K61" s="33"/>
    </row>
    <row r="62" spans="2:11" ht="16.5" thickBot="1" x14ac:dyDescent="0.3">
      <c r="B62" s="31" t="str">
        <f t="shared" si="7"/>
        <v>'0x0000, 0x0746, 0x0B04, 0xCDF, 0xE19, 0x1008, 0x1200, 0x3F00, 0x4800', # new torque_table row 6</v>
      </c>
      <c r="C62" s="32"/>
      <c r="D62" s="32"/>
      <c r="E62" s="32"/>
      <c r="F62" s="32"/>
      <c r="G62" s="32"/>
      <c r="H62" s="32"/>
      <c r="I62" s="32"/>
      <c r="J62" s="32"/>
      <c r="K62" s="33"/>
    </row>
    <row r="63" spans="2:11" ht="16.5" thickBot="1" x14ac:dyDescent="0.3">
      <c r="B63" s="31" t="str">
        <f>"'0x000" &amp; C35 &amp; ", 0x0" &amp; D35 &amp; ", 0x0" &amp; E35 &amp; ", 0x0" &amp;F35 &amp; ", 0x0" &amp; G35 &amp; ", 0x" &amp; H35 &amp; ", 0x" &amp; I35 &amp; ", 0x" &amp; J35 &amp; ", 0x" &amp; K35 &amp; "', # " &amp; B35</f>
        <v>'0x0000, 0x06B3, 0x0B1A, 0x0CCD, 0x0E9A, 0x104D, 0x22AB, 0x3509, 0x4768', # new torque_table row 7</v>
      </c>
      <c r="C63" s="32"/>
      <c r="D63" s="32"/>
      <c r="E63" s="32"/>
      <c r="F63" s="32"/>
      <c r="G63" s="32"/>
      <c r="H63" s="32"/>
      <c r="I63" s="32"/>
      <c r="J63" s="32"/>
      <c r="K63" s="33"/>
    </row>
  </sheetData>
  <mergeCells count="22">
    <mergeCell ref="B60:K60"/>
    <mergeCell ref="B61:K61"/>
    <mergeCell ref="B62:K62"/>
    <mergeCell ref="B63:K63"/>
    <mergeCell ref="B53:K53"/>
    <mergeCell ref="B54:K54"/>
    <mergeCell ref="B55:K55"/>
    <mergeCell ref="B57:K57"/>
    <mergeCell ref="B58:K58"/>
    <mergeCell ref="B59:K59"/>
    <mergeCell ref="B52:K52"/>
    <mergeCell ref="B2:K3"/>
    <mergeCell ref="B37:C37"/>
    <mergeCell ref="B38:C38"/>
    <mergeCell ref="B39:C39"/>
    <mergeCell ref="B41:K41"/>
    <mergeCell ref="B42:K42"/>
    <mergeCell ref="B44:K44"/>
    <mergeCell ref="B45:K45"/>
    <mergeCell ref="B49:K49"/>
    <mergeCell ref="B50:K50"/>
    <mergeCell ref="B51:K5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4AA4-6EBE-8542-98C8-620F4EDB85E6}">
  <dimension ref="A1:AM132"/>
  <sheetViews>
    <sheetView zoomScale="85" zoomScaleNormal="167" workbookViewId="0">
      <selection activeCell="D20" sqref="D20"/>
    </sheetView>
  </sheetViews>
  <sheetFormatPr defaultColWidth="11" defaultRowHeight="15.75" x14ac:dyDescent="0.25"/>
  <cols>
    <col min="3" max="4" width="14.5" customWidth="1"/>
    <col min="5" max="5" width="10.875" customWidth="1"/>
    <col min="6" max="10" width="12.625" bestFit="1" customWidth="1"/>
    <col min="11" max="12" width="13.625" bestFit="1" customWidth="1"/>
    <col min="23" max="23" width="16.125" customWidth="1"/>
    <col min="24" max="25" width="8.875" customWidth="1"/>
    <col min="34" max="34" width="8.375" bestFit="1" customWidth="1"/>
    <col min="35" max="35" width="9.875" bestFit="1" customWidth="1"/>
    <col min="36" max="36" width="10.875" bestFit="1" customWidth="1"/>
    <col min="37" max="37" width="9.625" bestFit="1" customWidth="1"/>
    <col min="38" max="38" width="10.375" hidden="1" customWidth="1"/>
    <col min="39" max="39" width="9.125" hidden="1" customWidth="1"/>
    <col min="40" max="40" width="9" bestFit="1" customWidth="1"/>
    <col min="41" max="41" width="7.375" bestFit="1" customWidth="1"/>
  </cols>
  <sheetData>
    <row r="1" spans="1:28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4"/>
      <c r="N1" s="4"/>
      <c r="O1" s="4"/>
      <c r="P1" s="4"/>
    </row>
    <row r="2" spans="1:28" x14ac:dyDescent="0.25">
      <c r="A2" s="2"/>
      <c r="L2" s="5"/>
      <c r="M2" s="4"/>
      <c r="N2" s="4"/>
      <c r="O2" s="4"/>
      <c r="P2" s="4"/>
    </row>
    <row r="3" spans="1:28" ht="16.5" thickBot="1" x14ac:dyDescent="0.3">
      <c r="A3" s="2"/>
      <c r="L3" s="5"/>
      <c r="M3" s="4"/>
      <c r="N3" s="4"/>
      <c r="O3" s="4"/>
      <c r="P3" s="4"/>
    </row>
    <row r="4" spans="1:28" x14ac:dyDescent="0.25">
      <c r="A4" s="2"/>
      <c r="C4" s="50" t="s">
        <v>29</v>
      </c>
      <c r="D4" s="51"/>
      <c r="E4" s="51"/>
      <c r="F4" s="51"/>
      <c r="G4" s="51"/>
      <c r="H4" s="51"/>
      <c r="I4" s="51"/>
      <c r="J4" s="52"/>
      <c r="L4" s="3"/>
      <c r="M4" s="4"/>
      <c r="N4" s="4"/>
      <c r="O4" s="4"/>
      <c r="P4" s="4"/>
    </row>
    <row r="5" spans="1:28" ht="16.5" thickBot="1" x14ac:dyDescent="0.3">
      <c r="A5" s="2"/>
      <c r="C5" s="53"/>
      <c r="D5" s="54"/>
      <c r="E5" s="54"/>
      <c r="F5" s="54"/>
      <c r="G5" s="54"/>
      <c r="H5" s="54"/>
      <c r="I5" s="54"/>
      <c r="J5" s="55"/>
      <c r="L5" s="2"/>
      <c r="M5" s="4"/>
      <c r="N5" s="4"/>
      <c r="O5" s="4"/>
      <c r="P5" s="4"/>
    </row>
    <row r="6" spans="1:28" x14ac:dyDescent="0.25">
      <c r="A6" s="2"/>
      <c r="L6" s="2"/>
      <c r="M6" s="4"/>
      <c r="N6" s="4"/>
      <c r="O6" s="4"/>
      <c r="P6" s="4"/>
    </row>
    <row r="7" spans="1:28" x14ac:dyDescent="0.25">
      <c r="A7" s="2"/>
      <c r="L7" s="2"/>
      <c r="M7" s="4"/>
      <c r="N7" s="4"/>
      <c r="O7" s="4"/>
      <c r="P7" s="4"/>
    </row>
    <row r="8" spans="1:28" x14ac:dyDescent="0.25">
      <c r="A8" s="2"/>
      <c r="L8" s="2"/>
      <c r="M8" s="4"/>
      <c r="N8" s="56"/>
      <c r="O8" s="56"/>
      <c r="P8" s="56"/>
      <c r="Q8" s="56"/>
      <c r="S8" s="10"/>
      <c r="U8" s="10"/>
      <c r="V8" s="10"/>
      <c r="W8" s="10"/>
    </row>
    <row r="9" spans="1:28" x14ac:dyDescent="0.25">
      <c r="A9" s="2"/>
      <c r="D9">
        <v>0</v>
      </c>
      <c r="E9" s="11">
        <f>HEX2DEC(D9)</f>
        <v>0</v>
      </c>
      <c r="F9" s="11"/>
      <c r="L9" s="2"/>
      <c r="M9" s="4"/>
      <c r="O9" s="4"/>
      <c r="P9" s="4"/>
      <c r="Q9" s="4"/>
      <c r="U9" s="4"/>
      <c r="V9" s="4"/>
      <c r="W9" s="4"/>
      <c r="X9" s="4"/>
      <c r="Y9" s="4"/>
      <c r="Z9" s="4"/>
      <c r="AA9" s="4"/>
      <c r="AB9" s="4"/>
    </row>
    <row r="10" spans="1:28" x14ac:dyDescent="0.25">
      <c r="A10" s="2"/>
      <c r="C10">
        <v>1</v>
      </c>
      <c r="D10" t="str">
        <f t="shared" ref="D10:D16" si="0">DEC2HEX(HEX2DEC(D$17)/8*C10)</f>
        <v>708</v>
      </c>
      <c r="E10" s="11">
        <f t="shared" ref="E10:E17" si="1">HEX2DEC(D10)</f>
        <v>1800</v>
      </c>
      <c r="F10" s="11"/>
      <c r="L10" s="2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x14ac:dyDescent="0.25">
      <c r="A11" s="2"/>
      <c r="C11">
        <v>2</v>
      </c>
      <c r="D11" t="str">
        <f t="shared" si="0"/>
        <v>E10</v>
      </c>
      <c r="E11" s="11">
        <f t="shared" si="1"/>
        <v>3600</v>
      </c>
      <c r="F11" s="11"/>
      <c r="L11" s="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x14ac:dyDescent="0.25">
      <c r="A12" s="2"/>
      <c r="C12">
        <v>3</v>
      </c>
      <c r="D12" t="str">
        <f t="shared" si="0"/>
        <v>1518</v>
      </c>
      <c r="E12" s="11">
        <f t="shared" si="1"/>
        <v>5400</v>
      </c>
      <c r="F12" s="11"/>
      <c r="L12" s="2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x14ac:dyDescent="0.25">
      <c r="A13" s="2"/>
      <c r="C13">
        <v>4</v>
      </c>
      <c r="D13" t="str">
        <f t="shared" si="0"/>
        <v>1C20</v>
      </c>
      <c r="E13" s="11">
        <f t="shared" si="1"/>
        <v>7200</v>
      </c>
      <c r="F13" s="11"/>
      <c r="L13" s="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x14ac:dyDescent="0.25">
      <c r="A14" s="2"/>
      <c r="C14">
        <v>5</v>
      </c>
      <c r="D14" t="str">
        <f t="shared" si="0"/>
        <v>2328</v>
      </c>
      <c r="E14" s="11">
        <f t="shared" si="1"/>
        <v>9000</v>
      </c>
      <c r="F14" s="11"/>
      <c r="L14" s="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x14ac:dyDescent="0.25">
      <c r="A15" s="2"/>
      <c r="C15">
        <v>6</v>
      </c>
      <c r="D15" t="str">
        <f t="shared" si="0"/>
        <v>2A30</v>
      </c>
      <c r="E15" s="11">
        <f t="shared" si="1"/>
        <v>10800</v>
      </c>
      <c r="F15" s="11"/>
      <c r="L15" s="2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x14ac:dyDescent="0.25">
      <c r="A16" s="2"/>
      <c r="C16">
        <v>7</v>
      </c>
      <c r="D16" t="str">
        <f t="shared" si="0"/>
        <v>3138</v>
      </c>
      <c r="E16" s="11">
        <f t="shared" si="1"/>
        <v>12600</v>
      </c>
      <c r="F16" s="11"/>
      <c r="L16" s="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25">
      <c r="A17" s="2"/>
      <c r="C17" s="4"/>
      <c r="D17" s="4" t="str">
        <f>DEC2HEX(HEX2DEC(D19)*D20)</f>
        <v>3840</v>
      </c>
      <c r="E17" s="11">
        <f t="shared" si="1"/>
        <v>14400</v>
      </c>
      <c r="F17" s="11"/>
      <c r="L17" s="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25">
      <c r="A18" s="2"/>
      <c r="L18" s="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25">
      <c r="A19" s="2"/>
      <c r="C19" t="s">
        <v>30</v>
      </c>
      <c r="D19" s="1">
        <v>1680</v>
      </c>
      <c r="L19" s="2"/>
      <c r="M19" s="4"/>
      <c r="N19" s="56"/>
      <c r="O19" s="56"/>
      <c r="P19" s="56"/>
      <c r="Q19" s="56"/>
      <c r="R19" s="4"/>
      <c r="S19" s="10"/>
      <c r="T19" s="10"/>
      <c r="U19" s="10"/>
      <c r="V19" s="10"/>
    </row>
    <row r="20" spans="1:28" x14ac:dyDescent="0.25">
      <c r="A20" s="2"/>
      <c r="C20" t="s">
        <v>31</v>
      </c>
      <c r="D20" s="1">
        <v>2.5</v>
      </c>
      <c r="L20" s="2"/>
      <c r="M20" s="4"/>
      <c r="O20" s="4"/>
      <c r="P20" s="4"/>
      <c r="Q20" s="4"/>
      <c r="R20" s="4"/>
    </row>
    <row r="21" spans="1:28" x14ac:dyDescent="0.25">
      <c r="A21" s="2"/>
      <c r="C21" s="4"/>
      <c r="D21" s="14"/>
      <c r="L21" s="2"/>
      <c r="M21" s="4"/>
      <c r="N21" s="4"/>
      <c r="O21" s="4"/>
      <c r="P21" s="4"/>
      <c r="Q21" s="4"/>
      <c r="R21" s="4"/>
    </row>
    <row r="22" spans="1:28" ht="16.5" thickBot="1" x14ac:dyDescent="0.3">
      <c r="A22" s="2"/>
      <c r="L22" s="2"/>
      <c r="M22" s="4"/>
      <c r="N22" s="4"/>
      <c r="O22" s="4"/>
      <c r="P22" s="4"/>
      <c r="Q22" s="4"/>
      <c r="R22" s="4"/>
    </row>
    <row r="23" spans="1:28" ht="16.5" thickBot="1" x14ac:dyDescent="0.3">
      <c r="A23" s="2"/>
      <c r="C23" t="s">
        <v>95</v>
      </c>
      <c r="D23" s="47" t="str">
        <f>"0x" &amp; D9 &amp; ", 0x" &amp; D10 &amp; ", 0x" &amp; D11 &amp; ", 0x" &amp;(D12) &amp; ", 0x" &amp; D13 &amp; ", 0x" &amp; D14 &amp; ", 0x" &amp; D15 &amp; ", 0x" &amp; D16 &amp; ", 0x" &amp; D17</f>
        <v>0x0, 0x708, 0xE10, 0x1518, 0x1C20, 0x2328, 0x2A30, 0x3138, 0x3840</v>
      </c>
      <c r="E23" s="48"/>
      <c r="F23" s="48"/>
      <c r="G23" s="48"/>
      <c r="H23" s="48"/>
      <c r="I23" s="48"/>
      <c r="J23" s="49"/>
      <c r="L23" s="2"/>
      <c r="M23" s="4"/>
      <c r="N23" s="4"/>
      <c r="O23" s="4"/>
      <c r="P23" s="4"/>
      <c r="Q23" s="4"/>
      <c r="R23" s="4"/>
    </row>
    <row r="24" spans="1:28" x14ac:dyDescent="0.25">
      <c r="A24" s="2"/>
      <c r="L24" s="5"/>
      <c r="M24" s="4"/>
      <c r="N24" s="4"/>
      <c r="O24" s="4"/>
      <c r="P24" s="4"/>
      <c r="Q24" s="4"/>
      <c r="R24" s="4"/>
      <c r="AA24" s="4"/>
    </row>
    <row r="25" spans="1:28" x14ac:dyDescent="0.25">
      <c r="A25" s="2"/>
      <c r="L25" s="5"/>
      <c r="M25" s="4"/>
      <c r="N25" s="4"/>
      <c r="O25" s="4"/>
      <c r="P25" s="4"/>
      <c r="Q25" s="4"/>
      <c r="R25" s="4"/>
      <c r="AA25" s="4"/>
    </row>
    <row r="26" spans="1:2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4"/>
      <c r="N26" s="4"/>
      <c r="O26" s="4"/>
      <c r="P26" s="4"/>
      <c r="Q26" s="4"/>
      <c r="R26" s="4"/>
      <c r="AA26" s="4"/>
    </row>
    <row r="27" spans="1:2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4"/>
      <c r="N27" s="4"/>
      <c r="O27" s="4"/>
      <c r="P27" s="4"/>
      <c r="Q27" s="4"/>
      <c r="R27" s="4"/>
      <c r="AA27" s="4"/>
    </row>
    <row r="28" spans="1:28" ht="15.9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4"/>
      <c r="N28" s="4"/>
      <c r="O28" s="4"/>
      <c r="P28" s="4"/>
      <c r="Q28" s="4"/>
      <c r="R28" s="4"/>
      <c r="AA28" s="4"/>
    </row>
    <row r="29" spans="1:28" ht="17.100000000000001" customHeight="1" x14ac:dyDescent="0.25">
      <c r="M29" s="4"/>
      <c r="N29" s="4"/>
      <c r="O29" s="4"/>
      <c r="P29" s="4"/>
      <c r="Q29" s="4"/>
      <c r="R29" s="4"/>
      <c r="AA29" s="4"/>
    </row>
    <row r="30" spans="1:28" x14ac:dyDescent="0.25">
      <c r="M30" s="4"/>
      <c r="N30" s="4"/>
      <c r="O30" s="4"/>
      <c r="P30" s="4"/>
      <c r="AA30" s="4"/>
    </row>
    <row r="31" spans="1:28" ht="15.95" customHeight="1" x14ac:dyDescent="0.25">
      <c r="M31" s="4"/>
      <c r="N31" s="4"/>
      <c r="O31" s="4"/>
      <c r="P31" s="4"/>
      <c r="AA31" s="4"/>
    </row>
    <row r="32" spans="1:28" ht="15.95" customHeight="1" x14ac:dyDescent="0.25">
      <c r="M32" s="4"/>
      <c r="N32" s="4"/>
      <c r="O32" s="4"/>
      <c r="P32" s="4"/>
      <c r="AA32" s="4"/>
    </row>
    <row r="33" spans="5:16" x14ac:dyDescent="0.25">
      <c r="M33" s="4"/>
      <c r="N33" s="4"/>
      <c r="O33" s="4"/>
      <c r="P33" s="4"/>
    </row>
    <row r="34" spans="5:16" x14ac:dyDescent="0.25">
      <c r="E34" s="13"/>
      <c r="F34" s="13"/>
      <c r="G34" s="13"/>
      <c r="H34" s="13"/>
      <c r="I34" s="13"/>
      <c r="J34" s="13"/>
      <c r="K34" s="13"/>
      <c r="L34" s="13"/>
      <c r="M34" s="4"/>
      <c r="N34" s="4"/>
      <c r="O34" s="4"/>
      <c r="P34" s="4"/>
    </row>
    <row r="35" spans="5:16" x14ac:dyDescent="0.25">
      <c r="M35" s="4"/>
      <c r="N35" s="4"/>
      <c r="O35" s="4"/>
      <c r="P35" s="4"/>
    </row>
    <row r="36" spans="5:16" x14ac:dyDescent="0.25">
      <c r="M36" s="4"/>
      <c r="N36" s="4"/>
      <c r="O36" s="4"/>
      <c r="P36" s="4"/>
    </row>
    <row r="37" spans="5:16" x14ac:dyDescent="0.25">
      <c r="M37" s="4"/>
      <c r="N37" s="4"/>
      <c r="O37" s="4"/>
      <c r="P37" s="4"/>
    </row>
    <row r="38" spans="5:16" x14ac:dyDescent="0.25">
      <c r="M38" s="4"/>
      <c r="N38" s="4"/>
      <c r="O38" s="4"/>
      <c r="P38" s="4"/>
    </row>
    <row r="39" spans="5:16" x14ac:dyDescent="0.25">
      <c r="M39" s="4"/>
      <c r="N39" s="4"/>
      <c r="O39" s="4"/>
      <c r="P39" s="4"/>
    </row>
    <row r="40" spans="5:16" x14ac:dyDescent="0.25">
      <c r="M40" s="4"/>
      <c r="N40" s="4"/>
      <c r="O40" s="4"/>
      <c r="P40" s="4"/>
    </row>
    <row r="41" spans="5:16" x14ac:dyDescent="0.25">
      <c r="M41" s="4"/>
      <c r="N41" s="4"/>
      <c r="O41" s="4"/>
      <c r="P41" s="4"/>
    </row>
    <row r="42" spans="5:16" x14ac:dyDescent="0.25">
      <c r="M42" s="4"/>
      <c r="N42" s="4"/>
      <c r="O42" s="4"/>
      <c r="P42" s="4"/>
    </row>
    <row r="43" spans="5:16" x14ac:dyDescent="0.25">
      <c r="M43" s="4"/>
      <c r="N43" s="4"/>
      <c r="O43" s="4"/>
      <c r="P43" s="4"/>
    </row>
    <row r="44" spans="5:16" x14ac:dyDescent="0.25">
      <c r="M44" s="4"/>
      <c r="N44" s="4"/>
      <c r="O44" s="4"/>
      <c r="P44" s="4"/>
    </row>
    <row r="45" spans="5:16" x14ac:dyDescent="0.25">
      <c r="M45" s="4"/>
      <c r="N45" s="4"/>
      <c r="O45" s="4"/>
      <c r="P45" s="4"/>
    </row>
    <row r="46" spans="5:16" x14ac:dyDescent="0.25">
      <c r="M46" s="4"/>
      <c r="N46" s="4"/>
      <c r="O46" s="4"/>
      <c r="P46" s="4"/>
    </row>
    <row r="47" spans="5:16" x14ac:dyDescent="0.25">
      <c r="M47" s="4"/>
      <c r="N47" s="4"/>
      <c r="O47" s="4"/>
      <c r="P47" s="4"/>
    </row>
    <row r="48" spans="5:16" x14ac:dyDescent="0.25">
      <c r="M48" s="4"/>
      <c r="N48" s="4"/>
      <c r="O48" s="4"/>
      <c r="P48" s="4"/>
    </row>
    <row r="49" spans="13:16" ht="15.95" customHeight="1" x14ac:dyDescent="0.25">
      <c r="M49" s="4"/>
      <c r="N49" s="4"/>
      <c r="O49" s="4"/>
      <c r="P49" s="4"/>
    </row>
    <row r="50" spans="13:16" ht="17.100000000000001" customHeight="1" x14ac:dyDescent="0.25">
      <c r="M50" s="4"/>
      <c r="N50" s="4"/>
      <c r="O50" s="4"/>
      <c r="P50" s="4"/>
    </row>
    <row r="51" spans="13:16" x14ac:dyDescent="0.25">
      <c r="M51" s="4"/>
      <c r="N51" s="4"/>
      <c r="O51" s="4"/>
      <c r="P51" s="4"/>
    </row>
    <row r="52" spans="13:16" x14ac:dyDescent="0.25">
      <c r="M52" s="4"/>
      <c r="N52" s="4"/>
      <c r="O52" s="4"/>
      <c r="P52" s="4"/>
    </row>
    <row r="53" spans="13:16" x14ac:dyDescent="0.25">
      <c r="M53" s="4"/>
      <c r="N53" s="4"/>
      <c r="O53" s="4"/>
      <c r="P53" s="4"/>
    </row>
    <row r="54" spans="13:16" x14ac:dyDescent="0.25">
      <c r="M54" s="4"/>
      <c r="N54" s="4"/>
      <c r="O54" s="4"/>
      <c r="P54" s="4"/>
    </row>
    <row r="55" spans="13:16" x14ac:dyDescent="0.25">
      <c r="M55" s="4"/>
      <c r="N55" s="4"/>
      <c r="O55" s="4"/>
      <c r="P55" s="4"/>
    </row>
    <row r="56" spans="13:16" x14ac:dyDescent="0.25">
      <c r="M56" s="4"/>
      <c r="N56" s="4"/>
      <c r="O56" s="4"/>
      <c r="P56" s="4"/>
    </row>
    <row r="57" spans="13:16" x14ac:dyDescent="0.25">
      <c r="M57" s="4"/>
      <c r="N57" s="4"/>
      <c r="O57" s="4"/>
      <c r="P57" s="4"/>
    </row>
    <row r="58" spans="13:16" x14ac:dyDescent="0.25">
      <c r="M58" s="4"/>
      <c r="N58" s="4"/>
      <c r="O58" s="4"/>
      <c r="P58" s="4"/>
    </row>
    <row r="59" spans="13:16" x14ac:dyDescent="0.25">
      <c r="M59" s="4"/>
      <c r="N59" s="4"/>
      <c r="O59" s="4"/>
      <c r="P59" s="4"/>
    </row>
    <row r="60" spans="13:16" x14ac:dyDescent="0.25">
      <c r="M60" s="4"/>
      <c r="N60" s="4"/>
      <c r="O60" s="4"/>
      <c r="P60" s="4"/>
    </row>
    <row r="61" spans="13:16" x14ac:dyDescent="0.25">
      <c r="M61" s="4"/>
      <c r="N61" s="4"/>
      <c r="O61" s="4"/>
      <c r="P61" s="4"/>
    </row>
    <row r="62" spans="13:16" x14ac:dyDescent="0.25">
      <c r="M62" s="4"/>
      <c r="N62" s="4"/>
      <c r="O62" s="4"/>
      <c r="P62" s="4"/>
    </row>
    <row r="63" spans="13:16" x14ac:dyDescent="0.25">
      <c r="M63" s="4"/>
      <c r="N63" s="4"/>
      <c r="O63" s="4"/>
      <c r="P63" s="4"/>
    </row>
    <row r="64" spans="13:16" x14ac:dyDescent="0.25">
      <c r="M64" s="4"/>
      <c r="N64" s="4"/>
      <c r="O64" s="4"/>
      <c r="P64" s="4"/>
    </row>
    <row r="65" spans="13:33" x14ac:dyDescent="0.25">
      <c r="M65" s="4"/>
      <c r="N65" s="4"/>
      <c r="O65" s="4"/>
      <c r="P65" s="4"/>
    </row>
    <row r="66" spans="13:33" x14ac:dyDescent="0.25">
      <c r="M66" s="4"/>
      <c r="N66" s="4"/>
      <c r="O66" s="4"/>
      <c r="P66" s="4"/>
    </row>
    <row r="67" spans="13:33" x14ac:dyDescent="0.25">
      <c r="M67" s="4"/>
      <c r="N67" s="4"/>
      <c r="O67" s="4"/>
      <c r="P67" s="4"/>
    </row>
    <row r="68" spans="13:33" x14ac:dyDescent="0.25">
      <c r="M68" s="4"/>
      <c r="N68" s="4"/>
      <c r="O68" s="4"/>
      <c r="P68" s="4"/>
    </row>
    <row r="69" spans="13:33" x14ac:dyDescent="0.25">
      <c r="M69" s="4"/>
      <c r="N69" s="4"/>
      <c r="O69" s="4"/>
      <c r="P69" s="4"/>
    </row>
    <row r="71" spans="13:33" ht="15.95" customHeight="1" x14ac:dyDescent="0.25">
      <c r="V71" s="46" t="s">
        <v>12</v>
      </c>
      <c r="W71" s="46"/>
    </row>
    <row r="72" spans="13:33" ht="17.100000000000001" customHeight="1" x14ac:dyDescent="0.25"/>
    <row r="79" spans="13:33" x14ac:dyDescent="0.25">
      <c r="V79" t="s">
        <v>18</v>
      </c>
      <c r="W79" t="s">
        <v>19</v>
      </c>
      <c r="X79" t="s">
        <v>20</v>
      </c>
      <c r="Z79" t="s">
        <v>21</v>
      </c>
      <c r="AA79" t="s">
        <v>15</v>
      </c>
      <c r="AB79" t="s">
        <v>16</v>
      </c>
      <c r="AC79" t="s">
        <v>14</v>
      </c>
      <c r="AD79" t="s">
        <v>17</v>
      </c>
    </row>
    <row r="80" spans="13:33" x14ac:dyDescent="0.25">
      <c r="V80" s="1">
        <v>0</v>
      </c>
      <c r="W80" s="1">
        <v>0</v>
      </c>
      <c r="X80" s="1">
        <v>0</v>
      </c>
      <c r="Y80" s="1"/>
      <c r="Z80" s="1">
        <v>0</v>
      </c>
      <c r="AA80" s="1" t="s">
        <v>13</v>
      </c>
      <c r="AB80" s="1" t="s">
        <v>13</v>
      </c>
      <c r="AC80" s="9">
        <f>AC85+(0.2*AC85)</f>
        <v>14.708715973483958</v>
      </c>
      <c r="AD80" s="7">
        <v>0.2</v>
      </c>
      <c r="AE80" s="9">
        <f>AE85+(0.2*AE85)</f>
        <v>14.887908006343169</v>
      </c>
      <c r="AF80" s="7">
        <v>0.2</v>
      </c>
      <c r="AG80" s="8">
        <f>(AC80-AC81)/AC80</f>
        <v>4.5179962446757663E-2</v>
      </c>
    </row>
    <row r="81" spans="13:32" x14ac:dyDescent="0.25">
      <c r="V81">
        <v>90</v>
      </c>
      <c r="W81" s="8">
        <v>6.9166999999999996</v>
      </c>
      <c r="X81" s="8">
        <f>(5+54/60)</f>
        <v>5.9</v>
      </c>
      <c r="Y81" s="8"/>
      <c r="Z81" s="8">
        <f>AVERAGE(W81:X81)</f>
        <v>6.4083500000000004</v>
      </c>
      <c r="AA81" s="8">
        <f>V81/X81</f>
        <v>15.254237288135592</v>
      </c>
      <c r="AB81" s="8">
        <f>V81/W81</f>
        <v>13.011985484407305</v>
      </c>
      <c r="AC81">
        <f>V81/Z81</f>
        <v>14.044176738161928</v>
      </c>
      <c r="AD81" s="6">
        <f>(AC81-AC$85)/AC$85</f>
        <v>0.14578404506389087</v>
      </c>
      <c r="AE81" s="8">
        <f>AVERAGE(AA81:AB81)</f>
        <v>14.133111386271448</v>
      </c>
      <c r="AF81" s="6">
        <f>(AE81-AE$85)/AE$85</f>
        <v>0.13916163750473495</v>
      </c>
    </row>
    <row r="82" spans="13:32" x14ac:dyDescent="0.25">
      <c r="V82">
        <v>180</v>
      </c>
      <c r="W82" s="8">
        <v>14.0778</v>
      </c>
      <c r="X82" s="8">
        <f>(12+7/-60)</f>
        <v>11.883333333333333</v>
      </c>
      <c r="Y82" s="8"/>
      <c r="Z82" s="8">
        <f t="shared" ref="Z82:Z85" si="2">AVERAGE(W82:X82)</f>
        <v>12.980566666666666</v>
      </c>
      <c r="AA82" s="8">
        <f>V82/X82</f>
        <v>15.147265077138851</v>
      </c>
      <c r="AB82" s="8">
        <f>V82/W82</f>
        <v>12.786088735455824</v>
      </c>
      <c r="AC82">
        <f>V82/Z82</f>
        <v>13.866883058520814</v>
      </c>
      <c r="AD82" s="6">
        <f>(AC82-AC$85)/AC$85</f>
        <v>0.13131966789100408</v>
      </c>
      <c r="AE82" s="8">
        <f>AVERAGE(AA82:AB82)</f>
        <v>13.966676906297337</v>
      </c>
      <c r="AF82" s="6">
        <f>(AE82-AE$85)/AE$85</f>
        <v>0.12574663145527257</v>
      </c>
    </row>
    <row r="83" spans="13:32" x14ac:dyDescent="0.25">
      <c r="V83">
        <v>270</v>
      </c>
      <c r="W83" s="8">
        <v>21.633299999999998</v>
      </c>
      <c r="X83" s="8">
        <f>(19+28/60)</f>
        <v>19.466666666666665</v>
      </c>
      <c r="Y83" s="8"/>
      <c r="Z83" s="8">
        <f t="shared" si="2"/>
        <v>20.54998333333333</v>
      </c>
      <c r="AA83" s="8">
        <f>V83/X83</f>
        <v>13.869863013698632</v>
      </c>
      <c r="AB83" s="8">
        <f>V83/W83</f>
        <v>12.480758830136873</v>
      </c>
      <c r="AC83">
        <f>V83/Z83</f>
        <v>13.138696787264225</v>
      </c>
      <c r="AD83" s="6">
        <f>(AC83-AC$85)/AC$85</f>
        <v>7.1911115364516567E-2</v>
      </c>
      <c r="AE83" s="8">
        <f>AVERAGE(AA83:AB83)</f>
        <v>13.175310921917752</v>
      </c>
      <c r="AF83" s="6">
        <f>(AE83-AE$85)/AE$85</f>
        <v>6.1960693172278279E-2</v>
      </c>
    </row>
    <row r="84" spans="13:32" x14ac:dyDescent="0.25">
      <c r="V84">
        <v>360</v>
      </c>
      <c r="W84" s="8">
        <v>30.933299999999999</v>
      </c>
      <c r="X84" s="8">
        <f>(26+37/60)</f>
        <v>26.616666666666667</v>
      </c>
      <c r="Y84" s="8"/>
      <c r="Z84" s="8">
        <f t="shared" si="2"/>
        <v>28.774983333333331</v>
      </c>
      <c r="AA84" s="8">
        <f>V84/X84</f>
        <v>13.525360050093926</v>
      </c>
      <c r="AB84" s="8">
        <f>V84/W84</f>
        <v>11.637943575370233</v>
      </c>
      <c r="AC84">
        <f>V84/Z84</f>
        <v>12.510867368008903</v>
      </c>
      <c r="AD84" s="6">
        <f>(AC84-AC$85)/AC$85</f>
        <v>2.0690104335099369E-2</v>
      </c>
      <c r="AE84" s="8">
        <f>AVERAGE(AA84:AB84)</f>
        <v>12.58165181273208</v>
      </c>
      <c r="AF84" s="6">
        <f>(AE84-AE$85)/AE$85</f>
        <v>1.4110388702416921E-2</v>
      </c>
    </row>
    <row r="85" spans="13:32" x14ac:dyDescent="0.25">
      <c r="V85">
        <v>405</v>
      </c>
      <c r="W85" s="8">
        <v>36.666600000000003</v>
      </c>
      <c r="X85" s="8">
        <f>(29+25/60)</f>
        <v>29.416666666666668</v>
      </c>
      <c r="Y85" s="8"/>
      <c r="Z85" s="8">
        <f t="shared" si="2"/>
        <v>33.041633333333337</v>
      </c>
      <c r="AA85" s="8">
        <f>V85/X85</f>
        <v>13.76770538243626</v>
      </c>
      <c r="AB85" s="8">
        <f>V85/W85</f>
        <v>11.045474628135686</v>
      </c>
      <c r="AC85">
        <f>V85/Z85</f>
        <v>12.257263311236631</v>
      </c>
      <c r="AD85" s="6"/>
      <c r="AE85" s="8">
        <f>AVERAGE(AA85:AB85)</f>
        <v>12.406590005285974</v>
      </c>
      <c r="AF85" s="6"/>
    </row>
    <row r="86" spans="13:32" x14ac:dyDescent="0.25">
      <c r="AF86" s="6"/>
    </row>
    <row r="87" spans="13:32" x14ac:dyDescent="0.25">
      <c r="AF87" s="6"/>
    </row>
    <row r="91" spans="13:32" x14ac:dyDescent="0.25">
      <c r="M91" s="4"/>
      <c r="N91" s="4"/>
      <c r="O91" s="4"/>
      <c r="P91" s="4"/>
    </row>
    <row r="93" spans="13:32" ht="15.95" customHeight="1" x14ac:dyDescent="0.25">
      <c r="V93" s="46" t="s">
        <v>12</v>
      </c>
      <c r="W93" s="46"/>
    </row>
    <row r="94" spans="13:32" ht="17.100000000000001" customHeight="1" x14ac:dyDescent="0.25"/>
    <row r="101" spans="22:33" x14ac:dyDescent="0.25">
      <c r="V101" t="s">
        <v>18</v>
      </c>
      <c r="W101" t="s">
        <v>19</v>
      </c>
      <c r="X101" t="s">
        <v>20</v>
      </c>
      <c r="Z101" t="s">
        <v>21</v>
      </c>
      <c r="AA101" t="s">
        <v>15</v>
      </c>
      <c r="AB101" t="s">
        <v>16</v>
      </c>
      <c r="AC101" t="s">
        <v>14</v>
      </c>
      <c r="AD101" t="s">
        <v>17</v>
      </c>
    </row>
    <row r="102" spans="22:33" x14ac:dyDescent="0.25">
      <c r="V102" s="1">
        <v>0</v>
      </c>
      <c r="W102" s="1">
        <v>0</v>
      </c>
      <c r="X102" s="1">
        <v>0</v>
      </c>
      <c r="Y102" s="1"/>
      <c r="Z102" s="1">
        <v>0</v>
      </c>
      <c r="AA102" s="1" t="s">
        <v>13</v>
      </c>
      <c r="AB102" s="1" t="s">
        <v>13</v>
      </c>
      <c r="AC102" s="9">
        <f>AC107+(0.2*AC107)</f>
        <v>14.708715973483958</v>
      </c>
      <c r="AD102" s="7">
        <v>0.2</v>
      </c>
      <c r="AE102" s="9">
        <f>AE107+(0.2*AE107)</f>
        <v>14.887908006343169</v>
      </c>
      <c r="AF102" s="7">
        <v>0.2</v>
      </c>
      <c r="AG102" s="8">
        <f>(AC102-AC103)/AC102</f>
        <v>4.5179962446757663E-2</v>
      </c>
    </row>
    <row r="103" spans="22:33" x14ac:dyDescent="0.25">
      <c r="V103">
        <v>90</v>
      </c>
      <c r="W103" s="8">
        <v>6.9166999999999996</v>
      </c>
      <c r="X103" s="8">
        <f>(5+54/60)</f>
        <v>5.9</v>
      </c>
      <c r="Y103" s="8"/>
      <c r="Z103" s="8">
        <f>AVERAGE(W103:X103)</f>
        <v>6.4083500000000004</v>
      </c>
      <c r="AA103" s="8">
        <f>V103/X103</f>
        <v>15.254237288135592</v>
      </c>
      <c r="AB103" s="8">
        <f>V103/W103</f>
        <v>13.011985484407305</v>
      </c>
      <c r="AC103">
        <f>V103/Z103</f>
        <v>14.044176738161928</v>
      </c>
      <c r="AD103" s="6">
        <f>(AC103-AC$85)/AC$85</f>
        <v>0.14578404506389087</v>
      </c>
      <c r="AE103" s="8">
        <f>AVERAGE(AA103:AB103)</f>
        <v>14.133111386271448</v>
      </c>
      <c r="AF103" s="6">
        <f>(AE103-AE$85)/AE$85</f>
        <v>0.13916163750473495</v>
      </c>
    </row>
    <row r="104" spans="22:33" x14ac:dyDescent="0.25">
      <c r="V104">
        <v>180</v>
      </c>
      <c r="W104" s="8">
        <v>14.0778</v>
      </c>
      <c r="X104" s="8">
        <f>(12+7/-60)</f>
        <v>11.883333333333333</v>
      </c>
      <c r="Y104" s="8"/>
      <c r="Z104" s="8">
        <f t="shared" ref="Z104:Z107" si="3">AVERAGE(W104:X104)</f>
        <v>12.980566666666666</v>
      </c>
      <c r="AA104" s="8">
        <f>V104/X104</f>
        <v>15.147265077138851</v>
      </c>
      <c r="AB104" s="8">
        <f>V104/W104</f>
        <v>12.786088735455824</v>
      </c>
      <c r="AC104">
        <f>V104/Z104</f>
        <v>13.866883058520814</v>
      </c>
      <c r="AD104" s="6">
        <f>(AC104-AC$85)/AC$85</f>
        <v>0.13131966789100408</v>
      </c>
      <c r="AE104" s="8">
        <f>AVERAGE(AA104:AB104)</f>
        <v>13.966676906297337</v>
      </c>
      <c r="AF104" s="6">
        <f>(AE104-AE$85)/AE$85</f>
        <v>0.12574663145527257</v>
      </c>
    </row>
    <row r="105" spans="22:33" x14ac:dyDescent="0.25">
      <c r="V105">
        <v>270</v>
      </c>
      <c r="W105" s="8">
        <v>21.633299999999998</v>
      </c>
      <c r="X105" s="8">
        <f>(19+28/60)</f>
        <v>19.466666666666665</v>
      </c>
      <c r="Y105" s="8"/>
      <c r="Z105" s="8">
        <f t="shared" si="3"/>
        <v>20.54998333333333</v>
      </c>
      <c r="AA105" s="8">
        <f>V105/X105</f>
        <v>13.869863013698632</v>
      </c>
      <c r="AB105" s="8">
        <f>V105/W105</f>
        <v>12.480758830136873</v>
      </c>
      <c r="AC105">
        <f>V105/Z105</f>
        <v>13.138696787264225</v>
      </c>
      <c r="AD105" s="6">
        <f>(AC105-AC$85)/AC$85</f>
        <v>7.1911115364516567E-2</v>
      </c>
      <c r="AE105" s="8">
        <f>AVERAGE(AA105:AB105)</f>
        <v>13.175310921917752</v>
      </c>
      <c r="AF105" s="6">
        <f>(AE105-AE$85)/AE$85</f>
        <v>6.1960693172278279E-2</v>
      </c>
    </row>
    <row r="106" spans="22:33" x14ac:dyDescent="0.25">
      <c r="V106">
        <v>360</v>
      </c>
      <c r="W106" s="8">
        <v>30.933299999999999</v>
      </c>
      <c r="X106" s="8">
        <f>(26+37/60)</f>
        <v>26.616666666666667</v>
      </c>
      <c r="Y106" s="8"/>
      <c r="Z106" s="8">
        <f t="shared" si="3"/>
        <v>28.774983333333331</v>
      </c>
      <c r="AA106" s="8">
        <f>V106/X106</f>
        <v>13.525360050093926</v>
      </c>
      <c r="AB106" s="8">
        <f>V106/W106</f>
        <v>11.637943575370233</v>
      </c>
      <c r="AC106">
        <f>V106/Z106</f>
        <v>12.510867368008903</v>
      </c>
      <c r="AD106" s="6">
        <f>(AC106-AC$85)/AC$85</f>
        <v>2.0690104335099369E-2</v>
      </c>
      <c r="AE106" s="8">
        <f>AVERAGE(AA106:AB106)</f>
        <v>12.58165181273208</v>
      </c>
      <c r="AF106" s="6">
        <f>(AE106-AE$85)/AE$85</f>
        <v>1.4110388702416921E-2</v>
      </c>
    </row>
    <row r="107" spans="22:33" x14ac:dyDescent="0.25">
      <c r="V107">
        <v>405</v>
      </c>
      <c r="W107" s="8">
        <v>36.666600000000003</v>
      </c>
      <c r="X107" s="8">
        <f>(29+25/60)</f>
        <v>29.416666666666668</v>
      </c>
      <c r="Y107" s="8"/>
      <c r="Z107" s="8">
        <f t="shared" si="3"/>
        <v>33.041633333333337</v>
      </c>
      <c r="AA107" s="8">
        <f>V107/X107</f>
        <v>13.76770538243626</v>
      </c>
      <c r="AB107" s="8">
        <f>V107/W107</f>
        <v>11.045474628135686</v>
      </c>
      <c r="AC107">
        <f>V107/Z107</f>
        <v>12.257263311236631</v>
      </c>
      <c r="AD107" s="6"/>
      <c r="AE107" s="8">
        <f>AVERAGE(AA107:AB107)</f>
        <v>12.406590005285974</v>
      </c>
      <c r="AF107" s="6"/>
    </row>
    <row r="108" spans="22:33" x14ac:dyDescent="0.25">
      <c r="AF108" s="6"/>
    </row>
    <row r="109" spans="22:33" x14ac:dyDescent="0.25">
      <c r="AF109" s="6"/>
    </row>
    <row r="124" spans="22:33" x14ac:dyDescent="0.25">
      <c r="V124" t="s">
        <v>18</v>
      </c>
      <c r="W124" t="s">
        <v>19</v>
      </c>
      <c r="X124" t="s">
        <v>20</v>
      </c>
      <c r="Z124" t="s">
        <v>21</v>
      </c>
      <c r="AA124" t="s">
        <v>15</v>
      </c>
      <c r="AB124" t="s">
        <v>16</v>
      </c>
      <c r="AC124" t="s">
        <v>14</v>
      </c>
      <c r="AD124" t="s">
        <v>17</v>
      </c>
    </row>
    <row r="125" spans="22:33" x14ac:dyDescent="0.25">
      <c r="V125" s="1">
        <v>0</v>
      </c>
      <c r="W125" s="1">
        <v>0</v>
      </c>
      <c r="X125" s="1">
        <v>0</v>
      </c>
      <c r="Y125" s="1"/>
      <c r="Z125" s="1">
        <v>0</v>
      </c>
      <c r="AA125" s="1" t="s">
        <v>13</v>
      </c>
      <c r="AB125" s="1" t="s">
        <v>13</v>
      </c>
      <c r="AC125" s="9">
        <f>AC130+(0.2*AC130)</f>
        <v>14.708715973483958</v>
      </c>
      <c r="AD125" s="7">
        <v>0.2</v>
      </c>
      <c r="AE125" s="9">
        <f>AE130+(0.2*AE130)</f>
        <v>14.887908006343169</v>
      </c>
      <c r="AF125" s="7">
        <v>0.2</v>
      </c>
      <c r="AG125" s="8">
        <f>(AC125-AC126)/AC125</f>
        <v>4.5179962446757663E-2</v>
      </c>
    </row>
    <row r="126" spans="22:33" x14ac:dyDescent="0.25">
      <c r="V126">
        <v>90</v>
      </c>
      <c r="W126" s="8">
        <v>6.9166999999999996</v>
      </c>
      <c r="X126" s="8">
        <f>(5+54/60)</f>
        <v>5.9</v>
      </c>
      <c r="Y126" s="8"/>
      <c r="Z126" s="8">
        <f>AVERAGE(W126:X126)</f>
        <v>6.4083500000000004</v>
      </c>
      <c r="AA126" s="8">
        <f>V126/X126</f>
        <v>15.254237288135592</v>
      </c>
      <c r="AB126" s="8">
        <f>V126/W126</f>
        <v>13.011985484407305</v>
      </c>
      <c r="AC126">
        <f>V126/Z126</f>
        <v>14.044176738161928</v>
      </c>
      <c r="AD126" s="6">
        <f>(AC126-AC$85)/AC$85</f>
        <v>0.14578404506389087</v>
      </c>
      <c r="AE126" s="8">
        <f>AVERAGE(AA126:AB126)</f>
        <v>14.133111386271448</v>
      </c>
      <c r="AF126" s="6">
        <f>(AE126-AE$85)/AE$85</f>
        <v>0.13916163750473495</v>
      </c>
    </row>
    <row r="127" spans="22:33" x14ac:dyDescent="0.25">
      <c r="V127">
        <v>180</v>
      </c>
      <c r="W127" s="8">
        <v>14.0778</v>
      </c>
      <c r="X127" s="8">
        <f>(12+7/-60)</f>
        <v>11.883333333333333</v>
      </c>
      <c r="Y127" s="8"/>
      <c r="Z127" s="8">
        <f t="shared" ref="Z127:Z130" si="4">AVERAGE(W127:X127)</f>
        <v>12.980566666666666</v>
      </c>
      <c r="AA127" s="8">
        <f>V127/X127</f>
        <v>15.147265077138851</v>
      </c>
      <c r="AB127" s="8">
        <f>V127/W127</f>
        <v>12.786088735455824</v>
      </c>
      <c r="AC127">
        <f>V127/Z127</f>
        <v>13.866883058520814</v>
      </c>
      <c r="AD127" s="6">
        <f>(AC127-AC$85)/AC$85</f>
        <v>0.13131966789100408</v>
      </c>
      <c r="AE127" s="8">
        <f>AVERAGE(AA127:AB127)</f>
        <v>13.966676906297337</v>
      </c>
      <c r="AF127" s="6">
        <f>(AE127-AE$85)/AE$85</f>
        <v>0.12574663145527257</v>
      </c>
    </row>
    <row r="128" spans="22:33" x14ac:dyDescent="0.25">
      <c r="V128">
        <v>270</v>
      </c>
      <c r="W128" s="8">
        <v>21.633299999999998</v>
      </c>
      <c r="X128" s="8">
        <f>(19+28/60)</f>
        <v>19.466666666666665</v>
      </c>
      <c r="Y128" s="8"/>
      <c r="Z128" s="8">
        <f t="shared" si="4"/>
        <v>20.54998333333333</v>
      </c>
      <c r="AA128" s="8">
        <f>V128/X128</f>
        <v>13.869863013698632</v>
      </c>
      <c r="AB128" s="8">
        <f>V128/W128</f>
        <v>12.480758830136873</v>
      </c>
      <c r="AC128">
        <f>V128/Z128</f>
        <v>13.138696787264225</v>
      </c>
      <c r="AD128" s="6">
        <f>(AC128-AC$85)/AC$85</f>
        <v>7.1911115364516567E-2</v>
      </c>
      <c r="AE128" s="8">
        <f>AVERAGE(AA128:AB128)</f>
        <v>13.175310921917752</v>
      </c>
      <c r="AF128" s="6">
        <f>(AE128-AE$85)/AE$85</f>
        <v>6.1960693172278279E-2</v>
      </c>
    </row>
    <row r="129" spans="22:32" x14ac:dyDescent="0.25">
      <c r="V129">
        <v>360</v>
      </c>
      <c r="W129" s="8">
        <v>30.933299999999999</v>
      </c>
      <c r="X129" s="8">
        <f>(26+37/60)</f>
        <v>26.616666666666667</v>
      </c>
      <c r="Y129" s="8"/>
      <c r="Z129" s="8">
        <f t="shared" si="4"/>
        <v>28.774983333333331</v>
      </c>
      <c r="AA129" s="8">
        <f>V129/X129</f>
        <v>13.525360050093926</v>
      </c>
      <c r="AB129" s="8">
        <f>V129/W129</f>
        <v>11.637943575370233</v>
      </c>
      <c r="AC129">
        <f>V129/Z129</f>
        <v>12.510867368008903</v>
      </c>
      <c r="AD129" s="6">
        <f>(AC129-AC$85)/AC$85</f>
        <v>2.0690104335099369E-2</v>
      </c>
      <c r="AE129" s="8">
        <f>AVERAGE(AA129:AB129)</f>
        <v>12.58165181273208</v>
      </c>
      <c r="AF129" s="6">
        <f>(AE129-AE$85)/AE$85</f>
        <v>1.4110388702416921E-2</v>
      </c>
    </row>
    <row r="130" spans="22:32" x14ac:dyDescent="0.25">
      <c r="V130">
        <v>405</v>
      </c>
      <c r="W130" s="8">
        <v>36.666600000000003</v>
      </c>
      <c r="X130" s="8">
        <f>(29+25/60)</f>
        <v>29.416666666666668</v>
      </c>
      <c r="Y130" s="8"/>
      <c r="Z130" s="8">
        <f t="shared" si="4"/>
        <v>33.041633333333337</v>
      </c>
      <c r="AA130" s="8">
        <f>V130/X130</f>
        <v>13.76770538243626</v>
      </c>
      <c r="AB130" s="8">
        <f>V130/W130</f>
        <v>11.045474628135686</v>
      </c>
      <c r="AC130">
        <f>V130/Z130</f>
        <v>12.257263311236631</v>
      </c>
      <c r="AD130" s="6"/>
      <c r="AE130" s="8">
        <f>AVERAGE(AA130:AB130)</f>
        <v>12.406590005285974</v>
      </c>
      <c r="AF130" s="6"/>
    </row>
    <row r="131" spans="22:32" x14ac:dyDescent="0.25">
      <c r="AF131" s="6"/>
    </row>
    <row r="132" spans="22:32" x14ac:dyDescent="0.25">
      <c r="AF132" s="6"/>
    </row>
  </sheetData>
  <mergeCells count="6">
    <mergeCell ref="V93:W93"/>
    <mergeCell ref="D23:J23"/>
    <mergeCell ref="C4:J5"/>
    <mergeCell ref="V71:W71"/>
    <mergeCell ref="N8:Q8"/>
    <mergeCell ref="N19:Q19"/>
  </mergeCells>
  <phoneticPr fontId="2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Civic Hatch (au)</vt:lpstr>
      <vt:lpstr>Civic Hatch</vt:lpstr>
      <vt:lpstr>Civic Sedan</vt:lpstr>
      <vt:lpstr>Civic Bosch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Austin Kline</cp:lastModifiedBy>
  <dcterms:created xsi:type="dcterms:W3CDTF">2020-01-08T14:05:30Z</dcterms:created>
  <dcterms:modified xsi:type="dcterms:W3CDTF">2022-05-16T18:36:08Z</dcterms:modified>
</cp:coreProperties>
</file>