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\Documents\Excel\Payroll Project\Excel\"/>
    </mc:Choice>
  </mc:AlternateContent>
  <xr:revisionPtr revIDLastSave="0" documentId="13_ncr:1_{C46B576A-C8C4-40CE-81AF-F2AFFA67AB17}" xr6:coauthVersionLast="47" xr6:coauthVersionMax="47" xr10:uidLastSave="{00000000-0000-0000-0000-000000000000}"/>
  <bookViews>
    <workbookView xWindow="-28920" yWindow="-120" windowWidth="29040" windowHeight="15840" activeTab="3" xr2:uid="{C462A709-70C1-4659-8053-9EDBE2CA0629}"/>
  </bookViews>
  <sheets>
    <sheet name="Payroll" sheetId="3" r:id="rId1"/>
    <sheet name="Gradebook" sheetId="6" r:id="rId2"/>
    <sheet name="Decision Factors" sheetId="7" r:id="rId3"/>
    <sheet name="Sales DB" sheetId="8" r:id="rId4"/>
    <sheet name="Sales DB PT" sheetId="9" r:id="rId5"/>
  </sheets>
  <definedNames>
    <definedName name="_xlnm._FilterDatabase" localSheetId="3" hidden="1">'Sales DB'!$A$1:$K$172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8" l="1"/>
  <c r="N8" i="8"/>
  <c r="N7" i="8"/>
  <c r="G3" i="8"/>
  <c r="H3" i="8" s="1"/>
  <c r="G4" i="8"/>
  <c r="H4" i="8" s="1"/>
  <c r="G5" i="8"/>
  <c r="H5" i="8" s="1"/>
  <c r="G6" i="8"/>
  <c r="H6" i="8" s="1"/>
  <c r="G7" i="8"/>
  <c r="H7" i="8" s="1"/>
  <c r="G8" i="8"/>
  <c r="H8" i="8" s="1"/>
  <c r="G9" i="8"/>
  <c r="H9" i="8" s="1"/>
  <c r="G10" i="8"/>
  <c r="H10" i="8" s="1"/>
  <c r="G11" i="8"/>
  <c r="H11" i="8" s="1"/>
  <c r="G12" i="8"/>
  <c r="H12" i="8" s="1"/>
  <c r="G13" i="8"/>
  <c r="H13" i="8" s="1"/>
  <c r="G14" i="8"/>
  <c r="H14" i="8" s="1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H21" i="8" s="1"/>
  <c r="G22" i="8"/>
  <c r="H22" i="8" s="1"/>
  <c r="G23" i="8"/>
  <c r="H23" i="8" s="1"/>
  <c r="G24" i="8"/>
  <c r="H24" i="8" s="1"/>
  <c r="G25" i="8"/>
  <c r="H25" i="8" s="1"/>
  <c r="G26" i="8"/>
  <c r="H26" i="8" s="1"/>
  <c r="G27" i="8"/>
  <c r="H27" i="8" s="1"/>
  <c r="G28" i="8"/>
  <c r="H28" i="8" s="1"/>
  <c r="G29" i="8"/>
  <c r="H29" i="8" s="1"/>
  <c r="G30" i="8"/>
  <c r="H30" i="8" s="1"/>
  <c r="G31" i="8"/>
  <c r="H31" i="8" s="1"/>
  <c r="G32" i="8"/>
  <c r="H32" i="8" s="1"/>
  <c r="G33" i="8"/>
  <c r="H33" i="8" s="1"/>
  <c r="G34" i="8"/>
  <c r="H34" i="8" s="1"/>
  <c r="G35" i="8"/>
  <c r="H35" i="8" s="1"/>
  <c r="G36" i="8"/>
  <c r="H36" i="8" s="1"/>
  <c r="G37" i="8"/>
  <c r="H37" i="8" s="1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H44" i="8" s="1"/>
  <c r="G45" i="8"/>
  <c r="H45" i="8" s="1"/>
  <c r="G46" i="8"/>
  <c r="H46" i="8" s="1"/>
  <c r="G47" i="8"/>
  <c r="H47" i="8" s="1"/>
  <c r="G48" i="8"/>
  <c r="H48" i="8" s="1"/>
  <c r="G49" i="8"/>
  <c r="H49" i="8" s="1"/>
  <c r="G50" i="8"/>
  <c r="H50" i="8" s="1"/>
  <c r="G51" i="8"/>
  <c r="H51" i="8" s="1"/>
  <c r="G52" i="8"/>
  <c r="H52" i="8" s="1"/>
  <c r="G53" i="8"/>
  <c r="H53" i="8" s="1"/>
  <c r="G54" i="8"/>
  <c r="H54" i="8" s="1"/>
  <c r="G55" i="8"/>
  <c r="H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H61" i="8" s="1"/>
  <c r="G62" i="8"/>
  <c r="H62" i="8" s="1"/>
  <c r="G63" i="8"/>
  <c r="H63" i="8" s="1"/>
  <c r="G64" i="8"/>
  <c r="H64" i="8" s="1"/>
  <c r="G65" i="8"/>
  <c r="H65" i="8" s="1"/>
  <c r="G66" i="8"/>
  <c r="H66" i="8" s="1"/>
  <c r="G67" i="8"/>
  <c r="H67" i="8" s="1"/>
  <c r="G68" i="8"/>
  <c r="H68" i="8" s="1"/>
  <c r="G69" i="8"/>
  <c r="H69" i="8" s="1"/>
  <c r="G70" i="8"/>
  <c r="H70" i="8" s="1"/>
  <c r="G71" i="8"/>
  <c r="H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H77" i="8" s="1"/>
  <c r="G78" i="8"/>
  <c r="H78" i="8" s="1"/>
  <c r="G79" i="8"/>
  <c r="H79" i="8" s="1"/>
  <c r="G80" i="8"/>
  <c r="H80" i="8" s="1"/>
  <c r="G81" i="8"/>
  <c r="H81" i="8" s="1"/>
  <c r="G82" i="8"/>
  <c r="H82" i="8" s="1"/>
  <c r="G83" i="8"/>
  <c r="H83" i="8" s="1"/>
  <c r="G84" i="8"/>
  <c r="H84" i="8" s="1"/>
  <c r="G85" i="8"/>
  <c r="H85" i="8" s="1"/>
  <c r="G86" i="8"/>
  <c r="H86" i="8" s="1"/>
  <c r="G87" i="8"/>
  <c r="H87" i="8" s="1"/>
  <c r="G88" i="8"/>
  <c r="H88" i="8" s="1"/>
  <c r="G89" i="8"/>
  <c r="H89" i="8" s="1"/>
  <c r="G90" i="8"/>
  <c r="H90" i="8" s="1"/>
  <c r="G91" i="8"/>
  <c r="H91" i="8" s="1"/>
  <c r="G92" i="8"/>
  <c r="H92" i="8" s="1"/>
  <c r="G93" i="8"/>
  <c r="H93" i="8" s="1"/>
  <c r="G94" i="8"/>
  <c r="H94" i="8" s="1"/>
  <c r="G95" i="8"/>
  <c r="H95" i="8" s="1"/>
  <c r="G96" i="8"/>
  <c r="H96" i="8" s="1"/>
  <c r="G97" i="8"/>
  <c r="H97" i="8" s="1"/>
  <c r="G98" i="8"/>
  <c r="H98" i="8" s="1"/>
  <c r="G99" i="8"/>
  <c r="H99" i="8" s="1"/>
  <c r="G100" i="8"/>
  <c r="H100" i="8" s="1"/>
  <c r="G101" i="8"/>
  <c r="H101" i="8" s="1"/>
  <c r="G102" i="8"/>
  <c r="H102" i="8" s="1"/>
  <c r="G103" i="8"/>
  <c r="H103" i="8" s="1"/>
  <c r="G104" i="8"/>
  <c r="H104" i="8" s="1"/>
  <c r="G105" i="8"/>
  <c r="H105" i="8" s="1"/>
  <c r="G106" i="8"/>
  <c r="H106" i="8" s="1"/>
  <c r="G107" i="8"/>
  <c r="H107" i="8" s="1"/>
  <c r="G108" i="8"/>
  <c r="H108" i="8" s="1"/>
  <c r="G109" i="8"/>
  <c r="H109" i="8" s="1"/>
  <c r="G110" i="8"/>
  <c r="H110" i="8" s="1"/>
  <c r="G111" i="8"/>
  <c r="H111" i="8" s="1"/>
  <c r="G112" i="8"/>
  <c r="H112" i="8" s="1"/>
  <c r="G113" i="8"/>
  <c r="H113" i="8" s="1"/>
  <c r="G114" i="8"/>
  <c r="H114" i="8" s="1"/>
  <c r="G115" i="8"/>
  <c r="H115" i="8" s="1"/>
  <c r="G116" i="8"/>
  <c r="H116" i="8" s="1"/>
  <c r="G117" i="8"/>
  <c r="H117" i="8" s="1"/>
  <c r="G118" i="8"/>
  <c r="H118" i="8" s="1"/>
  <c r="G119" i="8"/>
  <c r="H119" i="8" s="1"/>
  <c r="G120" i="8"/>
  <c r="H120" i="8" s="1"/>
  <c r="G121" i="8"/>
  <c r="H121" i="8" s="1"/>
  <c r="G122" i="8"/>
  <c r="H122" i="8" s="1"/>
  <c r="G123" i="8"/>
  <c r="H123" i="8" s="1"/>
  <c r="G124" i="8"/>
  <c r="H124" i="8" s="1"/>
  <c r="G125" i="8"/>
  <c r="H125" i="8" s="1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H131" i="8"/>
  <c r="G132" i="8"/>
  <c r="H132" i="8" s="1"/>
  <c r="G133" i="8"/>
  <c r="H133" i="8" s="1"/>
  <c r="G134" i="8"/>
  <c r="H134" i="8" s="1"/>
  <c r="G135" i="8"/>
  <c r="H135" i="8" s="1"/>
  <c r="G136" i="8"/>
  <c r="H136" i="8" s="1"/>
  <c r="G137" i="8"/>
  <c r="H137" i="8" s="1"/>
  <c r="G138" i="8"/>
  <c r="H138" i="8" s="1"/>
  <c r="G139" i="8"/>
  <c r="H139" i="8" s="1"/>
  <c r="G140" i="8"/>
  <c r="H140" i="8" s="1"/>
  <c r="G141" i="8"/>
  <c r="H141" i="8" s="1"/>
  <c r="G142" i="8"/>
  <c r="H142" i="8" s="1"/>
  <c r="G143" i="8"/>
  <c r="H143" i="8" s="1"/>
  <c r="G144" i="8"/>
  <c r="H144" i="8" s="1"/>
  <c r="G145" i="8"/>
  <c r="H145" i="8" s="1"/>
  <c r="G146" i="8"/>
  <c r="H146" i="8" s="1"/>
  <c r="G147" i="8"/>
  <c r="H147" i="8" s="1"/>
  <c r="G148" i="8"/>
  <c r="H148" i="8" s="1"/>
  <c r="G149" i="8"/>
  <c r="H149" i="8" s="1"/>
  <c r="G150" i="8"/>
  <c r="H150" i="8" s="1"/>
  <c r="G151" i="8"/>
  <c r="H151" i="8" s="1"/>
  <c r="G152" i="8"/>
  <c r="H152" i="8" s="1"/>
  <c r="G153" i="8"/>
  <c r="H153" i="8" s="1"/>
  <c r="G154" i="8"/>
  <c r="H154" i="8" s="1"/>
  <c r="G155" i="8"/>
  <c r="H155" i="8" s="1"/>
  <c r="G156" i="8"/>
  <c r="H156" i="8" s="1"/>
  <c r="G157" i="8"/>
  <c r="H157" i="8" s="1"/>
  <c r="G158" i="8"/>
  <c r="H158" i="8" s="1"/>
  <c r="G159" i="8"/>
  <c r="H159" i="8" s="1"/>
  <c r="G160" i="8"/>
  <c r="H160" i="8" s="1"/>
  <c r="G161" i="8"/>
  <c r="H161" i="8" s="1"/>
  <c r="G162" i="8"/>
  <c r="H162" i="8" s="1"/>
  <c r="G163" i="8"/>
  <c r="H163" i="8" s="1"/>
  <c r="G164" i="8"/>
  <c r="H164" i="8" s="1"/>
  <c r="G165" i="8"/>
  <c r="H165" i="8" s="1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H171" i="8" s="1"/>
  <c r="G172" i="8"/>
  <c r="H172" i="8" s="1"/>
  <c r="G2" i="8"/>
  <c r="H2" i="8" s="1"/>
  <c r="P9" i="7" a="1"/>
  <c r="P9" i="7" s="1"/>
  <c r="P7" i="7" a="1"/>
  <c r="P7" i="7" s="1"/>
  <c r="P6" i="7"/>
  <c r="P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K5" i="7"/>
  <c r="I5" i="7"/>
  <c r="G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5" i="7"/>
  <c r="K23" i="6"/>
  <c r="K24" i="6"/>
  <c r="K25" i="6"/>
  <c r="J23" i="6"/>
  <c r="J24" i="6"/>
  <c r="J25" i="6"/>
  <c r="I23" i="6"/>
  <c r="I24" i="6"/>
  <c r="I25" i="6"/>
  <c r="H23" i="6"/>
  <c r="H24" i="6"/>
  <c r="H25" i="6"/>
  <c r="G23" i="6"/>
  <c r="G24" i="6"/>
  <c r="G25" i="6"/>
  <c r="D23" i="6"/>
  <c r="E23" i="6"/>
  <c r="F23" i="6"/>
  <c r="D24" i="6"/>
  <c r="E24" i="6"/>
  <c r="F24" i="6"/>
  <c r="D25" i="6"/>
  <c r="E25" i="6"/>
  <c r="F25" i="6"/>
  <c r="C25" i="6"/>
  <c r="C24" i="6"/>
  <c r="C23" i="6"/>
  <c r="J21" i="6"/>
  <c r="I21" i="6"/>
  <c r="H21" i="6"/>
  <c r="G21" i="6"/>
  <c r="J20" i="6"/>
  <c r="I20" i="6"/>
  <c r="H20" i="6"/>
  <c r="G20" i="6"/>
  <c r="J19" i="6"/>
  <c r="I19" i="6"/>
  <c r="H19" i="6"/>
  <c r="G19" i="6"/>
  <c r="K19" i="6" s="1"/>
  <c r="M19" i="6" s="1"/>
  <c r="J18" i="6"/>
  <c r="I18" i="6"/>
  <c r="H18" i="6"/>
  <c r="G18" i="6"/>
  <c r="K18" i="6" s="1"/>
  <c r="M18" i="6" s="1"/>
  <c r="J17" i="6"/>
  <c r="I17" i="6"/>
  <c r="H17" i="6"/>
  <c r="G17" i="6"/>
  <c r="J16" i="6"/>
  <c r="I16" i="6"/>
  <c r="H16" i="6"/>
  <c r="G16" i="6"/>
  <c r="K16" i="6" s="1"/>
  <c r="M16" i="6" s="1"/>
  <c r="J15" i="6"/>
  <c r="I15" i="6"/>
  <c r="H15" i="6"/>
  <c r="G15" i="6"/>
  <c r="K15" i="6" s="1"/>
  <c r="M15" i="6" s="1"/>
  <c r="J14" i="6"/>
  <c r="I14" i="6"/>
  <c r="H14" i="6"/>
  <c r="G14" i="6"/>
  <c r="J13" i="6"/>
  <c r="I13" i="6"/>
  <c r="H13" i="6"/>
  <c r="G13" i="6"/>
  <c r="K13" i="6" s="1"/>
  <c r="M13" i="6" s="1"/>
  <c r="J12" i="6"/>
  <c r="I12" i="6"/>
  <c r="H12" i="6"/>
  <c r="G12" i="6"/>
  <c r="K12" i="6" s="1"/>
  <c r="M12" i="6" s="1"/>
  <c r="J11" i="6"/>
  <c r="I11" i="6"/>
  <c r="H11" i="6"/>
  <c r="G11" i="6"/>
  <c r="J10" i="6"/>
  <c r="I10" i="6"/>
  <c r="H10" i="6"/>
  <c r="G10" i="6"/>
  <c r="J9" i="6"/>
  <c r="I9" i="6"/>
  <c r="H9" i="6"/>
  <c r="G9" i="6"/>
  <c r="L9" i="6" s="1"/>
  <c r="J8" i="6"/>
  <c r="I8" i="6"/>
  <c r="H8" i="6"/>
  <c r="G8" i="6"/>
  <c r="J7" i="6"/>
  <c r="I7" i="6"/>
  <c r="H7" i="6"/>
  <c r="G7" i="6"/>
  <c r="K7" i="6" s="1"/>
  <c r="M7" i="6" s="1"/>
  <c r="J6" i="6"/>
  <c r="I6" i="6"/>
  <c r="H6" i="6"/>
  <c r="G6" i="6"/>
  <c r="K6" i="6" s="1"/>
  <c r="M6" i="6" s="1"/>
  <c r="J5" i="6"/>
  <c r="I5" i="6"/>
  <c r="H5" i="6"/>
  <c r="G5" i="6"/>
  <c r="J4" i="6"/>
  <c r="I4" i="6"/>
  <c r="H4" i="6"/>
  <c r="G4" i="6"/>
  <c r="K4" i="6" s="1"/>
  <c r="M4" i="6" s="1"/>
  <c r="J3" i="6"/>
  <c r="I3" i="6"/>
  <c r="H3" i="6"/>
  <c r="G3" i="6"/>
  <c r="X25" i="3"/>
  <c r="Y25" i="3"/>
  <c r="Z25" i="3"/>
  <c r="AA25" i="3"/>
  <c r="AB25" i="3"/>
  <c r="AC25" i="3"/>
  <c r="X26" i="3"/>
  <c r="Y26" i="3"/>
  <c r="Z26" i="3"/>
  <c r="AA26" i="3"/>
  <c r="AB26" i="3"/>
  <c r="AC26" i="3"/>
  <c r="X27" i="3"/>
  <c r="Y27" i="3"/>
  <c r="Z27" i="3"/>
  <c r="AA27" i="3"/>
  <c r="AB27" i="3"/>
  <c r="AC27" i="3"/>
  <c r="X28" i="3"/>
  <c r="Y28" i="3"/>
  <c r="Z28" i="3"/>
  <c r="AA28" i="3"/>
  <c r="AB28" i="3"/>
  <c r="AC28" i="3"/>
  <c r="V25" i="3"/>
  <c r="W25" i="3"/>
  <c r="V26" i="3"/>
  <c r="W26" i="3"/>
  <c r="V27" i="3"/>
  <c r="W27" i="3"/>
  <c r="V28" i="3"/>
  <c r="W28" i="3"/>
  <c r="T25" i="3"/>
  <c r="U25" i="3"/>
  <c r="T26" i="3"/>
  <c r="U26" i="3"/>
  <c r="T27" i="3"/>
  <c r="U27" i="3"/>
  <c r="T28" i="3"/>
  <c r="U28" i="3"/>
  <c r="S25" i="3"/>
  <c r="S26" i="3"/>
  <c r="S27" i="3"/>
  <c r="S28" i="3"/>
  <c r="Q25" i="3"/>
  <c r="P26" i="3"/>
  <c r="P25" i="3"/>
  <c r="R25" i="3"/>
  <c r="Q26" i="3"/>
  <c r="R26" i="3"/>
  <c r="P27" i="3"/>
  <c r="Q27" i="3"/>
  <c r="R27" i="3"/>
  <c r="P28" i="3"/>
  <c r="Q28" i="3"/>
  <c r="R28" i="3"/>
  <c r="O25" i="3"/>
  <c r="O26" i="3"/>
  <c r="O27" i="3"/>
  <c r="O28" i="3"/>
  <c r="N28" i="3"/>
  <c r="N27" i="3"/>
  <c r="N26" i="3"/>
  <c r="N25" i="3"/>
  <c r="H25" i="3"/>
  <c r="H26" i="3"/>
  <c r="H27" i="3"/>
  <c r="H28" i="3"/>
  <c r="G25" i="3"/>
  <c r="G26" i="3"/>
  <c r="G27" i="3"/>
  <c r="G28" i="3"/>
  <c r="F25" i="3"/>
  <c r="F27" i="3"/>
  <c r="E28" i="3"/>
  <c r="F28" i="3"/>
  <c r="F26" i="3"/>
  <c r="E25" i="3"/>
  <c r="E26" i="3"/>
  <c r="E27" i="3"/>
  <c r="D27" i="3"/>
  <c r="D25" i="3"/>
  <c r="D26" i="3"/>
  <c r="D28" i="3"/>
  <c r="C28" i="3"/>
  <c r="C27" i="3"/>
  <c r="C26" i="3"/>
  <c r="C25" i="3"/>
  <c r="Z5" i="3"/>
  <c r="Z6" i="3"/>
  <c r="W23" i="3"/>
  <c r="V23" i="3"/>
  <c r="R23" i="3"/>
  <c r="AB23" i="3" s="1"/>
  <c r="Q23" i="3"/>
  <c r="AA23" i="3" s="1"/>
  <c r="P23" i="3"/>
  <c r="Z23" i="3" s="1"/>
  <c r="O23" i="3"/>
  <c r="Y23" i="3" s="1"/>
  <c r="N23" i="3"/>
  <c r="X23" i="3" s="1"/>
  <c r="AC23" i="3" s="1"/>
  <c r="M23" i="3"/>
  <c r="L23" i="3"/>
  <c r="K23" i="3"/>
  <c r="U23" i="3" s="1"/>
  <c r="J23" i="3"/>
  <c r="T23" i="3" s="1"/>
  <c r="I23" i="3"/>
  <c r="S23" i="3" s="1"/>
  <c r="V22" i="3"/>
  <c r="T22" i="3"/>
  <c r="S22" i="3"/>
  <c r="R22" i="3"/>
  <c r="Q22" i="3"/>
  <c r="AA22" i="3" s="1"/>
  <c r="P22" i="3"/>
  <c r="Z22" i="3" s="1"/>
  <c r="O22" i="3"/>
  <c r="Y22" i="3" s="1"/>
  <c r="N22" i="3"/>
  <c r="X22" i="3" s="1"/>
  <c r="M22" i="3"/>
  <c r="W22" i="3" s="1"/>
  <c r="L22" i="3"/>
  <c r="K22" i="3"/>
  <c r="U22" i="3" s="1"/>
  <c r="J22" i="3"/>
  <c r="I22" i="3"/>
  <c r="S21" i="3"/>
  <c r="R21" i="3"/>
  <c r="Q21" i="3"/>
  <c r="P21" i="3"/>
  <c r="Z21" i="3" s="1"/>
  <c r="O21" i="3"/>
  <c r="Y21" i="3" s="1"/>
  <c r="N21" i="3"/>
  <c r="X21" i="3" s="1"/>
  <c r="M21" i="3"/>
  <c r="W21" i="3" s="1"/>
  <c r="AB21" i="3" s="1"/>
  <c r="L21" i="3"/>
  <c r="V21" i="3" s="1"/>
  <c r="K21" i="3"/>
  <c r="U21" i="3" s="1"/>
  <c r="J21" i="3"/>
  <c r="T21" i="3" s="1"/>
  <c r="I21" i="3"/>
  <c r="R20" i="3"/>
  <c r="Q20" i="3"/>
  <c r="P20" i="3"/>
  <c r="O20" i="3"/>
  <c r="N20" i="3"/>
  <c r="X20" i="3" s="1"/>
  <c r="M20" i="3"/>
  <c r="W20" i="3" s="1"/>
  <c r="AB20" i="3" s="1"/>
  <c r="L20" i="3"/>
  <c r="V20" i="3" s="1"/>
  <c r="K20" i="3"/>
  <c r="U20" i="3" s="1"/>
  <c r="Z20" i="3" s="1"/>
  <c r="J20" i="3"/>
  <c r="T20" i="3" s="1"/>
  <c r="Y20" i="3" s="1"/>
  <c r="I20" i="3"/>
  <c r="S20" i="3" s="1"/>
  <c r="W19" i="3"/>
  <c r="V19" i="3"/>
  <c r="R19" i="3"/>
  <c r="AB19" i="3" s="1"/>
  <c r="Q19" i="3"/>
  <c r="AA19" i="3" s="1"/>
  <c r="P19" i="3"/>
  <c r="O19" i="3"/>
  <c r="N19" i="3"/>
  <c r="X19" i="3" s="1"/>
  <c r="M19" i="3"/>
  <c r="L19" i="3"/>
  <c r="K19" i="3"/>
  <c r="U19" i="3" s="1"/>
  <c r="Z19" i="3" s="1"/>
  <c r="J19" i="3"/>
  <c r="T19" i="3" s="1"/>
  <c r="Y19" i="3" s="1"/>
  <c r="I19" i="3"/>
  <c r="S19" i="3" s="1"/>
  <c r="W18" i="3"/>
  <c r="V18" i="3"/>
  <c r="T18" i="3"/>
  <c r="S18" i="3"/>
  <c r="R18" i="3"/>
  <c r="AB18" i="3" s="1"/>
  <c r="Q18" i="3"/>
  <c r="AA18" i="3" s="1"/>
  <c r="P18" i="3"/>
  <c r="Z18" i="3" s="1"/>
  <c r="O18" i="3"/>
  <c r="Y18" i="3" s="1"/>
  <c r="N18" i="3"/>
  <c r="X18" i="3" s="1"/>
  <c r="AC18" i="3" s="1"/>
  <c r="M18" i="3"/>
  <c r="L18" i="3"/>
  <c r="K18" i="3"/>
  <c r="U18" i="3" s="1"/>
  <c r="J18" i="3"/>
  <c r="I18" i="3"/>
  <c r="T17" i="3"/>
  <c r="S17" i="3"/>
  <c r="R17" i="3"/>
  <c r="Q17" i="3"/>
  <c r="P17" i="3"/>
  <c r="Z17" i="3" s="1"/>
  <c r="O17" i="3"/>
  <c r="Y17" i="3" s="1"/>
  <c r="N17" i="3"/>
  <c r="X17" i="3" s="1"/>
  <c r="M17" i="3"/>
  <c r="W17" i="3" s="1"/>
  <c r="AB17" i="3" s="1"/>
  <c r="L17" i="3"/>
  <c r="V17" i="3" s="1"/>
  <c r="K17" i="3"/>
  <c r="U17" i="3" s="1"/>
  <c r="J17" i="3"/>
  <c r="I17" i="3"/>
  <c r="R16" i="3"/>
  <c r="Q16" i="3"/>
  <c r="P16" i="3"/>
  <c r="O16" i="3"/>
  <c r="N16" i="3"/>
  <c r="X16" i="3" s="1"/>
  <c r="M16" i="3"/>
  <c r="W16" i="3" s="1"/>
  <c r="AB16" i="3" s="1"/>
  <c r="L16" i="3"/>
  <c r="V16" i="3" s="1"/>
  <c r="K16" i="3"/>
  <c r="U16" i="3" s="1"/>
  <c r="Z16" i="3" s="1"/>
  <c r="J16" i="3"/>
  <c r="T16" i="3" s="1"/>
  <c r="Y16" i="3" s="1"/>
  <c r="I16" i="3"/>
  <c r="S16" i="3" s="1"/>
  <c r="W15" i="3"/>
  <c r="V15" i="3"/>
  <c r="R15" i="3"/>
  <c r="AB15" i="3" s="1"/>
  <c r="Q15" i="3"/>
  <c r="AA15" i="3" s="1"/>
  <c r="P15" i="3"/>
  <c r="O15" i="3"/>
  <c r="N15" i="3"/>
  <c r="X15" i="3" s="1"/>
  <c r="M15" i="3"/>
  <c r="L15" i="3"/>
  <c r="K15" i="3"/>
  <c r="U15" i="3" s="1"/>
  <c r="Z15" i="3" s="1"/>
  <c r="J15" i="3"/>
  <c r="T15" i="3" s="1"/>
  <c r="Y15" i="3" s="1"/>
  <c r="I15" i="3"/>
  <c r="S15" i="3" s="1"/>
  <c r="W14" i="3"/>
  <c r="V14" i="3"/>
  <c r="T14" i="3"/>
  <c r="S14" i="3"/>
  <c r="R14" i="3"/>
  <c r="AB14" i="3" s="1"/>
  <c r="Q14" i="3"/>
  <c r="AA14" i="3" s="1"/>
  <c r="P14" i="3"/>
  <c r="Z14" i="3" s="1"/>
  <c r="O14" i="3"/>
  <c r="Y14" i="3" s="1"/>
  <c r="N14" i="3"/>
  <c r="X14" i="3" s="1"/>
  <c r="AC14" i="3" s="1"/>
  <c r="M14" i="3"/>
  <c r="L14" i="3"/>
  <c r="K14" i="3"/>
  <c r="U14" i="3" s="1"/>
  <c r="J14" i="3"/>
  <c r="I14" i="3"/>
  <c r="T13" i="3"/>
  <c r="S13" i="3"/>
  <c r="R13" i="3"/>
  <c r="Q13" i="3"/>
  <c r="P13" i="3"/>
  <c r="Z13" i="3" s="1"/>
  <c r="O13" i="3"/>
  <c r="Y13" i="3" s="1"/>
  <c r="N13" i="3"/>
  <c r="X13" i="3" s="1"/>
  <c r="M13" i="3"/>
  <c r="W13" i="3" s="1"/>
  <c r="AB13" i="3" s="1"/>
  <c r="L13" i="3"/>
  <c r="V13" i="3" s="1"/>
  <c r="K13" i="3"/>
  <c r="U13" i="3" s="1"/>
  <c r="J13" i="3"/>
  <c r="I13" i="3"/>
  <c r="R12" i="3"/>
  <c r="Q12" i="3"/>
  <c r="P12" i="3"/>
  <c r="O12" i="3"/>
  <c r="N12" i="3"/>
  <c r="X12" i="3" s="1"/>
  <c r="M12" i="3"/>
  <c r="W12" i="3" s="1"/>
  <c r="AB12" i="3" s="1"/>
  <c r="L12" i="3"/>
  <c r="V12" i="3" s="1"/>
  <c r="K12" i="3"/>
  <c r="U12" i="3" s="1"/>
  <c r="Z12" i="3" s="1"/>
  <c r="J12" i="3"/>
  <c r="T12" i="3" s="1"/>
  <c r="Y12" i="3" s="1"/>
  <c r="I12" i="3"/>
  <c r="S12" i="3" s="1"/>
  <c r="W11" i="3"/>
  <c r="V11" i="3"/>
  <c r="R11" i="3"/>
  <c r="AB11" i="3" s="1"/>
  <c r="Q11" i="3"/>
  <c r="AA11" i="3" s="1"/>
  <c r="P11" i="3"/>
  <c r="O11" i="3"/>
  <c r="N11" i="3"/>
  <c r="X11" i="3" s="1"/>
  <c r="M11" i="3"/>
  <c r="L11" i="3"/>
  <c r="K11" i="3"/>
  <c r="U11" i="3" s="1"/>
  <c r="Z11" i="3" s="1"/>
  <c r="J11" i="3"/>
  <c r="T11" i="3" s="1"/>
  <c r="Y11" i="3" s="1"/>
  <c r="I11" i="3"/>
  <c r="S11" i="3" s="1"/>
  <c r="W10" i="3"/>
  <c r="V10" i="3"/>
  <c r="T10" i="3"/>
  <c r="S10" i="3"/>
  <c r="R10" i="3"/>
  <c r="AB10" i="3" s="1"/>
  <c r="Q10" i="3"/>
  <c r="AA10" i="3" s="1"/>
  <c r="P10" i="3"/>
  <c r="Z10" i="3" s="1"/>
  <c r="O10" i="3"/>
  <c r="Y10" i="3" s="1"/>
  <c r="N10" i="3"/>
  <c r="X10" i="3" s="1"/>
  <c r="AC10" i="3" s="1"/>
  <c r="M10" i="3"/>
  <c r="L10" i="3"/>
  <c r="K10" i="3"/>
  <c r="U10" i="3" s="1"/>
  <c r="J10" i="3"/>
  <c r="I10" i="3"/>
  <c r="T9" i="3"/>
  <c r="S9" i="3"/>
  <c r="R9" i="3"/>
  <c r="Q9" i="3"/>
  <c r="P9" i="3"/>
  <c r="Z9" i="3" s="1"/>
  <c r="O9" i="3"/>
  <c r="Y9" i="3" s="1"/>
  <c r="N9" i="3"/>
  <c r="X9" i="3" s="1"/>
  <c r="M9" i="3"/>
  <c r="W9" i="3" s="1"/>
  <c r="AB9" i="3" s="1"/>
  <c r="L9" i="3"/>
  <c r="V9" i="3" s="1"/>
  <c r="K9" i="3"/>
  <c r="U9" i="3" s="1"/>
  <c r="J9" i="3"/>
  <c r="I9" i="3"/>
  <c r="R8" i="3"/>
  <c r="Q8" i="3"/>
  <c r="P8" i="3"/>
  <c r="O8" i="3"/>
  <c r="N8" i="3"/>
  <c r="X8" i="3" s="1"/>
  <c r="M8" i="3"/>
  <c r="W8" i="3" s="1"/>
  <c r="AB8" i="3" s="1"/>
  <c r="L8" i="3"/>
  <c r="V8" i="3" s="1"/>
  <c r="K8" i="3"/>
  <c r="U8" i="3" s="1"/>
  <c r="Z8" i="3" s="1"/>
  <c r="J8" i="3"/>
  <c r="T8" i="3" s="1"/>
  <c r="Y8" i="3" s="1"/>
  <c r="I8" i="3"/>
  <c r="S8" i="3" s="1"/>
  <c r="W7" i="3"/>
  <c r="V7" i="3"/>
  <c r="R7" i="3"/>
  <c r="AB7" i="3" s="1"/>
  <c r="Q7" i="3"/>
  <c r="AA7" i="3" s="1"/>
  <c r="P7" i="3"/>
  <c r="O7" i="3"/>
  <c r="N7" i="3"/>
  <c r="X7" i="3" s="1"/>
  <c r="M7" i="3"/>
  <c r="L7" i="3"/>
  <c r="K7" i="3"/>
  <c r="U7" i="3" s="1"/>
  <c r="Z7" i="3" s="1"/>
  <c r="J7" i="3"/>
  <c r="T7" i="3" s="1"/>
  <c r="Y7" i="3" s="1"/>
  <c r="I7" i="3"/>
  <c r="S7" i="3" s="1"/>
  <c r="W6" i="3"/>
  <c r="V6" i="3"/>
  <c r="T6" i="3"/>
  <c r="S6" i="3"/>
  <c r="R6" i="3"/>
  <c r="AB6" i="3" s="1"/>
  <c r="Q6" i="3"/>
  <c r="AA6" i="3" s="1"/>
  <c r="P6" i="3"/>
  <c r="O6" i="3"/>
  <c r="Y6" i="3" s="1"/>
  <c r="N6" i="3"/>
  <c r="X6" i="3" s="1"/>
  <c r="AC6" i="3" s="1"/>
  <c r="M6" i="3"/>
  <c r="L6" i="3"/>
  <c r="K6" i="3"/>
  <c r="U6" i="3" s="1"/>
  <c r="J6" i="3"/>
  <c r="I6" i="3"/>
  <c r="T5" i="3"/>
  <c r="S5" i="3"/>
  <c r="R5" i="3"/>
  <c r="Q5" i="3"/>
  <c r="P5" i="3"/>
  <c r="O5" i="3"/>
  <c r="Y5" i="3" s="1"/>
  <c r="N5" i="3"/>
  <c r="X5" i="3" s="1"/>
  <c r="M5" i="3"/>
  <c r="W5" i="3" s="1"/>
  <c r="AB5" i="3" s="1"/>
  <c r="L5" i="3"/>
  <c r="V5" i="3" s="1"/>
  <c r="K5" i="3"/>
  <c r="U5" i="3" s="1"/>
  <c r="J5" i="3"/>
  <c r="I5" i="3"/>
  <c r="R4" i="3"/>
  <c r="Q4" i="3"/>
  <c r="P4" i="3"/>
  <c r="O4" i="3"/>
  <c r="N4" i="3"/>
  <c r="X4" i="3" s="1"/>
  <c r="M4" i="3"/>
  <c r="W4" i="3" s="1"/>
  <c r="L4" i="3"/>
  <c r="V4" i="3" s="1"/>
  <c r="K4" i="3"/>
  <c r="U4" i="3" s="1"/>
  <c r="J4" i="3"/>
  <c r="T4" i="3" s="1"/>
  <c r="I4" i="3"/>
  <c r="S4" i="3" s="1"/>
  <c r="L13" i="7" l="1"/>
  <c r="L22" i="7"/>
  <c r="L10" i="7"/>
  <c r="L23" i="7"/>
  <c r="L26" i="7"/>
  <c r="L21" i="7"/>
  <c r="L9" i="7"/>
  <c r="L11" i="7"/>
  <c r="L24" i="7"/>
  <c r="L12" i="7"/>
  <c r="L5" i="7"/>
  <c r="L25" i="7"/>
  <c r="L19" i="7"/>
  <c r="L7" i="7"/>
  <c r="L17" i="7"/>
  <c r="L20" i="7"/>
  <c r="L8" i="7"/>
  <c r="L18" i="7"/>
  <c r="L6" i="7"/>
  <c r="L16" i="7"/>
  <c r="L15" i="7"/>
  <c r="L14" i="7"/>
  <c r="K5" i="6"/>
  <c r="M5" i="6" s="1"/>
  <c r="L11" i="6"/>
  <c r="L14" i="6"/>
  <c r="L17" i="6"/>
  <c r="L20" i="6"/>
  <c r="L21" i="6"/>
  <c r="L12" i="6"/>
  <c r="L15" i="6"/>
  <c r="L18" i="6"/>
  <c r="K10" i="6"/>
  <c r="M10" i="6" s="1"/>
  <c r="K21" i="6"/>
  <c r="M21" i="6" s="1"/>
  <c r="L4" i="6"/>
  <c r="K9" i="6"/>
  <c r="M9" i="6" s="1"/>
  <c r="L16" i="6"/>
  <c r="L5" i="6"/>
  <c r="L8" i="6"/>
  <c r="K20" i="6"/>
  <c r="M20" i="6" s="1"/>
  <c r="K8" i="6"/>
  <c r="M8" i="6" s="1"/>
  <c r="K17" i="6"/>
  <c r="M17" i="6" s="1"/>
  <c r="L6" i="6"/>
  <c r="K14" i="6"/>
  <c r="M14" i="6" s="1"/>
  <c r="L7" i="6"/>
  <c r="L10" i="6"/>
  <c r="L13" i="6"/>
  <c r="L19" i="6"/>
  <c r="K11" i="6"/>
  <c r="M11" i="6" s="1"/>
  <c r="K3" i="6"/>
  <c r="M3" i="6" s="1"/>
  <c r="L3" i="6"/>
  <c r="AB4" i="3"/>
  <c r="Z4" i="3"/>
  <c r="AC11" i="3"/>
  <c r="AC15" i="3"/>
  <c r="AC16" i="3"/>
  <c r="AC19" i="3"/>
  <c r="AC20" i="3"/>
  <c r="AC4" i="3"/>
  <c r="AA5" i="3"/>
  <c r="AC5" i="3" s="1"/>
  <c r="AA9" i="3"/>
  <c r="AA13" i="3"/>
  <c r="AC13" i="3" s="1"/>
  <c r="AA17" i="3"/>
  <c r="AC17" i="3" s="1"/>
  <c r="AA21" i="3"/>
  <c r="AC21" i="3" s="1"/>
  <c r="AB22" i="3"/>
  <c r="AC22" i="3" s="1"/>
  <c r="Y4" i="3"/>
  <c r="AC9" i="3"/>
  <c r="AA8" i="3"/>
  <c r="AC8" i="3" s="1"/>
  <c r="AA12" i="3"/>
  <c r="AC12" i="3" s="1"/>
  <c r="AA16" i="3"/>
  <c r="AA20" i="3"/>
  <c r="AC7" i="3"/>
  <c r="AA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<sst xmlns="http://schemas.openxmlformats.org/spreadsheetml/2006/main" count="1059" uniqueCount="222">
  <si>
    <t>Employee Payroll</t>
  </si>
  <si>
    <t>First Name</t>
  </si>
  <si>
    <t>Last Name</t>
  </si>
  <si>
    <t>Hourly Wage</t>
  </si>
  <si>
    <t>Hours Worked</t>
  </si>
  <si>
    <t>Emily</t>
  </si>
  <si>
    <t>Carter</t>
  </si>
  <si>
    <t>James</t>
  </si>
  <si>
    <t>Rivera</t>
  </si>
  <si>
    <t>Olivia</t>
  </si>
  <si>
    <t>Brooks</t>
  </si>
  <si>
    <t>Daniel</t>
  </si>
  <si>
    <t>Foster</t>
  </si>
  <si>
    <t>Sophia</t>
  </si>
  <si>
    <t>Hayes</t>
  </si>
  <si>
    <t>Liam</t>
  </si>
  <si>
    <t>Barnes</t>
  </si>
  <si>
    <t>Ava</t>
  </si>
  <si>
    <t>Powell</t>
  </si>
  <si>
    <t>Noah</t>
  </si>
  <si>
    <t>Stevens</t>
  </si>
  <si>
    <t>Mia</t>
  </si>
  <si>
    <t>Howard</t>
  </si>
  <si>
    <t>Lucas</t>
  </si>
  <si>
    <t>Graham</t>
  </si>
  <si>
    <t>Isabella</t>
  </si>
  <si>
    <t>Turner</t>
  </si>
  <si>
    <t>Ethan</t>
  </si>
  <si>
    <t>Perry</t>
  </si>
  <si>
    <t>Charlotte</t>
  </si>
  <si>
    <t>West</t>
  </si>
  <si>
    <t>Mason</t>
  </si>
  <si>
    <t>Simmons</t>
  </si>
  <si>
    <t>Amelia</t>
  </si>
  <si>
    <t>Jenkins</t>
  </si>
  <si>
    <t>Logan</t>
  </si>
  <si>
    <t>Bryant</t>
  </si>
  <si>
    <t>Harper</t>
  </si>
  <si>
    <t>Dixon</t>
  </si>
  <si>
    <t>Jacob</t>
  </si>
  <si>
    <t>Lane</t>
  </si>
  <si>
    <t>Ella</t>
  </si>
  <si>
    <t>Gardner</t>
  </si>
  <si>
    <t>Henry</t>
  </si>
  <si>
    <t>Porter</t>
  </si>
  <si>
    <t>Max</t>
  </si>
  <si>
    <t>Min</t>
  </si>
  <si>
    <t>Average</t>
  </si>
  <si>
    <t>Total</t>
  </si>
  <si>
    <t>Overtime Hours</t>
  </si>
  <si>
    <t>Base Pay</t>
  </si>
  <si>
    <t>January Pay</t>
  </si>
  <si>
    <t>01-Jan</t>
  </si>
  <si>
    <t>08-Jan</t>
  </si>
  <si>
    <t>15-Jan</t>
  </si>
  <si>
    <t>22-Jan</t>
  </si>
  <si>
    <t>29-Jan</t>
  </si>
  <si>
    <t>01-Jan2</t>
  </si>
  <si>
    <t>08-Jan3</t>
  </si>
  <si>
    <t>15-Jan4</t>
  </si>
  <si>
    <t>22-Jan5</t>
  </si>
  <si>
    <t>29-Jan6</t>
  </si>
  <si>
    <t>01-Jan7</t>
  </si>
  <si>
    <t>08-Jan8</t>
  </si>
  <si>
    <t>15-Jan9</t>
  </si>
  <si>
    <t>22-Jan10</t>
  </si>
  <si>
    <t>29-Jan11</t>
  </si>
  <si>
    <t>01-Jan12</t>
  </si>
  <si>
    <t>08-Jan13</t>
  </si>
  <si>
    <t>15-Jan14</t>
  </si>
  <si>
    <t>22-Jan15</t>
  </si>
  <si>
    <t>29-Jan16</t>
  </si>
  <si>
    <t>01-Jan17</t>
  </si>
  <si>
    <t>08-Jan18</t>
  </si>
  <si>
    <t>15-Jan19</t>
  </si>
  <si>
    <t>22-Jan20</t>
  </si>
  <si>
    <t>29-Jan21</t>
  </si>
  <si>
    <t>Gradebook</t>
  </si>
  <si>
    <t>LeBron</t>
  </si>
  <si>
    <t xml:space="preserve">        James</t>
  </si>
  <si>
    <t>Stephen</t>
  </si>
  <si>
    <t xml:space="preserve">        Curry</t>
  </si>
  <si>
    <t>Kevin</t>
  </si>
  <si>
    <t xml:space="preserve">        Durant</t>
  </si>
  <si>
    <t>Giannis</t>
  </si>
  <si>
    <t xml:space="preserve">        Antetokounmpo</t>
  </si>
  <si>
    <t>Luka</t>
  </si>
  <si>
    <t xml:space="preserve">        Dončić</t>
  </si>
  <si>
    <t>Jayson</t>
  </si>
  <si>
    <t xml:space="preserve">        Tatum</t>
  </si>
  <si>
    <t>Joel</t>
  </si>
  <si>
    <t xml:space="preserve">        Embiid</t>
  </si>
  <si>
    <t>Jimmy</t>
  </si>
  <si>
    <t xml:space="preserve">        Butler</t>
  </si>
  <si>
    <t>Devin</t>
  </si>
  <si>
    <t xml:space="preserve">        Booker</t>
  </si>
  <si>
    <t>Kawhi</t>
  </si>
  <si>
    <t xml:space="preserve">        Leonard</t>
  </si>
  <si>
    <t>Anthony</t>
  </si>
  <si>
    <t xml:space="preserve">        Davis</t>
  </si>
  <si>
    <t>Damian</t>
  </si>
  <si>
    <t xml:space="preserve">        Lillard</t>
  </si>
  <si>
    <t>Ja</t>
  </si>
  <si>
    <t xml:space="preserve">        Morant</t>
  </si>
  <si>
    <t>Zion</t>
  </si>
  <si>
    <t xml:space="preserve">        Williamson</t>
  </si>
  <si>
    <t>Kyrie</t>
  </si>
  <si>
    <t xml:space="preserve">        Irving</t>
  </si>
  <si>
    <t>Nikola</t>
  </si>
  <si>
    <t xml:space="preserve">        Jokić</t>
  </si>
  <si>
    <t>Trae</t>
  </si>
  <si>
    <t xml:space="preserve">        Young</t>
  </si>
  <si>
    <t>Karl-Anthony</t>
  </si>
  <si>
    <t>Towns</t>
  </si>
  <si>
    <t>Donovan</t>
  </si>
  <si>
    <t xml:space="preserve">        Mitchell</t>
  </si>
  <si>
    <t>Safety Test</t>
  </si>
  <si>
    <t>Drug Test</t>
  </si>
  <si>
    <t>Company Philosophy Test</t>
  </si>
  <si>
    <t>Financial Skills Test</t>
  </si>
  <si>
    <t>Points Possible</t>
  </si>
  <si>
    <t>Failed Modules</t>
  </si>
  <si>
    <t>Key</t>
  </si>
  <si>
    <t>Column1</t>
  </si>
  <si>
    <t>Safety Test2</t>
  </si>
  <si>
    <t>Company Philosophy Test3</t>
  </si>
  <si>
    <t>Financial Skills Test4</t>
  </si>
  <si>
    <t>Drug Test5</t>
  </si>
  <si>
    <t>Fire Employee (Any Module Failed)</t>
  </si>
  <si>
    <t>Fire Employee(3&lt; or Drug Test Failed)</t>
  </si>
  <si>
    <t>Career Decisions</t>
  </si>
  <si>
    <t>Job</t>
  </si>
  <si>
    <t>Pay</t>
  </si>
  <si>
    <t>Job Market</t>
  </si>
  <si>
    <t>My Talent</t>
  </si>
  <si>
    <t>Schooling</t>
  </si>
  <si>
    <t>Mechanical Engineer</t>
  </si>
  <si>
    <t>Enjoyment</t>
  </si>
  <si>
    <t>General Practitioner</t>
  </si>
  <si>
    <t>Software Developer</t>
  </si>
  <si>
    <t>Teacher</t>
  </si>
  <si>
    <t>Graphic Designer</t>
  </si>
  <si>
    <t>Electrician</t>
  </si>
  <si>
    <t>Civil Engineer</t>
  </si>
  <si>
    <t>Lawyer</t>
  </si>
  <si>
    <t>Data Analyst</t>
  </si>
  <si>
    <t>Pharmacist</t>
  </si>
  <si>
    <t>Chef</t>
  </si>
  <si>
    <t>Marketing Manager</t>
  </si>
  <si>
    <t>Plumber</t>
  </si>
  <si>
    <t>Accountant</t>
  </si>
  <si>
    <t>Journalist</t>
  </si>
  <si>
    <t>Pilot</t>
  </si>
  <si>
    <t>Architect</t>
  </si>
  <si>
    <t>Police Officer</t>
  </si>
  <si>
    <t>Social Worker</t>
  </si>
  <si>
    <t>Nurse</t>
  </si>
  <si>
    <t>Web Designer</t>
  </si>
  <si>
    <t>Dentist</t>
  </si>
  <si>
    <t>3</t>
  </si>
  <si>
    <t>5</t>
  </si>
  <si>
    <t>4</t>
  </si>
  <si>
    <t>1</t>
  </si>
  <si>
    <t>2</t>
  </si>
  <si>
    <t>Sum</t>
  </si>
  <si>
    <t>Running Total</t>
  </si>
  <si>
    <t>Count</t>
  </si>
  <si>
    <t>Row Labels</t>
  </si>
  <si>
    <t>Grand Total</t>
  </si>
  <si>
    <t>NV</t>
  </si>
  <si>
    <t>Skimmer</t>
  </si>
  <si>
    <t>Dec</t>
  </si>
  <si>
    <t>CA</t>
  </si>
  <si>
    <t>UT</t>
  </si>
  <si>
    <t>Water Pump</t>
  </si>
  <si>
    <t>Pool Cover</t>
  </si>
  <si>
    <t>NM</t>
  </si>
  <si>
    <t>AutoVac</t>
  </si>
  <si>
    <t>Nov</t>
  </si>
  <si>
    <t>AZ</t>
  </si>
  <si>
    <t>1 Gal Muratic Acid</t>
  </si>
  <si>
    <t>5 Gal Chlorine</t>
  </si>
  <si>
    <t>Oct</t>
  </si>
  <si>
    <t>Sept</t>
  </si>
  <si>
    <t>Aug</t>
  </si>
  <si>
    <t>July</t>
  </si>
  <si>
    <t>Chlorine Test Kit</t>
  </si>
  <si>
    <t>8 ft Hose</t>
  </si>
  <si>
    <t>Net</t>
  </si>
  <si>
    <t>Algea Killer 8 oz</t>
  </si>
  <si>
    <t>June</t>
  </si>
  <si>
    <t>May</t>
  </si>
  <si>
    <t>April</t>
  </si>
  <si>
    <t>CO</t>
  </si>
  <si>
    <t>Mar</t>
  </si>
  <si>
    <t>Feb</t>
  </si>
  <si>
    <t>Jan</t>
  </si>
  <si>
    <t>Sale Location</t>
  </si>
  <si>
    <t>Profit</t>
  </si>
  <si>
    <t>Sale Price</t>
  </si>
  <si>
    <t>Store Cost</t>
  </si>
  <si>
    <t>Product Description</t>
  </si>
  <si>
    <t>Product Code</t>
  </si>
  <si>
    <t>Transaction Number</t>
  </si>
  <si>
    <t>Month</t>
  </si>
  <si>
    <t>Commision 10% for items less than £50. 20% for items more than £50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</si>
  <si>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</si>
  <si>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</si>
  <si>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</si>
  <si>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</si>
  <si>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</si>
  <si>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</si>
  <si>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</si>
  <si>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</si>
  <si>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 xml:space="preserve">First Name </t>
  </si>
  <si>
    <t>text to column</t>
  </si>
  <si>
    <t>IF</t>
  </si>
  <si>
    <t>SUMIF</t>
  </si>
  <si>
    <t>Sum of all items</t>
  </si>
  <si>
    <t xml:space="preserve">Sum of items valued at more than £50 </t>
  </si>
  <si>
    <t>Sum of items valued at £50 or less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</si>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</sst>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£-809]* #,##0.00_-;\-[$£-809]* #,##0.00_-;_-[$£-809]* &quot;-&quot;??_-;_-@_-"/>
    <numFmt numFmtId="165" formatCode="&quot;£&quot;#,##0.00"/>
    <numFmt numFmtId="169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164" fontId="0" fillId="3" borderId="0" xfId="0" applyNumberFormat="1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0" fontId="0" fillId="5" borderId="0" xfId="0" applyFill="1"/>
    <xf numFmtId="16" fontId="0" fillId="6" borderId="0" xfId="0" applyNumberFormat="1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165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left" vertical="top" textRotation="90"/>
    </xf>
    <xf numFmtId="0" fontId="0" fillId="0" borderId="0" xfId="0" applyAlignment="1">
      <alignment vertical="top" textRotation="90"/>
    </xf>
    <xf numFmtId="169" fontId="0" fillId="0" borderId="0" xfId="2" applyNumberFormat="1" applyFont="1"/>
    <xf numFmtId="14" fontId="0" fillId="0" borderId="0" xfId="2" applyNumberFormat="1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44" fontId="0" fillId="0" borderId="0" xfId="3" applyFont="1"/>
    <xf numFmtId="0" fontId="0" fillId="0" borderId="0" xfId="0" pivotButton="1"/>
  </cellXfs>
  <cellStyles count="4">
    <cellStyle name="Comma" xfId="2" builtinId="3"/>
    <cellStyle name="Currency" xfId="3" builtinId="4"/>
    <cellStyle name="Normal" xfId="0" builtinId="0"/>
    <cellStyle name="Per cent" xfId="1" builtinId="5"/>
  </cellStyles>
  <dxfs count="4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_-[$£-809]* #,##0.00_-;\-[$£-809]* #,##0.00_-;_-[$£-809]* &quot;-&quot;??_-;_-@_-"/>
      <fill>
        <patternFill patternType="solid">
          <fgColor indexed="64"/>
          <bgColor theme="6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numFmt numFmtId="164" formatCode="_-[$£-809]* #,##0.00_-;\-[$£-809]* #,##0.00_-;_-[$£-809]* &quot;-&quot;??_-;_-@_-"/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64" formatCode="_-[$£-809]* #,##0.00_-;\-[$£-809]* #,##0.00_-;_-[$£-809]* &quot;-&quot;??_-;_-@_-"/>
    </dxf>
    <dxf>
      <fill>
        <patternFill patternType="solid">
          <fgColor indexed="64"/>
          <bgColor theme="5" tint="0.59999389629810485"/>
        </patternFill>
      </fill>
    </dxf>
    <dxf>
      <numFmt numFmtId="21" formatCode="dd\-mmm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Gradebook!$B$3:$B$21</c:f>
              <c:strCache>
                <c:ptCount val="19"/>
                <c:pt idx="0">
                  <c:v>        James</c:v>
                </c:pt>
                <c:pt idx="1">
                  <c:v>        Curry</c:v>
                </c:pt>
                <c:pt idx="2">
                  <c:v>        Durant</c:v>
                </c:pt>
                <c:pt idx="3">
                  <c:v>        Antetokounmpo</c:v>
                </c:pt>
                <c:pt idx="4">
                  <c:v>        Dončić</c:v>
                </c:pt>
                <c:pt idx="5">
                  <c:v>        Tatum</c:v>
                </c:pt>
                <c:pt idx="6">
                  <c:v>        Embiid</c:v>
                </c:pt>
                <c:pt idx="7">
                  <c:v>        Butler</c:v>
                </c:pt>
                <c:pt idx="8">
                  <c:v>        Booker</c:v>
                </c:pt>
                <c:pt idx="9">
                  <c:v>        Leonard</c:v>
                </c:pt>
                <c:pt idx="10">
                  <c:v>        Davis</c:v>
                </c:pt>
                <c:pt idx="11">
                  <c:v>        Lillard</c:v>
                </c:pt>
                <c:pt idx="12">
                  <c:v>        Morant</c:v>
                </c:pt>
                <c:pt idx="13">
                  <c:v>        Williamson</c:v>
                </c:pt>
                <c:pt idx="14">
                  <c:v>        Irving</c:v>
                </c:pt>
                <c:pt idx="15">
                  <c:v>        Jokić</c:v>
                </c:pt>
                <c:pt idx="16">
                  <c:v>        Young</c:v>
                </c:pt>
                <c:pt idx="17">
                  <c:v>Towns</c:v>
                </c:pt>
                <c:pt idx="18">
                  <c:v>        Mitchell</c:v>
                </c:pt>
              </c:strCache>
            </c:strRef>
          </c:cat>
          <c:val>
            <c:numRef>
              <c:f>Gradebook!$C$3:$C$21</c:f>
              <c:numCache>
                <c:formatCode>General</c:formatCode>
                <c:ptCount val="19"/>
                <c:pt idx="0">
                  <c:v>3</c:v>
                </c:pt>
                <c:pt idx="1">
                  <c:v>10</c:v>
                </c:pt>
                <c:pt idx="2">
                  <c:v>2</c:v>
                </c:pt>
                <c:pt idx="3">
                  <c:v>9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  <c:pt idx="7">
                  <c:v>1</c:v>
                </c:pt>
                <c:pt idx="8">
                  <c:v>9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  <c:pt idx="12">
                  <c:v>4</c:v>
                </c:pt>
                <c:pt idx="13">
                  <c:v>3</c:v>
                </c:pt>
                <c:pt idx="14">
                  <c:v>7</c:v>
                </c:pt>
                <c:pt idx="15">
                  <c:v>10</c:v>
                </c:pt>
                <c:pt idx="16">
                  <c:v>2</c:v>
                </c:pt>
                <c:pt idx="17">
                  <c:v>6</c:v>
                </c:pt>
                <c:pt idx="1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6-4A32-B8EE-397901CEAD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4"/>
        <c:gapDepth val="0"/>
        <c:shape val="box"/>
        <c:axId val="1258014047"/>
        <c:axId val="1258015487"/>
        <c:axId val="0"/>
      </c:bar3DChart>
      <c:catAx>
        <c:axId val="125801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15487"/>
        <c:crosses val="autoZero"/>
        <c:auto val="1"/>
        <c:lblAlgn val="ctr"/>
        <c:lblOffset val="100"/>
        <c:noMultiLvlLbl val="0"/>
      </c:catAx>
      <c:valAx>
        <c:axId val="1258015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01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Company Philosophy Test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Gradebook!$B$3:$B$21</c:f>
              <c:strCache>
                <c:ptCount val="19"/>
                <c:pt idx="0">
                  <c:v>        James</c:v>
                </c:pt>
                <c:pt idx="1">
                  <c:v>        Curry</c:v>
                </c:pt>
                <c:pt idx="2">
                  <c:v>        Durant</c:v>
                </c:pt>
                <c:pt idx="3">
                  <c:v>        Antetokounmpo</c:v>
                </c:pt>
                <c:pt idx="4">
                  <c:v>        Dončić</c:v>
                </c:pt>
                <c:pt idx="5">
                  <c:v>        Tatum</c:v>
                </c:pt>
                <c:pt idx="6">
                  <c:v>        Embiid</c:v>
                </c:pt>
                <c:pt idx="7">
                  <c:v>        Butler</c:v>
                </c:pt>
                <c:pt idx="8">
                  <c:v>        Booker</c:v>
                </c:pt>
                <c:pt idx="9">
                  <c:v>        Leonard</c:v>
                </c:pt>
                <c:pt idx="10">
                  <c:v>        Davis</c:v>
                </c:pt>
                <c:pt idx="11">
                  <c:v>        Lillard</c:v>
                </c:pt>
                <c:pt idx="12">
                  <c:v>        Morant</c:v>
                </c:pt>
                <c:pt idx="13">
                  <c:v>        Williamson</c:v>
                </c:pt>
                <c:pt idx="14">
                  <c:v>        Irving</c:v>
                </c:pt>
                <c:pt idx="15">
                  <c:v>        Jokić</c:v>
                </c:pt>
                <c:pt idx="16">
                  <c:v>        Young</c:v>
                </c:pt>
                <c:pt idx="17">
                  <c:v>Towns</c:v>
                </c:pt>
                <c:pt idx="18">
                  <c:v>        Mitchell</c:v>
                </c:pt>
              </c:strCache>
            </c:strRef>
          </c:cat>
          <c:val>
            <c:numRef>
              <c:f>Gradebook!$D$3:$D$21</c:f>
              <c:numCache>
                <c:formatCode>General</c:formatCode>
                <c:ptCount val="19"/>
                <c:pt idx="0">
                  <c:v>19</c:v>
                </c:pt>
                <c:pt idx="1">
                  <c:v>20</c:v>
                </c:pt>
                <c:pt idx="2">
                  <c:v>5</c:v>
                </c:pt>
                <c:pt idx="3">
                  <c:v>18</c:v>
                </c:pt>
                <c:pt idx="4">
                  <c:v>6</c:v>
                </c:pt>
                <c:pt idx="5">
                  <c:v>14</c:v>
                </c:pt>
                <c:pt idx="6">
                  <c:v>13</c:v>
                </c:pt>
                <c:pt idx="7">
                  <c:v>4</c:v>
                </c:pt>
                <c:pt idx="8">
                  <c:v>18</c:v>
                </c:pt>
                <c:pt idx="9">
                  <c:v>3</c:v>
                </c:pt>
                <c:pt idx="10">
                  <c:v>10</c:v>
                </c:pt>
                <c:pt idx="11">
                  <c:v>20</c:v>
                </c:pt>
                <c:pt idx="12">
                  <c:v>8</c:v>
                </c:pt>
                <c:pt idx="13">
                  <c:v>6</c:v>
                </c:pt>
                <c:pt idx="14">
                  <c:v>15</c:v>
                </c:pt>
                <c:pt idx="15">
                  <c:v>20</c:v>
                </c:pt>
                <c:pt idx="16">
                  <c:v>5</c:v>
                </c:pt>
                <c:pt idx="17">
                  <c:v>12</c:v>
                </c:pt>
                <c:pt idx="1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E-45A5-948F-3897B868F4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67381071"/>
        <c:axId val="1318021663"/>
        <c:axId val="0"/>
      </c:bar3DChart>
      <c:catAx>
        <c:axId val="56738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21663"/>
        <c:crosses val="autoZero"/>
        <c:auto val="1"/>
        <c:lblAlgn val="ctr"/>
        <c:lblOffset val="100"/>
        <c:noMultiLvlLbl val="0"/>
      </c:catAx>
      <c:valAx>
        <c:axId val="131802166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6738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Financial Skills Test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Gradebook!$B$3:$B$21</c:f>
              <c:strCache>
                <c:ptCount val="19"/>
                <c:pt idx="0">
                  <c:v>        James</c:v>
                </c:pt>
                <c:pt idx="1">
                  <c:v>        Curry</c:v>
                </c:pt>
                <c:pt idx="2">
                  <c:v>        Durant</c:v>
                </c:pt>
                <c:pt idx="3">
                  <c:v>        Antetokounmpo</c:v>
                </c:pt>
                <c:pt idx="4">
                  <c:v>        Dončić</c:v>
                </c:pt>
                <c:pt idx="5">
                  <c:v>        Tatum</c:v>
                </c:pt>
                <c:pt idx="6">
                  <c:v>        Embiid</c:v>
                </c:pt>
                <c:pt idx="7">
                  <c:v>        Butler</c:v>
                </c:pt>
                <c:pt idx="8">
                  <c:v>        Booker</c:v>
                </c:pt>
                <c:pt idx="9">
                  <c:v>        Leonard</c:v>
                </c:pt>
                <c:pt idx="10">
                  <c:v>        Davis</c:v>
                </c:pt>
                <c:pt idx="11">
                  <c:v>        Lillard</c:v>
                </c:pt>
                <c:pt idx="12">
                  <c:v>        Morant</c:v>
                </c:pt>
                <c:pt idx="13">
                  <c:v>        Williamson</c:v>
                </c:pt>
                <c:pt idx="14">
                  <c:v>        Irving</c:v>
                </c:pt>
                <c:pt idx="15">
                  <c:v>        Jokić</c:v>
                </c:pt>
                <c:pt idx="16">
                  <c:v>        Young</c:v>
                </c:pt>
                <c:pt idx="17">
                  <c:v>Towns</c:v>
                </c:pt>
                <c:pt idx="18">
                  <c:v>        Mitchell</c:v>
                </c:pt>
              </c:strCache>
            </c:strRef>
          </c:cat>
          <c:val>
            <c:numRef>
              <c:f>Gradebook!$E$3:$E$21</c:f>
              <c:numCache>
                <c:formatCode>General</c:formatCode>
                <c:ptCount val="19"/>
                <c:pt idx="0">
                  <c:v>96</c:v>
                </c:pt>
                <c:pt idx="1">
                  <c:v>98</c:v>
                </c:pt>
                <c:pt idx="2">
                  <c:v>15</c:v>
                </c:pt>
                <c:pt idx="3">
                  <c:v>92</c:v>
                </c:pt>
                <c:pt idx="4">
                  <c:v>22</c:v>
                </c:pt>
                <c:pt idx="5">
                  <c:v>81</c:v>
                </c:pt>
                <c:pt idx="6">
                  <c:v>73</c:v>
                </c:pt>
                <c:pt idx="7">
                  <c:v>10</c:v>
                </c:pt>
                <c:pt idx="8">
                  <c:v>90</c:v>
                </c:pt>
                <c:pt idx="9">
                  <c:v>12</c:v>
                </c:pt>
                <c:pt idx="10">
                  <c:v>52</c:v>
                </c:pt>
                <c:pt idx="11">
                  <c:v>100</c:v>
                </c:pt>
                <c:pt idx="12">
                  <c:v>35</c:v>
                </c:pt>
                <c:pt idx="13">
                  <c:v>28</c:v>
                </c:pt>
                <c:pt idx="14">
                  <c:v>84</c:v>
                </c:pt>
                <c:pt idx="15">
                  <c:v>99</c:v>
                </c:pt>
                <c:pt idx="16">
                  <c:v>18</c:v>
                </c:pt>
                <c:pt idx="17">
                  <c:v>63</c:v>
                </c:pt>
                <c:pt idx="1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7-477A-95B1-E6BA00996A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1145752895"/>
        <c:axId val="1316615743"/>
        <c:axId val="0"/>
      </c:bar3DChart>
      <c:catAx>
        <c:axId val="114575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15743"/>
        <c:crosses val="autoZero"/>
        <c:auto val="1"/>
        <c:lblAlgn val="ctr"/>
        <c:lblOffset val="100"/>
        <c:noMultiLvlLbl val="0"/>
      </c:catAx>
      <c:valAx>
        <c:axId val="1316615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75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 Project.xlsx]Sales DB PT!PivotTable3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DB PT'!$B$3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DB PT'!$A$4:$A$8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'Sales DB PT'!$B$4:$B$8</c:f>
              <c:numCache>
                <c:formatCode>"£"#,##0.00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6-4BB6-90CA-497C115A80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128588</xdr:colOff>
      <xdr:row>1</xdr:row>
      <xdr:rowOff>30957</xdr:rowOff>
    </xdr:from>
    <xdr:to>
      <xdr:col>24</xdr:col>
      <xdr:colOff>242888</xdr:colOff>
      <xdr:row>13</xdr:row>
      <xdr:rowOff>140495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477CA-90D6-496F-A20B-A35511613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190499</xdr:colOff>
      <xdr:row>16</xdr:row>
      <xdr:rowOff>28574</xdr:rowOff>
    </xdr:from>
    <xdr:to>
      <xdr:col>24</xdr:col>
      <xdr:colOff>314324</xdr:colOff>
      <xdr:row>32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975D6F-1DB8-4358-9F90-DF13C7F39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404813</xdr:colOff>
      <xdr:row>1</xdr:row>
      <xdr:rowOff>204787</xdr:rowOff>
    </xdr:from>
    <xdr:to>
      <xdr:col>34</xdr:col>
      <xdr:colOff>595312</xdr:colOff>
      <xdr:row>10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B4A0B0-766A-4D81-A926-9C7F54B91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185737</xdr:rowOff>
    </xdr:from>
    <xdr:to>
      <xdr:col>9</xdr:col>
      <xdr:colOff>371475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BA141-0B78-E5EF-6509-EF92E33C4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mran Shaikh" refreshedDate="45821.239624652779" createdVersion="8" refreshedVersion="8" minRefreshableVersion="3" recordCount="171" xr:uid="{1361D44F-AC13-4573-8F23-A47A17DB440B}">
  <cacheSource type="worksheet">
    <worksheetSource ref="A1:K172" sheet="Sales DB"/>
  </cacheSource>
  <cacheFields count="11">
    <cacheField name="Month" numFmtId="14">
      <sharedItems/>
    </cacheField>
    <cacheField name="Transaction Number" numFmtId="169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5">
      <sharedItems containsSemiMixedTypes="0" containsString="0" containsNumber="1" minValue="3" maxValue="344"/>
    </cacheField>
    <cacheField name="Sale Price" numFmtId="165">
      <sharedItems containsSemiMixedTypes="0" containsString="0" containsNumber="1" minValue="7" maxValue="502"/>
    </cacheField>
    <cacheField name="Profit" numFmtId="165">
      <sharedItems containsSemiMixedTypes="0" containsString="0" containsNumber="1" minValue="2.9999999999999991" maxValue="158"/>
    </cacheField>
    <cacheField name="Commision 10% for items less than £50. 20% for items more than £50" numFmtId="165">
      <sharedItems containsSemiMixedTypes="0" containsString="0" containsNumber="1" minValue="0.29999999999999993" maxValue="31.6"/>
    </cacheField>
    <cacheField name="First Name 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02F04-5DF8-4C47-BE68-185D23BB9120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8" firstHeaderRow="1" firstDataRow="1" firstDataCol="1"/>
  <pivotFields count="11">
    <pivotField showAll="0"/>
    <pivotField numFmtId="169" showAll="0"/>
    <pivotField showAll="0"/>
    <pivotField showAll="0"/>
    <pivotField numFmtId="165" showAll="0"/>
    <pivotField dataField="1" numFmtId="165" showAll="0"/>
    <pivotField numFmtId="165" showAll="0"/>
    <pivotField numFmtId="165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 numFmtId="165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CE960-D641-4056-A9F7-77793523D516}" name="Table1" displayName="Table1" ref="A3:AC23" totalsRowShown="0" headerRowDxfId="42" dataDxfId="41">
  <autoFilter ref="A3:AC23" xr:uid="{19ECE960-D641-4056-A9F7-77793523D516}"/>
  <tableColumns count="29">
    <tableColumn id="1" xr3:uid="{46AA57D7-54B3-4613-9813-E0ACC9C411D6}" name="First Name"/>
    <tableColumn id="2" xr3:uid="{405ACE49-CE22-4930-8800-4F755C8F7D45}" name="Last Name"/>
    <tableColumn id="3" xr3:uid="{11026232-4DEE-4994-94C7-79898DFA0292}" name="Hourly Wage" dataDxfId="40"/>
    <tableColumn id="4" xr3:uid="{65821BB5-5FD5-43E7-802A-3A1477F742E8}" name="01-Jan" dataDxfId="39"/>
    <tableColumn id="5" xr3:uid="{68707BB6-9B0E-4821-B8CB-5919FB649FC9}" name="08-Jan" dataDxfId="38"/>
    <tableColumn id="6" xr3:uid="{F0B95BCC-4CD6-4C2C-A266-761E7B04E73C}" name="15-Jan" dataDxfId="37"/>
    <tableColumn id="7" xr3:uid="{932FDB46-1C2E-4B68-B3C4-C419CB532D0A}" name="22-Jan" dataDxfId="36"/>
    <tableColumn id="8" xr3:uid="{D76904A0-D00A-49CC-AF60-3CB6A8A29317}" name="29-Jan" dataDxfId="35"/>
    <tableColumn id="9" xr3:uid="{712BA18F-9B8D-40C7-B499-493A23C78965}" name="01-Jan2" dataDxfId="34">
      <calculatedColumnFormula>IF(D4&gt;40,D4-40,0)</calculatedColumnFormula>
    </tableColumn>
    <tableColumn id="10" xr3:uid="{CFF5B4BC-5C34-47D5-958B-3DFC4911183A}" name="08-Jan3" dataDxfId="33">
      <calculatedColumnFormula>IF(E4&gt;40,E4-40,0)</calculatedColumnFormula>
    </tableColumn>
    <tableColumn id="11" xr3:uid="{CEB16D5D-2E22-4ACA-ABFF-B37E031F5311}" name="15-Jan4" dataDxfId="32">
      <calculatedColumnFormula>IF(F4&gt;40,F4-40,0)</calculatedColumnFormula>
    </tableColumn>
    <tableColumn id="12" xr3:uid="{AE43DD50-BF1C-4CFB-BD46-73F62B7889F6}" name="22-Jan5" dataDxfId="31">
      <calculatedColumnFormula>IF(G4&gt;40,G4-40,0)</calculatedColumnFormula>
    </tableColumn>
    <tableColumn id="13" xr3:uid="{E51A7991-608A-47A1-B85A-37E95E34A993}" name="29-Jan6" dataDxfId="30">
      <calculatedColumnFormula>IF(H4&gt;40,H4-40,0)</calculatedColumnFormula>
    </tableColumn>
    <tableColumn id="14" xr3:uid="{B8E0A056-14B7-41C6-98B1-FC3676885921}" name="01-Jan7" dataDxfId="29">
      <calculatedColumnFormula>$C4*D4</calculatedColumnFormula>
    </tableColumn>
    <tableColumn id="15" xr3:uid="{945449EF-E0C2-4B80-89D0-2A6A0805FB14}" name="08-Jan8" dataDxfId="28">
      <calculatedColumnFormula>$C4*E4</calculatedColumnFormula>
    </tableColumn>
    <tableColumn id="16" xr3:uid="{427C61BF-7663-4DFE-BFDA-B391EE448AD0}" name="15-Jan9" dataDxfId="27">
      <calculatedColumnFormula>$C4*F4</calculatedColumnFormula>
    </tableColumn>
    <tableColumn id="17" xr3:uid="{536E8C68-E31E-4976-8924-E5F4149117B2}" name="22-Jan10" dataDxfId="26">
      <calculatedColumnFormula>$C4*G4</calculatedColumnFormula>
    </tableColumn>
    <tableColumn id="18" xr3:uid="{F7B8FA2A-53D9-4AA2-8D30-ABA89A3DFCD9}" name="29-Jan11" dataDxfId="25">
      <calculatedColumnFormula>$C4*H4</calculatedColumnFormula>
    </tableColumn>
    <tableColumn id="19" xr3:uid="{E0D6802B-F07C-4EB0-BE9E-97BB7B1D6108}" name="01-Jan12" dataDxfId="24">
      <calculatedColumnFormula>0.5*$C4*I4</calculatedColumnFormula>
    </tableColumn>
    <tableColumn id="20" xr3:uid="{C8452407-4BDE-4ACD-B7B9-8DBC9A30C4BD}" name="08-Jan13" dataDxfId="23">
      <calculatedColumnFormula>0.5*$C4*J4</calculatedColumnFormula>
    </tableColumn>
    <tableColumn id="21" xr3:uid="{FB25184D-CE37-4149-848A-16D2E0AC8206}" name="15-Jan14" dataDxfId="22">
      <calculatedColumnFormula>0.5*$C4*K4</calculatedColumnFormula>
    </tableColumn>
    <tableColumn id="22" xr3:uid="{2E1DAAA0-7F64-44BC-A46A-529EA7C71D4D}" name="22-Jan15" dataDxfId="21">
      <calculatedColumnFormula>0.5*$C4*L4</calculatedColumnFormula>
    </tableColumn>
    <tableColumn id="23" xr3:uid="{BD31CBB4-DB55-4F84-BE48-786130A57662}" name="29-Jan16" dataDxfId="20">
      <calculatedColumnFormula>0.5*$C4*M4</calculatedColumnFormula>
    </tableColumn>
    <tableColumn id="24" xr3:uid="{F61E3D73-37D8-4EA3-A24D-9741629C4243}" name="01-Jan17" dataDxfId="19">
      <calculatedColumnFormula>N4+S4</calculatedColumnFormula>
    </tableColumn>
    <tableColumn id="25" xr3:uid="{07255C0B-2667-4305-886A-373D74049C30}" name="08-Jan18" dataDxfId="18">
      <calculatedColumnFormula>O4+T4</calculatedColumnFormula>
    </tableColumn>
    <tableColumn id="26" xr3:uid="{408DD7BD-23A4-42DA-8FB4-BE97E1F8C8F3}" name="15-Jan19" dataDxfId="17">
      <calculatedColumnFormula>P4+U4</calculatedColumnFormula>
    </tableColumn>
    <tableColumn id="27" xr3:uid="{3C635D34-AC9F-460C-9735-083006ECA314}" name="22-Jan20" dataDxfId="16">
      <calculatedColumnFormula>Q4+V4</calculatedColumnFormula>
    </tableColumn>
    <tableColumn id="28" xr3:uid="{46D10152-FEA6-461A-9862-B847DD04C4C4}" name="29-Jan21" dataDxfId="15">
      <calculatedColumnFormula>R4+W4</calculatedColumnFormula>
    </tableColumn>
    <tableColumn id="29" xr3:uid="{CBB8016B-FDDB-4C5B-B426-B375FD4CF40A}" name="January Pay" dataDxfId="14">
      <calculatedColumnFormula>SUM(X4:AB4)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2E9CE-A206-41BA-82BC-7D610557D72B}" name="Table2" displayName="Table2" ref="A2:M21" totalsRowShown="0" headerRowDxfId="7">
  <autoFilter ref="A2:M21" xr:uid="{E302E9CE-A206-41BA-82BC-7D610557D72B}"/>
  <tableColumns count="13">
    <tableColumn id="1" xr3:uid="{99E1008E-07DF-4633-A118-11E81A19C641}" name="First Name" dataDxfId="13"/>
    <tableColumn id="2" xr3:uid="{95744027-9D4D-461F-8816-EF6036D164FE}" name="Last Name" dataDxfId="12"/>
    <tableColumn id="3" xr3:uid="{EE9CF6AB-F12F-427B-9CF0-B8B35AE82F28}" name="Safety Test"/>
    <tableColumn id="4" xr3:uid="{4472971D-6602-47FB-AC5B-B8EA32CC3DAE}" name="Company Philosophy Test"/>
    <tableColumn id="5" xr3:uid="{0142DD55-FD04-458A-A1A7-CCD878775C00}" name="Financial Skills Test"/>
    <tableColumn id="6" xr3:uid="{6BA07BCD-65C5-477F-B596-506FAB094B6C}" name="Drug Test"/>
    <tableColumn id="8" xr3:uid="{2DE6E61B-8BD6-413B-AAC8-C08CEE39B689}" name="Safety Test2" dataDxfId="11" dataCellStyle="Per cent">
      <calculatedColumnFormula>C3/$C$27</calculatedColumnFormula>
    </tableColumn>
    <tableColumn id="9" xr3:uid="{8A487909-39A3-42A2-91AF-1E75CFD631A3}" name="Company Philosophy Test3" dataDxfId="10" dataCellStyle="Per cent">
      <calculatedColumnFormula>D3/$D$27</calculatedColumnFormula>
    </tableColumn>
    <tableColumn id="10" xr3:uid="{B462C406-22A4-43DB-B0CF-E8176F7771AD}" name="Financial Skills Test4" dataDxfId="9" dataCellStyle="Per cent">
      <calculatedColumnFormula>E3/$E$27</calculatedColumnFormula>
    </tableColumn>
    <tableColumn id="11" xr3:uid="{80280B97-BB04-418C-A469-D22B2540D162}" name="Drug Test5" dataDxfId="8" dataCellStyle="Per cent">
      <calculatedColumnFormula>F3/$F$27</calculatedColumnFormula>
    </tableColumn>
    <tableColumn id="12" xr3:uid="{DA5F6A09-C223-47A3-89DC-6A5E1AFCDFA7}" name="Failed Modules">
      <calculatedColumnFormula>(IF(G3&lt;0.5,1,0))+(IF(H3&lt;0.5,1,0))+(IF(I3&lt;0.5,1,0))+(IF(J3&lt;0.5,1,0))</calculatedColumnFormula>
    </tableColumn>
    <tableColumn id="13" xr3:uid="{7BAD0770-18F9-4A79-813D-9B2B75C6E522}" name="Fire Employee (Any Module Failed)">
      <calculatedColumnFormula>OR(G3&lt;0.5,H3&lt;0.5,I3&lt;0.5,J3&lt;0.5)</calculatedColumnFormula>
    </tableColumn>
    <tableColumn id="14" xr3:uid="{463138A9-2400-47D8-BCE9-20960C930BA7}" name="Fire Employee(3&lt; or Drug Test Failed)">
      <calculatedColumnFormula>OR(K3&gt;2, J3=0)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CFAC84-2624-488E-A3DC-5D0EF0057219}" name="Table3" displayName="Table3" ref="A4:L26" totalsRowShown="0">
  <autoFilter ref="A4:L26" xr:uid="{95CFAC84-2624-488E-A3DC-5D0EF0057219}"/>
  <tableColumns count="12">
    <tableColumn id="1" xr3:uid="{D1890D0A-60EA-4956-BAC2-42ACCB0922D3}" name="Job"/>
    <tableColumn id="2" xr3:uid="{E34FFC49-D0A2-407C-B55E-915A95D8742C}" name="Pay"/>
    <tableColumn id="3" xr3:uid="{8BD247C6-9139-4322-88B6-CC2C7D1DA5C4}" name="3">
      <calculatedColumnFormula>$C$4+B5</calculatedColumnFormula>
    </tableColumn>
    <tableColumn id="4" xr3:uid="{ECCACF9F-40FE-4446-830D-6911968AA7A7}" name="Job Market"/>
    <tableColumn id="5" xr3:uid="{536C1AA8-942D-4105-822B-3809E4F169A0}" name="5">
      <calculatedColumnFormula>$E$4+D5</calculatedColumnFormula>
    </tableColumn>
    <tableColumn id="6" xr3:uid="{6760860A-3BF8-4C71-BD74-896D048834DE}" name="Enjoyment"/>
    <tableColumn id="7" xr3:uid="{ECAB2878-2F05-4C5B-B48E-AFECCCE90067}" name="4">
      <calculatedColumnFormula>$G$4+F5</calculatedColumnFormula>
    </tableColumn>
    <tableColumn id="8" xr3:uid="{9973EE69-2898-4833-8FFC-1F3447AC9629}" name="My Talent"/>
    <tableColumn id="9" xr3:uid="{A9DD4D8E-C688-4ACA-9F79-3E375917897A}" name="2">
      <calculatedColumnFormula>$I$4+H5</calculatedColumnFormula>
    </tableColumn>
    <tableColumn id="10" xr3:uid="{B4B26222-2726-4007-BD2E-F59232ACE4C7}" name="Schooling"/>
    <tableColumn id="11" xr3:uid="{9CEF0D85-A082-4BAD-A358-20B2F5DF070C}" name="1">
      <calculatedColumnFormula>$K$4+J5</calculatedColumnFormula>
    </tableColumn>
    <tableColumn id="12" xr3:uid="{87E29C66-461F-4674-8F1C-1A91B2991900}" name="Total">
      <calculatedColumnFormula>C5+E5+G5+I5+K5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8444-CCA8-4AC8-9D58-CC5B6D636414}">
  <dimension ref="A1:AC28"/>
  <sheetViews>
    <sheetView zoomScale="86" zoomScaleNormal="86" workbookViewId="0">
      <selection activeCell="C30" sqref="C30"/>
    </sheetView>
  </sheetViews>
  <sheetFormatPr defaultRowHeight="15" x14ac:dyDescent="0.25"/>
  <cols>
    <col min="1" max="1" width="12.42578125" customWidth="1"/>
    <col min="2" max="2" width="13.28515625" customWidth="1"/>
    <col min="3" max="3" width="14.42578125" customWidth="1"/>
    <col min="4" max="8" width="13.5703125" customWidth="1"/>
    <col min="9" max="13" width="14.7109375" customWidth="1"/>
    <col min="14" max="18" width="12.85546875" customWidth="1"/>
    <col min="19" max="23" width="16" customWidth="1"/>
    <col min="24" max="24" width="15.5703125" customWidth="1"/>
    <col min="25" max="25" width="13.7109375" customWidth="1"/>
    <col min="26" max="26" width="13" customWidth="1"/>
    <col min="27" max="27" width="13.28515625" customWidth="1"/>
    <col min="28" max="28" width="13.5703125" customWidth="1"/>
    <col min="29" max="29" width="12.7109375" customWidth="1"/>
  </cols>
  <sheetData>
    <row r="1" spans="1:29" x14ac:dyDescent="0.25">
      <c r="A1" t="s">
        <v>0</v>
      </c>
    </row>
    <row r="2" spans="1:29" x14ac:dyDescent="0.25">
      <c r="D2" t="s">
        <v>4</v>
      </c>
      <c r="I2" t="s">
        <v>49</v>
      </c>
      <c r="N2" t="s">
        <v>50</v>
      </c>
      <c r="S2" t="s">
        <v>49</v>
      </c>
      <c r="X2" t="s">
        <v>48</v>
      </c>
    </row>
    <row r="3" spans="1:29" x14ac:dyDescent="0.25">
      <c r="A3" t="s">
        <v>1</v>
      </c>
      <c r="B3" t="s">
        <v>2</v>
      </c>
      <c r="C3" t="s">
        <v>3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8" t="s">
        <v>57</v>
      </c>
      <c r="J3" s="8" t="s">
        <v>58</v>
      </c>
      <c r="K3" s="8" t="s">
        <v>59</v>
      </c>
      <c r="L3" s="8" t="s">
        <v>60</v>
      </c>
      <c r="M3" s="8" t="s">
        <v>61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10" t="s">
        <v>67</v>
      </c>
      <c r="T3" s="10" t="s">
        <v>68</v>
      </c>
      <c r="U3" s="10" t="s">
        <v>69</v>
      </c>
      <c r="V3" s="10" t="s">
        <v>70</v>
      </c>
      <c r="W3" s="10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12" t="s">
        <v>51</v>
      </c>
    </row>
    <row r="4" spans="1:29" x14ac:dyDescent="0.25">
      <c r="A4" t="s">
        <v>5</v>
      </c>
      <c r="B4" t="s">
        <v>6</v>
      </c>
      <c r="C4" s="1">
        <v>17.25</v>
      </c>
      <c r="D4" s="3">
        <v>38</v>
      </c>
      <c r="E4" s="3">
        <v>40</v>
      </c>
      <c r="F4" s="3">
        <v>36</v>
      </c>
      <c r="G4" s="3">
        <v>39</v>
      </c>
      <c r="H4" s="3">
        <v>38</v>
      </c>
      <c r="I4" s="9">
        <f>IF(D4&gt;40,D4-40,0)</f>
        <v>0</v>
      </c>
      <c r="J4" s="9">
        <f t="shared" ref="J4:M19" si="0">IF(E4&gt;40,E4-40,0)</f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7">
        <f>$C4*D4</f>
        <v>655.5</v>
      </c>
      <c r="O4" s="7">
        <f t="shared" ref="O4:R19" si="1">$C4*E4</f>
        <v>690</v>
      </c>
      <c r="P4" s="7">
        <f t="shared" si="1"/>
        <v>621</v>
      </c>
      <c r="Q4" s="7">
        <f t="shared" si="1"/>
        <v>672.75</v>
      </c>
      <c r="R4" s="7">
        <f t="shared" si="1"/>
        <v>655.5</v>
      </c>
      <c r="S4" s="11">
        <f>0.5*$C4*I4</f>
        <v>0</v>
      </c>
      <c r="T4" s="11">
        <f t="shared" ref="T4:W19" si="2">0.5*$C4*J4</f>
        <v>0</v>
      </c>
      <c r="U4" s="11">
        <f t="shared" si="2"/>
        <v>0</v>
      </c>
      <c r="V4" s="11">
        <f t="shared" si="2"/>
        <v>0</v>
      </c>
      <c r="W4" s="11">
        <f t="shared" si="2"/>
        <v>0</v>
      </c>
      <c r="X4" s="5">
        <f>N4+S4</f>
        <v>655.5</v>
      </c>
      <c r="Y4" s="5">
        <f>O4+T4</f>
        <v>690</v>
      </c>
      <c r="Z4" s="5">
        <f t="shared" ref="Z4:AB19" si="3">P4+U4</f>
        <v>621</v>
      </c>
      <c r="AA4" s="5">
        <f t="shared" si="3"/>
        <v>672.75</v>
      </c>
      <c r="AB4" s="5">
        <f t="shared" si="3"/>
        <v>655.5</v>
      </c>
      <c r="AC4" s="13">
        <f>SUM(X4:AB4)</f>
        <v>3294.75</v>
      </c>
    </row>
    <row r="5" spans="1:29" x14ac:dyDescent="0.25">
      <c r="A5" t="s">
        <v>7</v>
      </c>
      <c r="B5" t="s">
        <v>8</v>
      </c>
      <c r="C5" s="1">
        <v>19.8</v>
      </c>
      <c r="D5" s="3">
        <v>42</v>
      </c>
      <c r="E5" s="3">
        <v>41</v>
      </c>
      <c r="F5" s="3">
        <v>43</v>
      </c>
      <c r="G5" s="3">
        <v>40</v>
      </c>
      <c r="H5" s="3">
        <v>44</v>
      </c>
      <c r="I5" s="9">
        <f t="shared" ref="I5:M23" si="4">IF(D5&gt;40,D5-40,0)</f>
        <v>2</v>
      </c>
      <c r="J5" s="9">
        <f t="shared" si="0"/>
        <v>1</v>
      </c>
      <c r="K5" s="9">
        <f t="shared" si="0"/>
        <v>3</v>
      </c>
      <c r="L5" s="9">
        <f t="shared" si="0"/>
        <v>0</v>
      </c>
      <c r="M5" s="9">
        <f t="shared" si="0"/>
        <v>4</v>
      </c>
      <c r="N5" s="7">
        <f t="shared" ref="N5:R23" si="5">$C5*D5</f>
        <v>831.6</v>
      </c>
      <c r="O5" s="7">
        <f t="shared" si="1"/>
        <v>811.80000000000007</v>
      </c>
      <c r="P5" s="7">
        <f t="shared" si="1"/>
        <v>851.4</v>
      </c>
      <c r="Q5" s="7">
        <f t="shared" si="1"/>
        <v>792</v>
      </c>
      <c r="R5" s="7">
        <f t="shared" si="1"/>
        <v>871.2</v>
      </c>
      <c r="S5" s="11">
        <f>0.5*$C5*I5</f>
        <v>19.8</v>
      </c>
      <c r="T5" s="11">
        <f t="shared" si="2"/>
        <v>9.9</v>
      </c>
      <c r="U5" s="11">
        <f t="shared" si="2"/>
        <v>29.700000000000003</v>
      </c>
      <c r="V5" s="11">
        <f t="shared" si="2"/>
        <v>0</v>
      </c>
      <c r="W5" s="11">
        <f t="shared" si="2"/>
        <v>39.6</v>
      </c>
      <c r="X5" s="5">
        <f t="shared" ref="X5:AB23" si="6">N5+S5</f>
        <v>851.4</v>
      </c>
      <c r="Y5" s="5">
        <f t="shared" si="6"/>
        <v>821.7</v>
      </c>
      <c r="Z5" s="5">
        <f>P5+U5</f>
        <v>881.1</v>
      </c>
      <c r="AA5" s="5">
        <f t="shared" si="3"/>
        <v>792</v>
      </c>
      <c r="AB5" s="5">
        <f t="shared" si="3"/>
        <v>910.80000000000007</v>
      </c>
      <c r="AC5" s="13">
        <f t="shared" ref="AC5:AC23" si="7">SUM(X5:AB5)</f>
        <v>4257</v>
      </c>
    </row>
    <row r="6" spans="1:29" x14ac:dyDescent="0.25">
      <c r="A6" t="s">
        <v>9</v>
      </c>
      <c r="B6" t="s">
        <v>10</v>
      </c>
      <c r="C6" s="1">
        <v>15.5</v>
      </c>
      <c r="D6" s="3">
        <v>35</v>
      </c>
      <c r="E6" s="3">
        <v>34</v>
      </c>
      <c r="F6" s="3">
        <v>36</v>
      </c>
      <c r="G6" s="3">
        <v>35</v>
      </c>
      <c r="H6" s="3">
        <v>37</v>
      </c>
      <c r="I6" s="9">
        <f t="shared" si="4"/>
        <v>0</v>
      </c>
      <c r="J6" s="9">
        <f t="shared" si="0"/>
        <v>0</v>
      </c>
      <c r="K6" s="9">
        <f t="shared" si="0"/>
        <v>0</v>
      </c>
      <c r="L6" s="9">
        <f t="shared" si="0"/>
        <v>0</v>
      </c>
      <c r="M6" s="9">
        <f t="shared" si="0"/>
        <v>0</v>
      </c>
      <c r="N6" s="7">
        <f t="shared" si="5"/>
        <v>542.5</v>
      </c>
      <c r="O6" s="7">
        <f t="shared" si="1"/>
        <v>527</v>
      </c>
      <c r="P6" s="7">
        <f t="shared" si="1"/>
        <v>558</v>
      </c>
      <c r="Q6" s="7">
        <f t="shared" si="1"/>
        <v>542.5</v>
      </c>
      <c r="R6" s="7">
        <f t="shared" si="1"/>
        <v>573.5</v>
      </c>
      <c r="S6" s="11">
        <f t="shared" ref="S6:W23" si="8">0.5*$C6*I6</f>
        <v>0</v>
      </c>
      <c r="T6" s="11">
        <f t="shared" si="2"/>
        <v>0</v>
      </c>
      <c r="U6" s="11">
        <f t="shared" si="2"/>
        <v>0</v>
      </c>
      <c r="V6" s="11">
        <f t="shared" si="2"/>
        <v>0</v>
      </c>
      <c r="W6" s="11">
        <f t="shared" si="2"/>
        <v>0</v>
      </c>
      <c r="X6" s="5">
        <f t="shared" si="6"/>
        <v>542.5</v>
      </c>
      <c r="Y6" s="5">
        <f t="shared" si="6"/>
        <v>527</v>
      </c>
      <c r="Z6" s="5">
        <f>P6+U6</f>
        <v>558</v>
      </c>
      <c r="AA6" s="5">
        <f t="shared" si="3"/>
        <v>542.5</v>
      </c>
      <c r="AB6" s="5">
        <f t="shared" si="3"/>
        <v>573.5</v>
      </c>
      <c r="AC6" s="13">
        <f t="shared" si="7"/>
        <v>2743.5</v>
      </c>
    </row>
    <row r="7" spans="1:29" x14ac:dyDescent="0.25">
      <c r="A7" t="s">
        <v>11</v>
      </c>
      <c r="B7" t="s">
        <v>12</v>
      </c>
      <c r="C7" s="1">
        <v>18.75</v>
      </c>
      <c r="D7" s="3">
        <v>40</v>
      </c>
      <c r="E7" s="3">
        <v>40</v>
      </c>
      <c r="F7" s="3">
        <v>40</v>
      </c>
      <c r="G7" s="3">
        <v>41</v>
      </c>
      <c r="H7" s="3">
        <v>39</v>
      </c>
      <c r="I7" s="9">
        <f t="shared" si="4"/>
        <v>0</v>
      </c>
      <c r="J7" s="9">
        <f t="shared" si="0"/>
        <v>0</v>
      </c>
      <c r="K7" s="9">
        <f t="shared" si="0"/>
        <v>0</v>
      </c>
      <c r="L7" s="9">
        <f t="shared" si="0"/>
        <v>1</v>
      </c>
      <c r="M7" s="9">
        <f t="shared" si="0"/>
        <v>0</v>
      </c>
      <c r="N7" s="7">
        <f t="shared" si="5"/>
        <v>750</v>
      </c>
      <c r="O7" s="7">
        <f t="shared" si="1"/>
        <v>750</v>
      </c>
      <c r="P7" s="7">
        <f t="shared" si="1"/>
        <v>750</v>
      </c>
      <c r="Q7" s="7">
        <f t="shared" si="1"/>
        <v>768.75</v>
      </c>
      <c r="R7" s="7">
        <f t="shared" si="1"/>
        <v>731.25</v>
      </c>
      <c r="S7" s="11">
        <f t="shared" si="8"/>
        <v>0</v>
      </c>
      <c r="T7" s="11">
        <f t="shared" si="2"/>
        <v>0</v>
      </c>
      <c r="U7" s="11">
        <f t="shared" si="2"/>
        <v>0</v>
      </c>
      <c r="V7" s="11">
        <f t="shared" si="2"/>
        <v>9.375</v>
      </c>
      <c r="W7" s="11">
        <f t="shared" si="2"/>
        <v>0</v>
      </c>
      <c r="X7" s="5">
        <f t="shared" si="6"/>
        <v>750</v>
      </c>
      <c r="Y7" s="5">
        <f t="shared" si="6"/>
        <v>750</v>
      </c>
      <c r="Z7" s="5">
        <f t="shared" si="3"/>
        <v>750</v>
      </c>
      <c r="AA7" s="5">
        <f t="shared" si="3"/>
        <v>778.125</v>
      </c>
      <c r="AB7" s="5">
        <f t="shared" si="3"/>
        <v>731.25</v>
      </c>
      <c r="AC7" s="13">
        <f t="shared" si="7"/>
        <v>3759.375</v>
      </c>
    </row>
    <row r="8" spans="1:29" x14ac:dyDescent="0.25">
      <c r="A8" t="s">
        <v>13</v>
      </c>
      <c r="B8" t="s">
        <v>14</v>
      </c>
      <c r="C8" s="1">
        <v>16.3</v>
      </c>
      <c r="D8" s="3">
        <v>37</v>
      </c>
      <c r="E8" s="3">
        <v>38</v>
      </c>
      <c r="F8" s="3">
        <v>36</v>
      </c>
      <c r="G8" s="3">
        <v>37</v>
      </c>
      <c r="H8" s="3">
        <v>35</v>
      </c>
      <c r="I8" s="9">
        <f t="shared" si="4"/>
        <v>0</v>
      </c>
      <c r="J8" s="9">
        <f t="shared" si="0"/>
        <v>0</v>
      </c>
      <c r="K8" s="9">
        <f t="shared" si="0"/>
        <v>0</v>
      </c>
      <c r="L8" s="9">
        <f t="shared" si="0"/>
        <v>0</v>
      </c>
      <c r="M8" s="9">
        <f t="shared" si="0"/>
        <v>0</v>
      </c>
      <c r="N8" s="7">
        <f t="shared" si="5"/>
        <v>603.1</v>
      </c>
      <c r="O8" s="7">
        <f t="shared" si="1"/>
        <v>619.4</v>
      </c>
      <c r="P8" s="7">
        <f t="shared" si="1"/>
        <v>586.80000000000007</v>
      </c>
      <c r="Q8" s="7">
        <f t="shared" si="1"/>
        <v>603.1</v>
      </c>
      <c r="R8" s="7">
        <f t="shared" si="1"/>
        <v>570.5</v>
      </c>
      <c r="S8" s="11">
        <f t="shared" si="8"/>
        <v>0</v>
      </c>
      <c r="T8" s="11">
        <f t="shared" si="2"/>
        <v>0</v>
      </c>
      <c r="U8" s="11">
        <f t="shared" si="2"/>
        <v>0</v>
      </c>
      <c r="V8" s="11">
        <f t="shared" si="2"/>
        <v>0</v>
      </c>
      <c r="W8" s="11">
        <f t="shared" si="2"/>
        <v>0</v>
      </c>
      <c r="X8" s="5">
        <f t="shared" si="6"/>
        <v>603.1</v>
      </c>
      <c r="Y8" s="5">
        <f t="shared" si="6"/>
        <v>619.4</v>
      </c>
      <c r="Z8" s="5">
        <f t="shared" si="3"/>
        <v>586.80000000000007</v>
      </c>
      <c r="AA8" s="5">
        <f t="shared" si="3"/>
        <v>603.1</v>
      </c>
      <c r="AB8" s="5">
        <f t="shared" si="3"/>
        <v>570.5</v>
      </c>
      <c r="AC8" s="13">
        <f t="shared" si="7"/>
        <v>2982.9</v>
      </c>
    </row>
    <row r="9" spans="1:29" x14ac:dyDescent="0.25">
      <c r="A9" t="s">
        <v>15</v>
      </c>
      <c r="B9" t="s">
        <v>16</v>
      </c>
      <c r="C9" s="1">
        <v>20</v>
      </c>
      <c r="D9" s="3">
        <v>44</v>
      </c>
      <c r="E9" s="3">
        <v>45</v>
      </c>
      <c r="F9" s="3">
        <v>43</v>
      </c>
      <c r="G9" s="3">
        <v>42</v>
      </c>
      <c r="H9" s="3">
        <v>44</v>
      </c>
      <c r="I9" s="9">
        <f t="shared" si="4"/>
        <v>4</v>
      </c>
      <c r="J9" s="9">
        <f t="shared" si="0"/>
        <v>5</v>
      </c>
      <c r="K9" s="9">
        <f t="shared" si="0"/>
        <v>3</v>
      </c>
      <c r="L9" s="9">
        <f t="shared" si="0"/>
        <v>2</v>
      </c>
      <c r="M9" s="9">
        <f t="shared" si="0"/>
        <v>4</v>
      </c>
      <c r="N9" s="7">
        <f t="shared" si="5"/>
        <v>880</v>
      </c>
      <c r="O9" s="7">
        <f t="shared" si="1"/>
        <v>900</v>
      </c>
      <c r="P9" s="7">
        <f t="shared" si="1"/>
        <v>860</v>
      </c>
      <c r="Q9" s="7">
        <f t="shared" si="1"/>
        <v>840</v>
      </c>
      <c r="R9" s="7">
        <f t="shared" si="1"/>
        <v>880</v>
      </c>
      <c r="S9" s="11">
        <f t="shared" si="8"/>
        <v>40</v>
      </c>
      <c r="T9" s="11">
        <f t="shared" si="2"/>
        <v>50</v>
      </c>
      <c r="U9" s="11">
        <f t="shared" si="2"/>
        <v>30</v>
      </c>
      <c r="V9" s="11">
        <f t="shared" si="2"/>
        <v>20</v>
      </c>
      <c r="W9" s="11">
        <f t="shared" si="2"/>
        <v>40</v>
      </c>
      <c r="X9" s="5">
        <f t="shared" si="6"/>
        <v>920</v>
      </c>
      <c r="Y9" s="5">
        <f t="shared" si="6"/>
        <v>950</v>
      </c>
      <c r="Z9" s="5">
        <f t="shared" si="3"/>
        <v>890</v>
      </c>
      <c r="AA9" s="5">
        <f t="shared" si="3"/>
        <v>860</v>
      </c>
      <c r="AB9" s="5">
        <f t="shared" si="3"/>
        <v>920</v>
      </c>
      <c r="AC9" s="13">
        <f t="shared" si="7"/>
        <v>4540</v>
      </c>
    </row>
    <row r="10" spans="1:29" x14ac:dyDescent="0.25">
      <c r="A10" t="s">
        <v>17</v>
      </c>
      <c r="B10" t="s">
        <v>18</v>
      </c>
      <c r="C10" s="1">
        <v>15.95</v>
      </c>
      <c r="D10" s="3">
        <v>39</v>
      </c>
      <c r="E10" s="3">
        <v>38</v>
      </c>
      <c r="F10" s="3">
        <v>40</v>
      </c>
      <c r="G10" s="3">
        <v>37</v>
      </c>
      <c r="H10" s="3">
        <v>39</v>
      </c>
      <c r="I10" s="9">
        <f>IF(D10&gt;40,D10-40,0)</f>
        <v>0</v>
      </c>
      <c r="J10" s="9">
        <f t="shared" si="0"/>
        <v>0</v>
      </c>
      <c r="K10" s="9">
        <f t="shared" si="0"/>
        <v>0</v>
      </c>
      <c r="L10" s="9">
        <f t="shared" si="0"/>
        <v>0</v>
      </c>
      <c r="M10" s="9">
        <f t="shared" si="0"/>
        <v>0</v>
      </c>
      <c r="N10" s="7">
        <f t="shared" si="5"/>
        <v>622.04999999999995</v>
      </c>
      <c r="O10" s="7">
        <f t="shared" si="1"/>
        <v>606.1</v>
      </c>
      <c r="P10" s="7">
        <f t="shared" si="1"/>
        <v>638</v>
      </c>
      <c r="Q10" s="7">
        <f t="shared" si="1"/>
        <v>590.15</v>
      </c>
      <c r="R10" s="7">
        <f t="shared" si="1"/>
        <v>622.04999999999995</v>
      </c>
      <c r="S10" s="11">
        <f t="shared" si="8"/>
        <v>0</v>
      </c>
      <c r="T10" s="11">
        <f t="shared" si="2"/>
        <v>0</v>
      </c>
      <c r="U10" s="11">
        <f t="shared" si="2"/>
        <v>0</v>
      </c>
      <c r="V10" s="11">
        <f t="shared" si="2"/>
        <v>0</v>
      </c>
      <c r="W10" s="11">
        <f t="shared" si="2"/>
        <v>0</v>
      </c>
      <c r="X10" s="5">
        <f t="shared" si="6"/>
        <v>622.04999999999995</v>
      </c>
      <c r="Y10" s="5">
        <f t="shared" si="6"/>
        <v>606.1</v>
      </c>
      <c r="Z10" s="5">
        <f t="shared" si="3"/>
        <v>638</v>
      </c>
      <c r="AA10" s="5">
        <f t="shared" si="3"/>
        <v>590.15</v>
      </c>
      <c r="AB10" s="5">
        <f t="shared" si="3"/>
        <v>622.04999999999995</v>
      </c>
      <c r="AC10" s="13">
        <f t="shared" si="7"/>
        <v>3078.3500000000004</v>
      </c>
    </row>
    <row r="11" spans="1:29" x14ac:dyDescent="0.25">
      <c r="A11" t="s">
        <v>19</v>
      </c>
      <c r="B11" t="s">
        <v>20</v>
      </c>
      <c r="C11" s="1">
        <v>17.600000000000001</v>
      </c>
      <c r="D11" s="3">
        <v>41</v>
      </c>
      <c r="E11" s="3">
        <v>40</v>
      </c>
      <c r="F11" s="3">
        <v>42</v>
      </c>
      <c r="G11" s="3">
        <v>41</v>
      </c>
      <c r="H11" s="3">
        <v>40</v>
      </c>
      <c r="I11" s="9">
        <f t="shared" si="4"/>
        <v>1</v>
      </c>
      <c r="J11" s="9">
        <f t="shared" si="0"/>
        <v>0</v>
      </c>
      <c r="K11" s="9">
        <f t="shared" si="0"/>
        <v>2</v>
      </c>
      <c r="L11" s="9">
        <f t="shared" si="0"/>
        <v>1</v>
      </c>
      <c r="M11" s="9">
        <f t="shared" si="0"/>
        <v>0</v>
      </c>
      <c r="N11" s="7">
        <f t="shared" si="5"/>
        <v>721.6</v>
      </c>
      <c r="O11" s="7">
        <f t="shared" si="1"/>
        <v>704</v>
      </c>
      <c r="P11" s="7">
        <f t="shared" si="1"/>
        <v>739.2</v>
      </c>
      <c r="Q11" s="7">
        <f t="shared" si="1"/>
        <v>721.6</v>
      </c>
      <c r="R11" s="7">
        <f t="shared" si="1"/>
        <v>704</v>
      </c>
      <c r="S11" s="11">
        <f t="shared" si="8"/>
        <v>8.8000000000000007</v>
      </c>
      <c r="T11" s="11">
        <f t="shared" si="2"/>
        <v>0</v>
      </c>
      <c r="U11" s="11">
        <f t="shared" si="2"/>
        <v>17.600000000000001</v>
      </c>
      <c r="V11" s="11">
        <f t="shared" si="2"/>
        <v>8.8000000000000007</v>
      </c>
      <c r="W11" s="11">
        <f t="shared" si="2"/>
        <v>0</v>
      </c>
      <c r="X11" s="5">
        <f t="shared" si="6"/>
        <v>730.4</v>
      </c>
      <c r="Y11" s="5">
        <f t="shared" si="6"/>
        <v>704</v>
      </c>
      <c r="Z11" s="5">
        <f t="shared" si="3"/>
        <v>756.80000000000007</v>
      </c>
      <c r="AA11" s="5">
        <f t="shared" si="3"/>
        <v>730.4</v>
      </c>
      <c r="AB11" s="5">
        <f t="shared" si="3"/>
        <v>704</v>
      </c>
      <c r="AC11" s="13">
        <f t="shared" si="7"/>
        <v>3625.6000000000004</v>
      </c>
    </row>
    <row r="12" spans="1:29" x14ac:dyDescent="0.25">
      <c r="A12" t="s">
        <v>21</v>
      </c>
      <c r="B12" t="s">
        <v>22</v>
      </c>
      <c r="C12" s="1">
        <v>19.2</v>
      </c>
      <c r="D12" s="3">
        <v>36</v>
      </c>
      <c r="E12" s="3">
        <v>37</v>
      </c>
      <c r="F12" s="3">
        <v>35</v>
      </c>
      <c r="G12" s="3">
        <v>36</v>
      </c>
      <c r="H12" s="3">
        <v>38</v>
      </c>
      <c r="I12" s="9">
        <f t="shared" si="4"/>
        <v>0</v>
      </c>
      <c r="J12" s="9">
        <f t="shared" si="0"/>
        <v>0</v>
      </c>
      <c r="K12" s="9">
        <f t="shared" si="0"/>
        <v>0</v>
      </c>
      <c r="L12" s="9">
        <f t="shared" si="0"/>
        <v>0</v>
      </c>
      <c r="M12" s="9">
        <f t="shared" si="0"/>
        <v>0</v>
      </c>
      <c r="N12" s="7">
        <f t="shared" si="5"/>
        <v>691.19999999999993</v>
      </c>
      <c r="O12" s="7">
        <f t="shared" si="1"/>
        <v>710.4</v>
      </c>
      <c r="P12" s="7">
        <f t="shared" si="1"/>
        <v>672</v>
      </c>
      <c r="Q12" s="7">
        <f t="shared" si="1"/>
        <v>691.19999999999993</v>
      </c>
      <c r="R12" s="7">
        <f t="shared" si="1"/>
        <v>729.6</v>
      </c>
      <c r="S12" s="11">
        <f t="shared" si="8"/>
        <v>0</v>
      </c>
      <c r="T12" s="11">
        <f t="shared" si="2"/>
        <v>0</v>
      </c>
      <c r="U12" s="11">
        <f t="shared" si="2"/>
        <v>0</v>
      </c>
      <c r="V12" s="11">
        <f t="shared" si="2"/>
        <v>0</v>
      </c>
      <c r="W12" s="11">
        <f t="shared" si="2"/>
        <v>0</v>
      </c>
      <c r="X12" s="5">
        <f t="shared" si="6"/>
        <v>691.19999999999993</v>
      </c>
      <c r="Y12" s="5">
        <f t="shared" si="6"/>
        <v>710.4</v>
      </c>
      <c r="Z12" s="5">
        <f t="shared" si="3"/>
        <v>672</v>
      </c>
      <c r="AA12" s="5">
        <f t="shared" si="3"/>
        <v>691.19999999999993</v>
      </c>
      <c r="AB12" s="5">
        <f t="shared" si="3"/>
        <v>729.6</v>
      </c>
      <c r="AC12" s="13">
        <f t="shared" si="7"/>
        <v>3494.3999999999996</v>
      </c>
    </row>
    <row r="13" spans="1:29" x14ac:dyDescent="0.25">
      <c r="A13" t="s">
        <v>23</v>
      </c>
      <c r="B13" t="s">
        <v>24</v>
      </c>
      <c r="C13" s="1">
        <v>16.850000000000001</v>
      </c>
      <c r="D13" s="3">
        <v>40</v>
      </c>
      <c r="E13" s="3">
        <v>40</v>
      </c>
      <c r="F13" s="3">
        <v>40</v>
      </c>
      <c r="G13" s="3">
        <v>40</v>
      </c>
      <c r="H13" s="3">
        <v>40</v>
      </c>
      <c r="I13" s="9">
        <f t="shared" si="4"/>
        <v>0</v>
      </c>
      <c r="J13" s="9">
        <f t="shared" si="0"/>
        <v>0</v>
      </c>
      <c r="K13" s="9">
        <f t="shared" si="0"/>
        <v>0</v>
      </c>
      <c r="L13" s="9">
        <f t="shared" si="0"/>
        <v>0</v>
      </c>
      <c r="M13" s="9">
        <f t="shared" si="0"/>
        <v>0</v>
      </c>
      <c r="N13" s="7">
        <f t="shared" si="5"/>
        <v>674</v>
      </c>
      <c r="O13" s="7">
        <f t="shared" si="1"/>
        <v>674</v>
      </c>
      <c r="P13" s="7">
        <f t="shared" si="1"/>
        <v>674</v>
      </c>
      <c r="Q13" s="7">
        <f t="shared" si="1"/>
        <v>674</v>
      </c>
      <c r="R13" s="7">
        <f t="shared" si="1"/>
        <v>674</v>
      </c>
      <c r="S13" s="11">
        <f t="shared" si="8"/>
        <v>0</v>
      </c>
      <c r="T13" s="11">
        <f t="shared" si="2"/>
        <v>0</v>
      </c>
      <c r="U13" s="11">
        <f t="shared" si="2"/>
        <v>0</v>
      </c>
      <c r="V13" s="11">
        <f t="shared" si="2"/>
        <v>0</v>
      </c>
      <c r="W13" s="11">
        <f t="shared" si="2"/>
        <v>0</v>
      </c>
      <c r="X13" s="5">
        <f t="shared" si="6"/>
        <v>674</v>
      </c>
      <c r="Y13" s="5">
        <f t="shared" si="6"/>
        <v>674</v>
      </c>
      <c r="Z13" s="5">
        <f t="shared" si="3"/>
        <v>674</v>
      </c>
      <c r="AA13" s="5">
        <f t="shared" si="3"/>
        <v>674</v>
      </c>
      <c r="AB13" s="5">
        <f t="shared" si="3"/>
        <v>674</v>
      </c>
      <c r="AC13" s="13">
        <f t="shared" si="7"/>
        <v>3370</v>
      </c>
    </row>
    <row r="14" spans="1:29" x14ac:dyDescent="0.25">
      <c r="A14" t="s">
        <v>25</v>
      </c>
      <c r="B14" t="s">
        <v>26</v>
      </c>
      <c r="C14" s="1">
        <v>18.100000000000001</v>
      </c>
      <c r="D14" s="3">
        <v>38</v>
      </c>
      <c r="E14" s="3">
        <v>37</v>
      </c>
      <c r="F14" s="3">
        <v>39</v>
      </c>
      <c r="G14" s="3">
        <v>38</v>
      </c>
      <c r="H14" s="3">
        <v>37</v>
      </c>
      <c r="I14" s="9">
        <f t="shared" si="4"/>
        <v>0</v>
      </c>
      <c r="J14" s="9">
        <f t="shared" si="0"/>
        <v>0</v>
      </c>
      <c r="K14" s="9">
        <f t="shared" si="0"/>
        <v>0</v>
      </c>
      <c r="L14" s="9">
        <f t="shared" si="0"/>
        <v>0</v>
      </c>
      <c r="M14" s="9">
        <f t="shared" si="0"/>
        <v>0</v>
      </c>
      <c r="N14" s="7">
        <f t="shared" si="5"/>
        <v>687.80000000000007</v>
      </c>
      <c r="O14" s="7">
        <f t="shared" si="1"/>
        <v>669.7</v>
      </c>
      <c r="P14" s="7">
        <f t="shared" si="1"/>
        <v>705.90000000000009</v>
      </c>
      <c r="Q14" s="7">
        <f t="shared" si="1"/>
        <v>687.80000000000007</v>
      </c>
      <c r="R14" s="7">
        <f t="shared" si="1"/>
        <v>669.7</v>
      </c>
      <c r="S14" s="11">
        <f t="shared" si="8"/>
        <v>0</v>
      </c>
      <c r="T14" s="11">
        <f t="shared" si="2"/>
        <v>0</v>
      </c>
      <c r="U14" s="11">
        <f t="shared" si="2"/>
        <v>0</v>
      </c>
      <c r="V14" s="11">
        <f t="shared" si="2"/>
        <v>0</v>
      </c>
      <c r="W14" s="11">
        <f t="shared" si="2"/>
        <v>0</v>
      </c>
      <c r="X14" s="5">
        <f t="shared" si="6"/>
        <v>687.80000000000007</v>
      </c>
      <c r="Y14" s="5">
        <f t="shared" si="6"/>
        <v>669.7</v>
      </c>
      <c r="Z14" s="5">
        <f t="shared" si="3"/>
        <v>705.90000000000009</v>
      </c>
      <c r="AA14" s="5">
        <f t="shared" si="3"/>
        <v>687.80000000000007</v>
      </c>
      <c r="AB14" s="5">
        <f t="shared" si="3"/>
        <v>669.7</v>
      </c>
      <c r="AC14" s="13">
        <f t="shared" si="7"/>
        <v>3420.9000000000005</v>
      </c>
    </row>
    <row r="15" spans="1:29" x14ac:dyDescent="0.25">
      <c r="A15" t="s">
        <v>27</v>
      </c>
      <c r="B15" t="s">
        <v>28</v>
      </c>
      <c r="C15" s="1">
        <v>19.45</v>
      </c>
      <c r="D15" s="3">
        <v>43</v>
      </c>
      <c r="E15" s="3">
        <v>42</v>
      </c>
      <c r="F15" s="3">
        <v>44</v>
      </c>
      <c r="G15" s="3">
        <v>43</v>
      </c>
      <c r="H15" s="3">
        <v>41</v>
      </c>
      <c r="I15" s="9">
        <f t="shared" si="4"/>
        <v>3</v>
      </c>
      <c r="J15" s="9">
        <f t="shared" si="0"/>
        <v>2</v>
      </c>
      <c r="K15" s="9">
        <f t="shared" si="0"/>
        <v>4</v>
      </c>
      <c r="L15" s="9">
        <f t="shared" si="0"/>
        <v>3</v>
      </c>
      <c r="M15" s="9">
        <f t="shared" si="0"/>
        <v>1</v>
      </c>
      <c r="N15" s="7">
        <f t="shared" si="5"/>
        <v>836.35</v>
      </c>
      <c r="O15" s="7">
        <f t="shared" si="1"/>
        <v>816.9</v>
      </c>
      <c r="P15" s="7">
        <f t="shared" si="1"/>
        <v>855.8</v>
      </c>
      <c r="Q15" s="7">
        <f t="shared" si="1"/>
        <v>836.35</v>
      </c>
      <c r="R15" s="7">
        <f t="shared" si="1"/>
        <v>797.44999999999993</v>
      </c>
      <c r="S15" s="11">
        <f t="shared" si="8"/>
        <v>29.174999999999997</v>
      </c>
      <c r="T15" s="11">
        <f t="shared" si="2"/>
        <v>19.45</v>
      </c>
      <c r="U15" s="11">
        <f t="shared" si="2"/>
        <v>38.9</v>
      </c>
      <c r="V15" s="11">
        <f t="shared" si="2"/>
        <v>29.174999999999997</v>
      </c>
      <c r="W15" s="11">
        <f t="shared" si="2"/>
        <v>9.7249999999999996</v>
      </c>
      <c r="X15" s="5">
        <f t="shared" si="6"/>
        <v>865.52499999999998</v>
      </c>
      <c r="Y15" s="5">
        <f t="shared" si="6"/>
        <v>836.35</v>
      </c>
      <c r="Z15" s="5">
        <f t="shared" si="3"/>
        <v>894.69999999999993</v>
      </c>
      <c r="AA15" s="5">
        <f t="shared" si="3"/>
        <v>865.52499999999998</v>
      </c>
      <c r="AB15" s="5">
        <f t="shared" si="3"/>
        <v>807.17499999999995</v>
      </c>
      <c r="AC15" s="13">
        <f t="shared" si="7"/>
        <v>4269.2749999999996</v>
      </c>
    </row>
    <row r="16" spans="1:29" x14ac:dyDescent="0.25">
      <c r="A16" t="s">
        <v>29</v>
      </c>
      <c r="B16" t="s">
        <v>30</v>
      </c>
      <c r="C16" s="1">
        <v>15.75</v>
      </c>
      <c r="D16" s="3">
        <v>34</v>
      </c>
      <c r="E16" s="3">
        <v>35</v>
      </c>
      <c r="F16" s="3">
        <v>33</v>
      </c>
      <c r="G16" s="3">
        <v>34</v>
      </c>
      <c r="H16" s="3">
        <v>36</v>
      </c>
      <c r="I16" s="9">
        <f t="shared" si="4"/>
        <v>0</v>
      </c>
      <c r="J16" s="9">
        <f t="shared" si="0"/>
        <v>0</v>
      </c>
      <c r="K16" s="9">
        <f t="shared" si="0"/>
        <v>0</v>
      </c>
      <c r="L16" s="9">
        <f t="shared" si="0"/>
        <v>0</v>
      </c>
      <c r="M16" s="9">
        <f t="shared" si="0"/>
        <v>0</v>
      </c>
      <c r="N16" s="7">
        <f t="shared" si="5"/>
        <v>535.5</v>
      </c>
      <c r="O16" s="7">
        <f t="shared" si="1"/>
        <v>551.25</v>
      </c>
      <c r="P16" s="7">
        <f t="shared" si="1"/>
        <v>519.75</v>
      </c>
      <c r="Q16" s="7">
        <f t="shared" si="1"/>
        <v>535.5</v>
      </c>
      <c r="R16" s="7">
        <f t="shared" si="1"/>
        <v>567</v>
      </c>
      <c r="S16" s="11">
        <f t="shared" si="8"/>
        <v>0</v>
      </c>
      <c r="T16" s="11">
        <f t="shared" si="2"/>
        <v>0</v>
      </c>
      <c r="U16" s="11">
        <f t="shared" si="2"/>
        <v>0</v>
      </c>
      <c r="V16" s="11">
        <f t="shared" si="2"/>
        <v>0</v>
      </c>
      <c r="W16" s="11">
        <f t="shared" si="2"/>
        <v>0</v>
      </c>
      <c r="X16" s="5">
        <f t="shared" si="6"/>
        <v>535.5</v>
      </c>
      <c r="Y16" s="5">
        <f t="shared" si="6"/>
        <v>551.25</v>
      </c>
      <c r="Z16" s="5">
        <f t="shared" si="3"/>
        <v>519.75</v>
      </c>
      <c r="AA16" s="5">
        <f t="shared" si="3"/>
        <v>535.5</v>
      </c>
      <c r="AB16" s="5">
        <f t="shared" si="3"/>
        <v>567</v>
      </c>
      <c r="AC16" s="13">
        <f t="shared" si="7"/>
        <v>2709</v>
      </c>
    </row>
    <row r="17" spans="1:29" x14ac:dyDescent="0.25">
      <c r="A17" t="s">
        <v>31</v>
      </c>
      <c r="B17" t="s">
        <v>32</v>
      </c>
      <c r="C17" s="1">
        <v>16.95</v>
      </c>
      <c r="D17" s="3">
        <v>40</v>
      </c>
      <c r="E17" s="3">
        <v>39</v>
      </c>
      <c r="F17" s="3">
        <v>41</v>
      </c>
      <c r="G17" s="3">
        <v>40</v>
      </c>
      <c r="H17" s="3">
        <v>40</v>
      </c>
      <c r="I17" s="9">
        <f t="shared" si="4"/>
        <v>0</v>
      </c>
      <c r="J17" s="9">
        <f t="shared" si="0"/>
        <v>0</v>
      </c>
      <c r="K17" s="9">
        <f t="shared" si="0"/>
        <v>1</v>
      </c>
      <c r="L17" s="9">
        <f t="shared" si="0"/>
        <v>0</v>
      </c>
      <c r="M17" s="9">
        <f t="shared" si="0"/>
        <v>0</v>
      </c>
      <c r="N17" s="7">
        <f t="shared" si="5"/>
        <v>678</v>
      </c>
      <c r="O17" s="7">
        <f t="shared" si="1"/>
        <v>661.05</v>
      </c>
      <c r="P17" s="7">
        <f t="shared" si="1"/>
        <v>694.94999999999993</v>
      </c>
      <c r="Q17" s="7">
        <f t="shared" si="1"/>
        <v>678</v>
      </c>
      <c r="R17" s="7">
        <f t="shared" si="1"/>
        <v>678</v>
      </c>
      <c r="S17" s="11">
        <f t="shared" si="8"/>
        <v>0</v>
      </c>
      <c r="T17" s="11">
        <f t="shared" si="2"/>
        <v>0</v>
      </c>
      <c r="U17" s="11">
        <f t="shared" si="2"/>
        <v>8.4749999999999996</v>
      </c>
      <c r="V17" s="11">
        <f t="shared" si="2"/>
        <v>0</v>
      </c>
      <c r="W17" s="11">
        <f t="shared" si="2"/>
        <v>0</v>
      </c>
      <c r="X17" s="5">
        <f t="shared" si="6"/>
        <v>678</v>
      </c>
      <c r="Y17" s="5">
        <f t="shared" si="6"/>
        <v>661.05</v>
      </c>
      <c r="Z17" s="5">
        <f t="shared" si="3"/>
        <v>703.42499999999995</v>
      </c>
      <c r="AA17" s="5">
        <f t="shared" si="3"/>
        <v>678</v>
      </c>
      <c r="AB17" s="5">
        <f t="shared" si="3"/>
        <v>678</v>
      </c>
      <c r="AC17" s="13">
        <f t="shared" si="7"/>
        <v>3398.4749999999999</v>
      </c>
    </row>
    <row r="18" spans="1:29" x14ac:dyDescent="0.25">
      <c r="A18" t="s">
        <v>33</v>
      </c>
      <c r="B18" t="s">
        <v>34</v>
      </c>
      <c r="C18" s="1">
        <v>17.899999999999999</v>
      </c>
      <c r="D18" s="3">
        <v>39</v>
      </c>
      <c r="E18" s="3">
        <v>38</v>
      </c>
      <c r="F18" s="3">
        <v>40</v>
      </c>
      <c r="G18" s="3">
        <v>39</v>
      </c>
      <c r="H18" s="3">
        <v>38</v>
      </c>
      <c r="I18" s="9">
        <f t="shared" si="4"/>
        <v>0</v>
      </c>
      <c r="J18" s="9">
        <f t="shared" si="0"/>
        <v>0</v>
      </c>
      <c r="K18" s="9">
        <f t="shared" si="0"/>
        <v>0</v>
      </c>
      <c r="L18" s="9">
        <f t="shared" si="0"/>
        <v>0</v>
      </c>
      <c r="M18" s="9">
        <f t="shared" si="0"/>
        <v>0</v>
      </c>
      <c r="N18" s="7">
        <f t="shared" si="5"/>
        <v>698.09999999999991</v>
      </c>
      <c r="O18" s="7">
        <f t="shared" si="1"/>
        <v>680.19999999999993</v>
      </c>
      <c r="P18" s="7">
        <f t="shared" si="1"/>
        <v>716</v>
      </c>
      <c r="Q18" s="7">
        <f t="shared" si="1"/>
        <v>698.09999999999991</v>
      </c>
      <c r="R18" s="7">
        <f t="shared" si="1"/>
        <v>680.19999999999993</v>
      </c>
      <c r="S18" s="11">
        <f t="shared" si="8"/>
        <v>0</v>
      </c>
      <c r="T18" s="11">
        <f t="shared" si="2"/>
        <v>0</v>
      </c>
      <c r="U18" s="11">
        <f t="shared" si="2"/>
        <v>0</v>
      </c>
      <c r="V18" s="11">
        <f t="shared" si="2"/>
        <v>0</v>
      </c>
      <c r="W18" s="11">
        <f t="shared" si="2"/>
        <v>0</v>
      </c>
      <c r="X18" s="5">
        <f t="shared" si="6"/>
        <v>698.09999999999991</v>
      </c>
      <c r="Y18" s="5">
        <f t="shared" si="6"/>
        <v>680.19999999999993</v>
      </c>
      <c r="Z18" s="5">
        <f t="shared" si="3"/>
        <v>716</v>
      </c>
      <c r="AA18" s="5">
        <f t="shared" si="3"/>
        <v>698.09999999999991</v>
      </c>
      <c r="AB18" s="5">
        <f t="shared" si="3"/>
        <v>680.19999999999993</v>
      </c>
      <c r="AC18" s="13">
        <f t="shared" si="7"/>
        <v>3472.5999999999995</v>
      </c>
    </row>
    <row r="19" spans="1:29" x14ac:dyDescent="0.25">
      <c r="A19" t="s">
        <v>35</v>
      </c>
      <c r="B19" t="s">
        <v>36</v>
      </c>
      <c r="C19" s="1">
        <v>18.5</v>
      </c>
      <c r="D19" s="3">
        <v>45</v>
      </c>
      <c r="E19" s="3">
        <v>44</v>
      </c>
      <c r="F19" s="3">
        <v>46</v>
      </c>
      <c r="G19" s="3">
        <v>45</v>
      </c>
      <c r="H19" s="3">
        <v>43</v>
      </c>
      <c r="I19" s="9">
        <f t="shared" si="4"/>
        <v>5</v>
      </c>
      <c r="J19" s="9">
        <f t="shared" si="0"/>
        <v>4</v>
      </c>
      <c r="K19" s="9">
        <f t="shared" si="0"/>
        <v>6</v>
      </c>
      <c r="L19" s="9">
        <f t="shared" si="0"/>
        <v>5</v>
      </c>
      <c r="M19" s="9">
        <f t="shared" si="0"/>
        <v>3</v>
      </c>
      <c r="N19" s="7">
        <f t="shared" si="5"/>
        <v>832.5</v>
      </c>
      <c r="O19" s="7">
        <f t="shared" si="1"/>
        <v>814</v>
      </c>
      <c r="P19" s="7">
        <f t="shared" si="1"/>
        <v>851</v>
      </c>
      <c r="Q19" s="7">
        <f t="shared" si="1"/>
        <v>832.5</v>
      </c>
      <c r="R19" s="7">
        <f t="shared" si="1"/>
        <v>795.5</v>
      </c>
      <c r="S19" s="11">
        <f t="shared" si="8"/>
        <v>46.25</v>
      </c>
      <c r="T19" s="11">
        <f t="shared" si="2"/>
        <v>37</v>
      </c>
      <c r="U19" s="11">
        <f t="shared" si="2"/>
        <v>55.5</v>
      </c>
      <c r="V19" s="11">
        <f t="shared" si="2"/>
        <v>46.25</v>
      </c>
      <c r="W19" s="11">
        <f t="shared" si="2"/>
        <v>27.75</v>
      </c>
      <c r="X19" s="5">
        <f t="shared" si="6"/>
        <v>878.75</v>
      </c>
      <c r="Y19" s="5">
        <f t="shared" si="6"/>
        <v>851</v>
      </c>
      <c r="Z19" s="5">
        <f t="shared" si="3"/>
        <v>906.5</v>
      </c>
      <c r="AA19" s="5">
        <f t="shared" si="3"/>
        <v>878.75</v>
      </c>
      <c r="AB19" s="5">
        <f t="shared" si="3"/>
        <v>823.25</v>
      </c>
      <c r="AC19" s="13">
        <f t="shared" si="7"/>
        <v>4338.25</v>
      </c>
    </row>
    <row r="20" spans="1:29" x14ac:dyDescent="0.25">
      <c r="A20" t="s">
        <v>37</v>
      </c>
      <c r="B20" t="s">
        <v>38</v>
      </c>
      <c r="C20" s="1">
        <v>19.100000000000001</v>
      </c>
      <c r="D20" s="3">
        <v>37</v>
      </c>
      <c r="E20" s="3">
        <v>36</v>
      </c>
      <c r="F20" s="3">
        <v>38</v>
      </c>
      <c r="G20" s="3">
        <v>37</v>
      </c>
      <c r="H20" s="3">
        <v>36</v>
      </c>
      <c r="I20" s="9">
        <f t="shared" si="4"/>
        <v>0</v>
      </c>
      <c r="J20" s="9">
        <f t="shared" si="4"/>
        <v>0</v>
      </c>
      <c r="K20" s="9">
        <f t="shared" si="4"/>
        <v>0</v>
      </c>
      <c r="L20" s="9">
        <f t="shared" si="4"/>
        <v>0</v>
      </c>
      <c r="M20" s="9">
        <f t="shared" si="4"/>
        <v>0</v>
      </c>
      <c r="N20" s="7">
        <f t="shared" si="5"/>
        <v>706.7</v>
      </c>
      <c r="O20" s="7">
        <f t="shared" si="5"/>
        <v>687.6</v>
      </c>
      <c r="P20" s="7">
        <f t="shared" si="5"/>
        <v>725.80000000000007</v>
      </c>
      <c r="Q20" s="7">
        <f t="shared" si="5"/>
        <v>706.7</v>
      </c>
      <c r="R20" s="7">
        <f t="shared" si="5"/>
        <v>687.6</v>
      </c>
      <c r="S20" s="11">
        <f t="shared" si="8"/>
        <v>0</v>
      </c>
      <c r="T20" s="11">
        <f t="shared" si="8"/>
        <v>0</v>
      </c>
      <c r="U20" s="11">
        <f t="shared" si="8"/>
        <v>0</v>
      </c>
      <c r="V20" s="11">
        <f t="shared" si="8"/>
        <v>0</v>
      </c>
      <c r="W20" s="11">
        <f t="shared" si="8"/>
        <v>0</v>
      </c>
      <c r="X20" s="5">
        <f t="shared" si="6"/>
        <v>706.7</v>
      </c>
      <c r="Y20" s="5">
        <f t="shared" si="6"/>
        <v>687.6</v>
      </c>
      <c r="Z20" s="5">
        <f t="shared" si="6"/>
        <v>725.80000000000007</v>
      </c>
      <c r="AA20" s="5">
        <f t="shared" si="6"/>
        <v>706.7</v>
      </c>
      <c r="AB20" s="5">
        <f t="shared" si="6"/>
        <v>687.6</v>
      </c>
      <c r="AC20" s="13">
        <f t="shared" si="7"/>
        <v>3514.4</v>
      </c>
    </row>
    <row r="21" spans="1:29" x14ac:dyDescent="0.25">
      <c r="A21" t="s">
        <v>39</v>
      </c>
      <c r="B21" t="s">
        <v>40</v>
      </c>
      <c r="C21" s="1">
        <v>15.65</v>
      </c>
      <c r="D21" s="3">
        <v>36</v>
      </c>
      <c r="E21" s="3">
        <v>35</v>
      </c>
      <c r="F21" s="3">
        <v>37</v>
      </c>
      <c r="G21" s="3">
        <v>36</v>
      </c>
      <c r="H21" s="3">
        <v>34</v>
      </c>
      <c r="I21" s="9">
        <f t="shared" si="4"/>
        <v>0</v>
      </c>
      <c r="J21" s="9">
        <f t="shared" si="4"/>
        <v>0</v>
      </c>
      <c r="K21" s="9">
        <f t="shared" si="4"/>
        <v>0</v>
      </c>
      <c r="L21" s="9">
        <f t="shared" si="4"/>
        <v>0</v>
      </c>
      <c r="M21" s="9">
        <f t="shared" si="4"/>
        <v>0</v>
      </c>
      <c r="N21" s="7">
        <f t="shared" si="5"/>
        <v>563.4</v>
      </c>
      <c r="O21" s="7">
        <f t="shared" si="5"/>
        <v>547.75</v>
      </c>
      <c r="P21" s="7">
        <f t="shared" si="5"/>
        <v>579.05000000000007</v>
      </c>
      <c r="Q21" s="7">
        <f t="shared" si="5"/>
        <v>563.4</v>
      </c>
      <c r="R21" s="7">
        <f t="shared" si="5"/>
        <v>532.1</v>
      </c>
      <c r="S21" s="11">
        <f t="shared" si="8"/>
        <v>0</v>
      </c>
      <c r="T21" s="11">
        <f t="shared" si="8"/>
        <v>0</v>
      </c>
      <c r="U21" s="11">
        <f t="shared" si="8"/>
        <v>0</v>
      </c>
      <c r="V21" s="11">
        <f t="shared" si="8"/>
        <v>0</v>
      </c>
      <c r="W21" s="11">
        <f t="shared" si="8"/>
        <v>0</v>
      </c>
      <c r="X21" s="5">
        <f t="shared" si="6"/>
        <v>563.4</v>
      </c>
      <c r="Y21" s="5">
        <f t="shared" si="6"/>
        <v>547.75</v>
      </c>
      <c r="Z21" s="5">
        <f t="shared" si="6"/>
        <v>579.05000000000007</v>
      </c>
      <c r="AA21" s="5">
        <f t="shared" si="6"/>
        <v>563.4</v>
      </c>
      <c r="AB21" s="5">
        <f t="shared" si="6"/>
        <v>532.1</v>
      </c>
      <c r="AC21" s="13">
        <f t="shared" si="7"/>
        <v>2785.7000000000003</v>
      </c>
    </row>
    <row r="22" spans="1:29" x14ac:dyDescent="0.25">
      <c r="A22" t="s">
        <v>41</v>
      </c>
      <c r="B22" t="s">
        <v>42</v>
      </c>
      <c r="C22" s="1">
        <v>20</v>
      </c>
      <c r="D22" s="3">
        <v>42</v>
      </c>
      <c r="E22" s="3">
        <v>43</v>
      </c>
      <c r="F22" s="3">
        <v>41</v>
      </c>
      <c r="G22" s="3">
        <v>42</v>
      </c>
      <c r="H22" s="3">
        <v>44</v>
      </c>
      <c r="I22" s="9">
        <f t="shared" si="4"/>
        <v>2</v>
      </c>
      <c r="J22" s="9">
        <f t="shared" si="4"/>
        <v>3</v>
      </c>
      <c r="K22" s="9">
        <f t="shared" si="4"/>
        <v>1</v>
      </c>
      <c r="L22" s="9">
        <f t="shared" si="4"/>
        <v>2</v>
      </c>
      <c r="M22" s="9">
        <f t="shared" si="4"/>
        <v>4</v>
      </c>
      <c r="N22" s="7">
        <f t="shared" si="5"/>
        <v>840</v>
      </c>
      <c r="O22" s="7">
        <f t="shared" si="5"/>
        <v>860</v>
      </c>
      <c r="P22" s="7">
        <f t="shared" si="5"/>
        <v>820</v>
      </c>
      <c r="Q22" s="7">
        <f t="shared" si="5"/>
        <v>840</v>
      </c>
      <c r="R22" s="7">
        <f t="shared" si="5"/>
        <v>880</v>
      </c>
      <c r="S22" s="11">
        <f t="shared" si="8"/>
        <v>20</v>
      </c>
      <c r="T22" s="11">
        <f t="shared" si="8"/>
        <v>30</v>
      </c>
      <c r="U22" s="11">
        <f t="shared" si="8"/>
        <v>10</v>
      </c>
      <c r="V22" s="11">
        <f t="shared" si="8"/>
        <v>20</v>
      </c>
      <c r="W22" s="11">
        <f t="shared" si="8"/>
        <v>40</v>
      </c>
      <c r="X22" s="5">
        <f t="shared" si="6"/>
        <v>860</v>
      </c>
      <c r="Y22" s="5">
        <f t="shared" si="6"/>
        <v>890</v>
      </c>
      <c r="Z22" s="5">
        <f t="shared" si="6"/>
        <v>830</v>
      </c>
      <c r="AA22" s="5">
        <f t="shared" si="6"/>
        <v>860</v>
      </c>
      <c r="AB22" s="5">
        <f t="shared" si="6"/>
        <v>920</v>
      </c>
      <c r="AC22" s="13">
        <f t="shared" si="7"/>
        <v>4360</v>
      </c>
    </row>
    <row r="23" spans="1:29" x14ac:dyDescent="0.25">
      <c r="A23" t="s">
        <v>43</v>
      </c>
      <c r="B23" t="s">
        <v>44</v>
      </c>
      <c r="C23" s="1">
        <v>16.399999999999999</v>
      </c>
      <c r="D23" s="3">
        <v>35</v>
      </c>
      <c r="E23" s="3">
        <v>34</v>
      </c>
      <c r="F23" s="3">
        <v>36</v>
      </c>
      <c r="G23" s="3">
        <v>35</v>
      </c>
      <c r="H23" s="3">
        <v>33</v>
      </c>
      <c r="I23" s="9">
        <f t="shared" si="4"/>
        <v>0</v>
      </c>
      <c r="J23" s="9">
        <f t="shared" si="4"/>
        <v>0</v>
      </c>
      <c r="K23" s="9">
        <f t="shared" si="4"/>
        <v>0</v>
      </c>
      <c r="L23" s="9">
        <f t="shared" si="4"/>
        <v>0</v>
      </c>
      <c r="M23" s="9">
        <f t="shared" si="4"/>
        <v>0</v>
      </c>
      <c r="N23" s="7">
        <f t="shared" si="5"/>
        <v>574</v>
      </c>
      <c r="O23" s="7">
        <f t="shared" si="5"/>
        <v>557.59999999999991</v>
      </c>
      <c r="P23" s="7">
        <f t="shared" si="5"/>
        <v>590.4</v>
      </c>
      <c r="Q23" s="7">
        <f t="shared" si="5"/>
        <v>574</v>
      </c>
      <c r="R23" s="7">
        <f t="shared" si="5"/>
        <v>541.19999999999993</v>
      </c>
      <c r="S23" s="11">
        <f t="shared" si="8"/>
        <v>0</v>
      </c>
      <c r="T23" s="11">
        <f t="shared" si="8"/>
        <v>0</v>
      </c>
      <c r="U23" s="11">
        <f t="shared" si="8"/>
        <v>0</v>
      </c>
      <c r="V23" s="11">
        <f t="shared" si="8"/>
        <v>0</v>
      </c>
      <c r="W23" s="11">
        <f t="shared" si="8"/>
        <v>0</v>
      </c>
      <c r="X23" s="5">
        <f t="shared" si="6"/>
        <v>574</v>
      </c>
      <c r="Y23" s="5">
        <f t="shared" si="6"/>
        <v>557.59999999999991</v>
      </c>
      <c r="Z23" s="5">
        <f t="shared" si="6"/>
        <v>590.4</v>
      </c>
      <c r="AA23" s="5">
        <f t="shared" si="6"/>
        <v>574</v>
      </c>
      <c r="AB23" s="5">
        <f t="shared" si="6"/>
        <v>541.19999999999993</v>
      </c>
      <c r="AC23" s="13">
        <f t="shared" si="7"/>
        <v>2837.2</v>
      </c>
    </row>
    <row r="25" spans="1:29" x14ac:dyDescent="0.25">
      <c r="A25" t="s">
        <v>45</v>
      </c>
      <c r="C25" s="1">
        <f>MAX(Table1[Hourly Wage])</f>
        <v>20</v>
      </c>
      <c r="D25">
        <f>MAX(Table1[01-Jan])</f>
        <v>45</v>
      </c>
      <c r="E25">
        <f>MAX(Table1[08-Jan])</f>
        <v>45</v>
      </c>
      <c r="F25">
        <f>MAX(Table1[15-Jan])</f>
        <v>46</v>
      </c>
      <c r="G25">
        <f>MAX(Table1[22-Jan])</f>
        <v>45</v>
      </c>
      <c r="H25">
        <f>MAX(Table1[29-Jan])</f>
        <v>44</v>
      </c>
      <c r="N25" s="1">
        <f>MAX(Table1[01-Jan7])</f>
        <v>880</v>
      </c>
      <c r="O25" s="1">
        <f>MAX(Table1[08-Jan8])</f>
        <v>900</v>
      </c>
      <c r="P25" s="1">
        <f>MAX(Table1[15-Jan9])</f>
        <v>860</v>
      </c>
      <c r="Q25" s="1">
        <f>MAX(Table1[22-Jan10])</f>
        <v>840</v>
      </c>
      <c r="R25" s="1">
        <f>MAX(Table1[29-Jan11])</f>
        <v>880</v>
      </c>
      <c r="S25" s="14">
        <f>MAX(Table1[01-Jan12])</f>
        <v>46.25</v>
      </c>
      <c r="T25" s="14">
        <f>MAX(Table1[08-Jan13])</f>
        <v>50</v>
      </c>
      <c r="U25" s="14">
        <f>MAX(Table1[15-Jan14])</f>
        <v>55.5</v>
      </c>
      <c r="V25" s="14">
        <f>MAX(Table1[22-Jan15])</f>
        <v>46.25</v>
      </c>
      <c r="W25" s="14">
        <f>MAX(Table1[29-Jan16])</f>
        <v>40</v>
      </c>
      <c r="X25" s="1">
        <f>MAX(Table1[01-Jan17])</f>
        <v>920</v>
      </c>
      <c r="Y25" s="1">
        <f>MAX(Table1[08-Jan18])</f>
        <v>950</v>
      </c>
      <c r="Z25" s="1">
        <f>MAX(Table1[15-Jan19])</f>
        <v>906.5</v>
      </c>
      <c r="AA25" s="1">
        <f>MAX(Table1[22-Jan20])</f>
        <v>878.75</v>
      </c>
      <c r="AB25" s="1">
        <f>MAX(Table1[29-Jan21])</f>
        <v>920</v>
      </c>
      <c r="AC25" s="1">
        <f>MAX(Table1[January Pay])</f>
        <v>4540</v>
      </c>
    </row>
    <row r="26" spans="1:29" x14ac:dyDescent="0.25">
      <c r="A26" t="s">
        <v>46</v>
      </c>
      <c r="C26" s="1">
        <f>MIN(Table1[Hourly Wage])</f>
        <v>15.5</v>
      </c>
      <c r="D26">
        <f>MIN(Table1[01-Jan])</f>
        <v>34</v>
      </c>
      <c r="E26">
        <f>MIN(Table1[08-Jan])</f>
        <v>34</v>
      </c>
      <c r="F26">
        <f>MIN(Table1[15-Jan])</f>
        <v>33</v>
      </c>
      <c r="G26">
        <f>MIN(Table1[22-Jan])</f>
        <v>34</v>
      </c>
      <c r="H26">
        <f>MIN(Table1[29-Jan])</f>
        <v>33</v>
      </c>
      <c r="N26" s="1">
        <f>MIN(Table1[01-Jan7])</f>
        <v>535.5</v>
      </c>
      <c r="O26" s="1">
        <f>MIN(Table1[08-Jan8])</f>
        <v>527</v>
      </c>
      <c r="P26" s="1">
        <f>MIN(Table1[15-Jan9])</f>
        <v>519.75</v>
      </c>
      <c r="Q26" s="1">
        <f>MIN(Table1[22-Jan10])</f>
        <v>535.5</v>
      </c>
      <c r="R26" s="1">
        <f>MIN(Table1[29-Jan11])</f>
        <v>532.1</v>
      </c>
      <c r="S26" s="14">
        <f>MIN(Table1[01-Jan12])</f>
        <v>0</v>
      </c>
      <c r="T26" s="14">
        <f>MIN(Table1[08-Jan13])</f>
        <v>0</v>
      </c>
      <c r="U26" s="14">
        <f>MIN(Table1[15-Jan14])</f>
        <v>0</v>
      </c>
      <c r="V26" s="14">
        <f>MIN(Table1[22-Jan15])</f>
        <v>0</v>
      </c>
      <c r="W26" s="14">
        <f>MIN(Table1[29-Jan16])</f>
        <v>0</v>
      </c>
      <c r="X26" s="1">
        <f>MIN(Table1[01-Jan17])</f>
        <v>535.5</v>
      </c>
      <c r="Y26" s="1">
        <f>MIN(Table1[08-Jan18])</f>
        <v>527</v>
      </c>
      <c r="Z26" s="1">
        <f>MIN(Table1[15-Jan19])</f>
        <v>519.75</v>
      </c>
      <c r="AA26" s="1">
        <f>MIN(Table1[22-Jan20])</f>
        <v>535.5</v>
      </c>
      <c r="AB26" s="1">
        <f>MIN(Table1[29-Jan21])</f>
        <v>532.1</v>
      </c>
      <c r="AC26" s="1">
        <f>MIN(Table1[January Pay])</f>
        <v>2709</v>
      </c>
    </row>
    <row r="27" spans="1:29" x14ac:dyDescent="0.25">
      <c r="A27" t="s">
        <v>47</v>
      </c>
      <c r="C27" s="1">
        <f>AVERAGE(Table1[Hourly Wage])</f>
        <v>17.749999999999996</v>
      </c>
      <c r="D27">
        <f>AVERAGE(Table1[01-Jan])</f>
        <v>39.049999999999997</v>
      </c>
      <c r="E27">
        <f>AVERAGE(Table1[08-Jan])</f>
        <v>38.799999999999997</v>
      </c>
      <c r="F27">
        <f>AVERAGE(Table1[15-Jan])</f>
        <v>39.299999999999997</v>
      </c>
      <c r="G27">
        <f>AVERAGE(Table1[22-Jan])</f>
        <v>38.85</v>
      </c>
      <c r="H27">
        <f>AVERAGE(Table1[29-Jan])</f>
        <v>38.799999999999997</v>
      </c>
      <c r="N27" s="1">
        <f>AVERAGE(Table1[01-Jan7])</f>
        <v>696.19500000000005</v>
      </c>
      <c r="O27" s="1">
        <f>AVERAGE(Table1[08-Jan8])</f>
        <v>691.93750000000011</v>
      </c>
      <c r="P27" s="1">
        <f>AVERAGE(Table1[15-Jan9])</f>
        <v>700.45249999999999</v>
      </c>
      <c r="Q27" s="1">
        <f>AVERAGE(Table1[22-Jan10])</f>
        <v>692.42000000000007</v>
      </c>
      <c r="R27" s="1">
        <f>AVERAGE(Table1[29-Jan11])</f>
        <v>692.01750000000015</v>
      </c>
      <c r="S27" s="14">
        <f>AVERAGE(Table1[01-Jan12])</f>
        <v>8.2012499999999982</v>
      </c>
      <c r="T27" s="14">
        <f>AVERAGE(Table1[08-Jan13])</f>
        <v>7.3174999999999999</v>
      </c>
      <c r="U27" s="14">
        <f>AVERAGE(Table1[15-Jan14])</f>
        <v>9.5087500000000009</v>
      </c>
      <c r="V27" s="14">
        <f>AVERAGE(Table1[22-Jan15])</f>
        <v>6.68</v>
      </c>
      <c r="W27" s="14">
        <f>AVERAGE(Table1[29-Jan16])</f>
        <v>7.8537499999999998</v>
      </c>
      <c r="X27" s="1">
        <f>AVERAGE(Table1[01-Jan17])</f>
        <v>704.39625000000001</v>
      </c>
      <c r="Y27" s="1">
        <f>AVERAGE(Table1[08-Jan18])</f>
        <v>699.255</v>
      </c>
      <c r="Z27" s="1">
        <f>AVERAGE(Table1[15-Jan19])</f>
        <v>709.96124999999995</v>
      </c>
      <c r="AA27" s="1">
        <f>AVERAGE(Table1[22-Jan20])</f>
        <v>699.1</v>
      </c>
      <c r="AB27" s="1">
        <f>AVERAGE(Table1[29-Jan21])</f>
        <v>699.87125000000015</v>
      </c>
      <c r="AC27" s="1">
        <f>AVERAGE(Table1[January Pay])</f>
        <v>3512.5837500000002</v>
      </c>
    </row>
    <row r="28" spans="1:29" x14ac:dyDescent="0.25">
      <c r="A28" t="s">
        <v>48</v>
      </c>
      <c r="C28" s="1">
        <f>SUM(Table1[Hourly Wage])</f>
        <v>354.99999999999994</v>
      </c>
      <c r="D28">
        <f>SUM(Table1[01-Jan])</f>
        <v>781</v>
      </c>
      <c r="E28">
        <f>SUM(Table1[08-Jan])</f>
        <v>776</v>
      </c>
      <c r="F28">
        <f>SUM(Table1[15-Jan])</f>
        <v>786</v>
      </c>
      <c r="G28">
        <f>SUM(Table1[22-Jan])</f>
        <v>777</v>
      </c>
      <c r="H28">
        <f>SUM(Table1[29-Jan])</f>
        <v>776</v>
      </c>
      <c r="N28" s="1">
        <f>SUM(Table1[01-Jan7])</f>
        <v>13923.900000000001</v>
      </c>
      <c r="O28" s="1">
        <f>SUM(Table1[08-Jan8])</f>
        <v>13838.750000000002</v>
      </c>
      <c r="P28" s="1">
        <f>SUM(Table1[15-Jan9])</f>
        <v>14009.05</v>
      </c>
      <c r="Q28" s="1">
        <f>SUM(Table1[22-Jan10])</f>
        <v>13848.400000000001</v>
      </c>
      <c r="R28" s="1">
        <f>SUM(Table1[29-Jan11])</f>
        <v>13840.350000000002</v>
      </c>
      <c r="S28" s="14">
        <f>SUM(Table1[01-Jan12])</f>
        <v>164.02499999999998</v>
      </c>
      <c r="T28" s="14">
        <f>SUM(Table1[08-Jan13])</f>
        <v>146.35</v>
      </c>
      <c r="U28" s="14">
        <f>SUM(Table1[15-Jan14])</f>
        <v>190.17500000000001</v>
      </c>
      <c r="V28" s="14">
        <f>SUM(Table1[22-Jan15])</f>
        <v>133.6</v>
      </c>
      <c r="W28" s="14">
        <f>SUM(Table1[29-Jan16])</f>
        <v>157.07499999999999</v>
      </c>
      <c r="X28" s="1">
        <f>SUM(Table1[01-Jan17])</f>
        <v>14087.925000000001</v>
      </c>
      <c r="Y28" s="1">
        <f>SUM(Table1[08-Jan18])</f>
        <v>13985.1</v>
      </c>
      <c r="Z28" s="1">
        <f>SUM(Table1[15-Jan19])</f>
        <v>14199.224999999999</v>
      </c>
      <c r="AA28" s="1">
        <f>SUM(Table1[22-Jan20])</f>
        <v>13982</v>
      </c>
      <c r="AB28" s="1">
        <f>SUM(Table1[29-Jan21])</f>
        <v>13997.425000000003</v>
      </c>
      <c r="AC28" s="1">
        <f>SUM(Table1[January Pay])</f>
        <v>70251.675000000003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DA79-8808-485E-85C1-BD63C8BF5163}">
  <dimension ref="A1:M27"/>
  <sheetViews>
    <sheetView zoomScale="80" zoomScaleNormal="80" workbookViewId="0">
      <selection activeCell="AD31" sqref="AD31"/>
    </sheetView>
  </sheetViews>
  <sheetFormatPr defaultRowHeight="15" x14ac:dyDescent="0.25"/>
  <cols>
    <col min="1" max="1" width="14.28515625" customWidth="1"/>
    <col min="2" max="2" width="18.140625" customWidth="1"/>
    <col min="3" max="4" width="10.5703125" bestFit="1" customWidth="1"/>
    <col min="5" max="5" width="11.5703125" bestFit="1" customWidth="1"/>
    <col min="6" max="6" width="9.5703125" bestFit="1" customWidth="1"/>
    <col min="7" max="7" width="11.28515625" customWidth="1"/>
  </cols>
  <sheetData>
    <row r="1" spans="1:13" x14ac:dyDescent="0.25">
      <c r="A1" t="s">
        <v>77</v>
      </c>
    </row>
    <row r="2" spans="1:13" ht="186" x14ac:dyDescent="0.25">
      <c r="A2" s="18" t="s">
        <v>1</v>
      </c>
      <c r="B2" s="18" t="s">
        <v>2</v>
      </c>
      <c r="C2" s="19" t="s">
        <v>116</v>
      </c>
      <c r="D2" s="19" t="s">
        <v>118</v>
      </c>
      <c r="E2" s="19" t="s">
        <v>119</v>
      </c>
      <c r="F2" s="19" t="s">
        <v>117</v>
      </c>
      <c r="G2" s="19" t="s">
        <v>124</v>
      </c>
      <c r="H2" s="19" t="s">
        <v>125</v>
      </c>
      <c r="I2" s="19" t="s">
        <v>126</v>
      </c>
      <c r="J2" s="19" t="s">
        <v>127</v>
      </c>
      <c r="K2" s="19" t="s">
        <v>121</v>
      </c>
      <c r="L2" s="19" t="s">
        <v>128</v>
      </c>
      <c r="M2" s="19" t="s">
        <v>129</v>
      </c>
    </row>
    <row r="3" spans="1:13" x14ac:dyDescent="0.25">
      <c r="A3" s="15" t="s">
        <v>78</v>
      </c>
      <c r="B3" s="15" t="s">
        <v>79</v>
      </c>
      <c r="C3">
        <v>3</v>
      </c>
      <c r="D3">
        <v>19</v>
      </c>
      <c r="E3">
        <v>96</v>
      </c>
      <c r="F3">
        <v>1</v>
      </c>
      <c r="G3" s="17">
        <f>C3/$C$27</f>
        <v>0.3</v>
      </c>
      <c r="H3" s="17">
        <f>D3/$D$27</f>
        <v>0.95</v>
      </c>
      <c r="I3" s="17">
        <f>E3/$E$27</f>
        <v>0.96</v>
      </c>
      <c r="J3" s="17">
        <f>F3/$F$27</f>
        <v>1</v>
      </c>
      <c r="K3">
        <f t="shared" ref="K3:K4" si="0">(IF(G3&lt;0.5,1,0))+(IF(H3&lt;0.5,1,0))+(IF(I3&lt;0.5,1,0))+(IF(J3&lt;0.5,1,0))</f>
        <v>1</v>
      </c>
      <c r="L3" t="b">
        <f>OR(G3&lt;0.5,H3&lt;0.5,I3&lt;0.5,J3&lt;0.5)</f>
        <v>1</v>
      </c>
      <c r="M3" t="b">
        <f>OR(K3&gt;2, J3=0)</f>
        <v>0</v>
      </c>
    </row>
    <row r="4" spans="1:13" x14ac:dyDescent="0.25">
      <c r="A4" s="15" t="s">
        <v>80</v>
      </c>
      <c r="B4" s="15" t="s">
        <v>81</v>
      </c>
      <c r="C4">
        <v>10</v>
      </c>
      <c r="D4">
        <v>20</v>
      </c>
      <c r="E4">
        <v>98</v>
      </c>
      <c r="F4">
        <v>1</v>
      </c>
      <c r="G4" s="17">
        <f>C4/$C$27</f>
        <v>1</v>
      </c>
      <c r="H4" s="17">
        <f>D4/$D$27</f>
        <v>1</v>
      </c>
      <c r="I4" s="17">
        <f>E4/$E$27</f>
        <v>0.98</v>
      </c>
      <c r="J4" s="17">
        <f>F4/$F$27</f>
        <v>1</v>
      </c>
      <c r="K4">
        <f t="shared" si="0"/>
        <v>0</v>
      </c>
      <c r="L4" t="b">
        <f t="shared" ref="L4:L21" si="1">OR(G4&lt;0.5,H4&lt;0.5,I4&lt;0.5,J4&lt;0.5)</f>
        <v>0</v>
      </c>
      <c r="M4" t="b">
        <f t="shared" ref="M4:M21" si="2">OR(K4&gt;2, J4=0)</f>
        <v>0</v>
      </c>
    </row>
    <row r="5" spans="1:13" x14ac:dyDescent="0.25">
      <c r="A5" s="15" t="s">
        <v>82</v>
      </c>
      <c r="B5" s="15" t="s">
        <v>83</v>
      </c>
      <c r="C5">
        <v>2</v>
      </c>
      <c r="D5">
        <v>5</v>
      </c>
      <c r="E5">
        <v>15</v>
      </c>
      <c r="F5">
        <v>1</v>
      </c>
      <c r="G5" s="17">
        <f>C5/$C$27</f>
        <v>0.2</v>
      </c>
      <c r="H5" s="17">
        <f>D5/$D$27</f>
        <v>0.25</v>
      </c>
      <c r="I5" s="17">
        <f>E5/$E$27</f>
        <v>0.15</v>
      </c>
      <c r="J5" s="17">
        <f>F5/$F$27</f>
        <v>1</v>
      </c>
      <c r="K5">
        <f>(IF(G5&lt;0.5,1,0))+(IF(H5&lt;0.5,1,0))+(IF(I5&lt;0.5,1,0))+(IF(J5&lt;0.5,1,0))</f>
        <v>3</v>
      </c>
      <c r="L5" t="b">
        <f t="shared" si="1"/>
        <v>1</v>
      </c>
      <c r="M5" t="b">
        <f t="shared" si="2"/>
        <v>1</v>
      </c>
    </row>
    <row r="6" spans="1:13" x14ac:dyDescent="0.25">
      <c r="A6" s="15" t="s">
        <v>84</v>
      </c>
      <c r="B6" s="15" t="s">
        <v>85</v>
      </c>
      <c r="C6">
        <v>9</v>
      </c>
      <c r="D6">
        <v>18</v>
      </c>
      <c r="E6">
        <v>92</v>
      </c>
      <c r="F6">
        <v>1</v>
      </c>
      <c r="G6" s="17">
        <f>C6/$C$27</f>
        <v>0.9</v>
      </c>
      <c r="H6" s="17">
        <f>D6/$D$27</f>
        <v>0.9</v>
      </c>
      <c r="I6" s="17">
        <f>E6/$E$27</f>
        <v>0.92</v>
      </c>
      <c r="J6" s="17">
        <f>F6/$F$27</f>
        <v>1</v>
      </c>
      <c r="K6">
        <f t="shared" ref="K6:K21" si="3">(IF(G6&lt;0.5,1,0))+(IF(H6&lt;0.5,1,0))+(IF(I6&lt;0.5,1,0))+(IF(J6&lt;0.5,1,0))</f>
        <v>0</v>
      </c>
      <c r="L6" t="b">
        <f t="shared" si="1"/>
        <v>0</v>
      </c>
      <c r="M6" t="b">
        <f t="shared" si="2"/>
        <v>0</v>
      </c>
    </row>
    <row r="7" spans="1:13" x14ac:dyDescent="0.25">
      <c r="A7" s="15" t="s">
        <v>86</v>
      </c>
      <c r="B7" s="15" t="s">
        <v>87</v>
      </c>
      <c r="C7">
        <v>3</v>
      </c>
      <c r="D7">
        <v>6</v>
      </c>
      <c r="E7">
        <v>22</v>
      </c>
      <c r="F7">
        <v>1</v>
      </c>
      <c r="G7" s="17">
        <f>C7/$C$27</f>
        <v>0.3</v>
      </c>
      <c r="H7" s="17">
        <f>D7/$D$27</f>
        <v>0.3</v>
      </c>
      <c r="I7" s="17">
        <f>E7/$E$27</f>
        <v>0.22</v>
      </c>
      <c r="J7" s="17">
        <f>F7/$F$27</f>
        <v>1</v>
      </c>
      <c r="K7">
        <f t="shared" si="3"/>
        <v>3</v>
      </c>
      <c r="L7" t="b">
        <f t="shared" si="1"/>
        <v>1</v>
      </c>
      <c r="M7" t="b">
        <f t="shared" si="2"/>
        <v>1</v>
      </c>
    </row>
    <row r="8" spans="1:13" x14ac:dyDescent="0.25">
      <c r="A8" s="15" t="s">
        <v>88</v>
      </c>
      <c r="B8" s="15" t="s">
        <v>89</v>
      </c>
      <c r="C8">
        <v>7</v>
      </c>
      <c r="D8">
        <v>14</v>
      </c>
      <c r="E8">
        <v>81</v>
      </c>
      <c r="F8">
        <v>1</v>
      </c>
      <c r="G8" s="17">
        <f>C8/$C$27</f>
        <v>0.7</v>
      </c>
      <c r="H8" s="17">
        <f>D8/$D$27</f>
        <v>0.7</v>
      </c>
      <c r="I8" s="17">
        <f>E8/$E$27</f>
        <v>0.81</v>
      </c>
      <c r="J8" s="17">
        <f>F8/$F$27</f>
        <v>1</v>
      </c>
      <c r="K8">
        <f t="shared" si="3"/>
        <v>0</v>
      </c>
      <c r="L8" t="b">
        <f t="shared" si="1"/>
        <v>0</v>
      </c>
      <c r="M8" t="b">
        <f t="shared" si="2"/>
        <v>0</v>
      </c>
    </row>
    <row r="9" spans="1:13" x14ac:dyDescent="0.25">
      <c r="A9" s="15" t="s">
        <v>90</v>
      </c>
      <c r="B9" s="15" t="s">
        <v>91</v>
      </c>
      <c r="C9">
        <v>6</v>
      </c>
      <c r="D9">
        <v>13</v>
      </c>
      <c r="E9">
        <v>73</v>
      </c>
      <c r="F9">
        <v>1</v>
      </c>
      <c r="G9" s="17">
        <f>C9/$C$27</f>
        <v>0.6</v>
      </c>
      <c r="H9" s="17">
        <f>D9/$D$27</f>
        <v>0.65</v>
      </c>
      <c r="I9" s="17">
        <f>E9/$E$27</f>
        <v>0.73</v>
      </c>
      <c r="J9" s="17">
        <f>F9/$F$27</f>
        <v>1</v>
      </c>
      <c r="K9">
        <f t="shared" si="3"/>
        <v>0</v>
      </c>
      <c r="L9" t="b">
        <f t="shared" si="1"/>
        <v>0</v>
      </c>
      <c r="M9" t="b">
        <f t="shared" si="2"/>
        <v>0</v>
      </c>
    </row>
    <row r="10" spans="1:13" x14ac:dyDescent="0.25">
      <c r="A10" s="15" t="s">
        <v>92</v>
      </c>
      <c r="B10" s="15" t="s">
        <v>93</v>
      </c>
      <c r="C10">
        <v>1</v>
      </c>
      <c r="D10">
        <v>4</v>
      </c>
      <c r="E10">
        <v>10</v>
      </c>
      <c r="F10">
        <v>0</v>
      </c>
      <c r="G10" s="17">
        <f>C10/$C$27</f>
        <v>0.1</v>
      </c>
      <c r="H10" s="17">
        <f>D10/$D$27</f>
        <v>0.2</v>
      </c>
      <c r="I10" s="17">
        <f>E10/$E$27</f>
        <v>0.1</v>
      </c>
      <c r="J10" s="17">
        <f>F10/$F$27</f>
        <v>0</v>
      </c>
      <c r="K10">
        <f t="shared" si="3"/>
        <v>4</v>
      </c>
      <c r="L10" t="b">
        <f t="shared" si="1"/>
        <v>1</v>
      </c>
      <c r="M10" t="b">
        <f t="shared" si="2"/>
        <v>1</v>
      </c>
    </row>
    <row r="11" spans="1:13" x14ac:dyDescent="0.25">
      <c r="A11" s="15" t="s">
        <v>94</v>
      </c>
      <c r="B11" s="15" t="s">
        <v>95</v>
      </c>
      <c r="C11">
        <v>9</v>
      </c>
      <c r="D11">
        <v>18</v>
      </c>
      <c r="E11">
        <v>90</v>
      </c>
      <c r="F11">
        <v>1</v>
      </c>
      <c r="G11" s="17">
        <f>C11/$C$27</f>
        <v>0.9</v>
      </c>
      <c r="H11" s="17">
        <f>D11/$D$27</f>
        <v>0.9</v>
      </c>
      <c r="I11" s="17">
        <f>E11/$E$27</f>
        <v>0.9</v>
      </c>
      <c r="J11" s="17">
        <f>F11/$F$27</f>
        <v>1</v>
      </c>
      <c r="K11">
        <f t="shared" si="3"/>
        <v>0</v>
      </c>
      <c r="L11" t="b">
        <f t="shared" si="1"/>
        <v>0</v>
      </c>
      <c r="M11" t="b">
        <f t="shared" si="2"/>
        <v>0</v>
      </c>
    </row>
    <row r="12" spans="1:13" x14ac:dyDescent="0.25">
      <c r="A12" s="15" t="s">
        <v>96</v>
      </c>
      <c r="B12" s="15" t="s">
        <v>97</v>
      </c>
      <c r="C12">
        <v>2</v>
      </c>
      <c r="D12">
        <v>3</v>
      </c>
      <c r="E12">
        <v>12</v>
      </c>
      <c r="F12">
        <v>0</v>
      </c>
      <c r="G12" s="17">
        <f>C12/$C$27</f>
        <v>0.2</v>
      </c>
      <c r="H12" s="17">
        <f>D12/$D$27</f>
        <v>0.15</v>
      </c>
      <c r="I12" s="17">
        <f>E12/$E$27</f>
        <v>0.12</v>
      </c>
      <c r="J12" s="17">
        <f>F12/$F$27</f>
        <v>0</v>
      </c>
      <c r="K12">
        <f t="shared" si="3"/>
        <v>4</v>
      </c>
      <c r="L12" t="b">
        <f t="shared" si="1"/>
        <v>1</v>
      </c>
      <c r="M12" t="b">
        <f t="shared" si="2"/>
        <v>1</v>
      </c>
    </row>
    <row r="13" spans="1:13" x14ac:dyDescent="0.25">
      <c r="A13" s="15" t="s">
        <v>98</v>
      </c>
      <c r="B13" s="15" t="s">
        <v>99</v>
      </c>
      <c r="C13">
        <v>5</v>
      </c>
      <c r="D13">
        <v>10</v>
      </c>
      <c r="E13">
        <v>52</v>
      </c>
      <c r="F13">
        <v>1</v>
      </c>
      <c r="G13" s="17">
        <f>C13/$C$27</f>
        <v>0.5</v>
      </c>
      <c r="H13" s="17">
        <f>D13/$D$27</f>
        <v>0.5</v>
      </c>
      <c r="I13" s="17">
        <f>E13/$E$27</f>
        <v>0.52</v>
      </c>
      <c r="J13" s="17">
        <f>F13/$F$27</f>
        <v>1</v>
      </c>
      <c r="K13">
        <f t="shared" si="3"/>
        <v>0</v>
      </c>
      <c r="L13" t="b">
        <f t="shared" si="1"/>
        <v>0</v>
      </c>
      <c r="M13" t="b">
        <f t="shared" si="2"/>
        <v>0</v>
      </c>
    </row>
    <row r="14" spans="1:13" x14ac:dyDescent="0.25">
      <c r="A14" s="15" t="s">
        <v>100</v>
      </c>
      <c r="B14" s="15" t="s">
        <v>101</v>
      </c>
      <c r="C14">
        <v>10</v>
      </c>
      <c r="D14">
        <v>20</v>
      </c>
      <c r="E14">
        <v>100</v>
      </c>
      <c r="F14">
        <v>1</v>
      </c>
      <c r="G14" s="17">
        <f>C14/$C$27</f>
        <v>1</v>
      </c>
      <c r="H14" s="17">
        <f>D14/$D$27</f>
        <v>1</v>
      </c>
      <c r="I14" s="17">
        <f>E14/$E$27</f>
        <v>1</v>
      </c>
      <c r="J14" s="17">
        <f>F14/$F$27</f>
        <v>1</v>
      </c>
      <c r="K14">
        <f t="shared" si="3"/>
        <v>0</v>
      </c>
      <c r="L14" t="b">
        <f t="shared" si="1"/>
        <v>0</v>
      </c>
      <c r="M14" t="b">
        <f t="shared" si="2"/>
        <v>0</v>
      </c>
    </row>
    <row r="15" spans="1:13" x14ac:dyDescent="0.25">
      <c r="A15" s="15" t="s">
        <v>102</v>
      </c>
      <c r="B15" s="15" t="s">
        <v>103</v>
      </c>
      <c r="C15">
        <v>4</v>
      </c>
      <c r="D15">
        <v>8</v>
      </c>
      <c r="E15">
        <v>35</v>
      </c>
      <c r="F15">
        <v>0</v>
      </c>
      <c r="G15" s="17">
        <f>C15/$C$27</f>
        <v>0.4</v>
      </c>
      <c r="H15" s="17">
        <f>D15/$D$27</f>
        <v>0.4</v>
      </c>
      <c r="I15" s="17">
        <f>E15/$E$27</f>
        <v>0.35</v>
      </c>
      <c r="J15" s="17">
        <f>F15/$F$27</f>
        <v>0</v>
      </c>
      <c r="K15">
        <f t="shared" si="3"/>
        <v>4</v>
      </c>
      <c r="L15" t="b">
        <f t="shared" si="1"/>
        <v>1</v>
      </c>
      <c r="M15" t="b">
        <f t="shared" si="2"/>
        <v>1</v>
      </c>
    </row>
    <row r="16" spans="1:13" x14ac:dyDescent="0.25">
      <c r="A16" s="15" t="s">
        <v>104</v>
      </c>
      <c r="B16" s="15" t="s">
        <v>105</v>
      </c>
      <c r="C16">
        <v>3</v>
      </c>
      <c r="D16">
        <v>6</v>
      </c>
      <c r="E16">
        <v>28</v>
      </c>
      <c r="F16">
        <v>1</v>
      </c>
      <c r="G16" s="17">
        <f>C16/$C$27</f>
        <v>0.3</v>
      </c>
      <c r="H16" s="17">
        <f>D16/$D$27</f>
        <v>0.3</v>
      </c>
      <c r="I16" s="17">
        <f>E16/$E$27</f>
        <v>0.28000000000000003</v>
      </c>
      <c r="J16" s="17">
        <f>F16/$F$27</f>
        <v>1</v>
      </c>
      <c r="K16">
        <f t="shared" si="3"/>
        <v>3</v>
      </c>
      <c r="L16" t="b">
        <f t="shared" si="1"/>
        <v>1</v>
      </c>
      <c r="M16" t="b">
        <f t="shared" si="2"/>
        <v>1</v>
      </c>
    </row>
    <row r="17" spans="1:13" x14ac:dyDescent="0.25">
      <c r="A17" s="15" t="s">
        <v>106</v>
      </c>
      <c r="B17" s="15" t="s">
        <v>107</v>
      </c>
      <c r="C17">
        <v>7</v>
      </c>
      <c r="D17">
        <v>15</v>
      </c>
      <c r="E17">
        <v>84</v>
      </c>
      <c r="F17">
        <v>0</v>
      </c>
      <c r="G17" s="17">
        <f>C17/$C$27</f>
        <v>0.7</v>
      </c>
      <c r="H17" s="17">
        <f>D17/$D$27</f>
        <v>0.75</v>
      </c>
      <c r="I17" s="17">
        <f>E17/$E$27</f>
        <v>0.84</v>
      </c>
      <c r="J17" s="17">
        <f>F17/$F$27</f>
        <v>0</v>
      </c>
      <c r="K17">
        <f t="shared" si="3"/>
        <v>1</v>
      </c>
      <c r="L17" t="b">
        <f t="shared" si="1"/>
        <v>1</v>
      </c>
      <c r="M17" t="b">
        <f t="shared" si="2"/>
        <v>1</v>
      </c>
    </row>
    <row r="18" spans="1:13" x14ac:dyDescent="0.25">
      <c r="A18" s="15" t="s">
        <v>108</v>
      </c>
      <c r="B18" s="15" t="s">
        <v>109</v>
      </c>
      <c r="C18">
        <v>10</v>
      </c>
      <c r="D18">
        <v>20</v>
      </c>
      <c r="E18">
        <v>99</v>
      </c>
      <c r="F18">
        <v>1</v>
      </c>
      <c r="G18" s="17">
        <f>C18/$C$27</f>
        <v>1</v>
      </c>
      <c r="H18" s="17">
        <f>D18/$D$27</f>
        <v>1</v>
      </c>
      <c r="I18" s="17">
        <f>E18/$E$27</f>
        <v>0.99</v>
      </c>
      <c r="J18" s="17">
        <f>F18/$F$27</f>
        <v>1</v>
      </c>
      <c r="K18">
        <f t="shared" si="3"/>
        <v>0</v>
      </c>
      <c r="L18" t="b">
        <f t="shared" si="1"/>
        <v>0</v>
      </c>
      <c r="M18" t="b">
        <f t="shared" si="2"/>
        <v>0</v>
      </c>
    </row>
    <row r="19" spans="1:13" x14ac:dyDescent="0.25">
      <c r="A19" s="15" t="s">
        <v>110</v>
      </c>
      <c r="B19" s="15" t="s">
        <v>111</v>
      </c>
      <c r="C19">
        <v>2</v>
      </c>
      <c r="D19">
        <v>5</v>
      </c>
      <c r="E19">
        <v>18</v>
      </c>
      <c r="F19">
        <v>0</v>
      </c>
      <c r="G19" s="17">
        <f>C19/$C$27</f>
        <v>0.2</v>
      </c>
      <c r="H19" s="17">
        <f>D19/$D$27</f>
        <v>0.25</v>
      </c>
      <c r="I19" s="17">
        <f>E19/$E$27</f>
        <v>0.18</v>
      </c>
      <c r="J19" s="17">
        <f>F19/$F$27</f>
        <v>0</v>
      </c>
      <c r="K19">
        <f t="shared" si="3"/>
        <v>4</v>
      </c>
      <c r="L19" t="b">
        <f t="shared" si="1"/>
        <v>1</v>
      </c>
      <c r="M19" t="b">
        <f t="shared" si="2"/>
        <v>1</v>
      </c>
    </row>
    <row r="20" spans="1:13" x14ac:dyDescent="0.25">
      <c r="A20" s="15" t="s">
        <v>112</v>
      </c>
      <c r="B20" s="15" t="s">
        <v>113</v>
      </c>
      <c r="C20">
        <v>6</v>
      </c>
      <c r="D20">
        <v>12</v>
      </c>
      <c r="E20">
        <v>63</v>
      </c>
      <c r="F20">
        <v>1</v>
      </c>
      <c r="G20" s="17">
        <f>C20/$C$27</f>
        <v>0.6</v>
      </c>
      <c r="H20" s="17">
        <f>D20/$D$27</f>
        <v>0.6</v>
      </c>
      <c r="I20" s="17">
        <f>E20/$E$27</f>
        <v>0.63</v>
      </c>
      <c r="J20" s="17">
        <f>F20/$F$27</f>
        <v>1</v>
      </c>
      <c r="K20">
        <f t="shared" si="3"/>
        <v>0</v>
      </c>
      <c r="L20" t="b">
        <f t="shared" si="1"/>
        <v>0</v>
      </c>
      <c r="M20" t="b">
        <f t="shared" si="2"/>
        <v>0</v>
      </c>
    </row>
    <row r="21" spans="1:13" x14ac:dyDescent="0.25">
      <c r="A21" s="15" t="s">
        <v>114</v>
      </c>
      <c r="B21" s="15" t="s">
        <v>115</v>
      </c>
      <c r="C21">
        <v>8</v>
      </c>
      <c r="D21">
        <v>17</v>
      </c>
      <c r="E21">
        <v>88</v>
      </c>
      <c r="F21">
        <v>1</v>
      </c>
      <c r="G21" s="17">
        <f>C21/$C$27</f>
        <v>0.8</v>
      </c>
      <c r="H21" s="17">
        <f>D21/$D$27</f>
        <v>0.85</v>
      </c>
      <c r="I21" s="17">
        <f>E21/$E$27</f>
        <v>0.88</v>
      </c>
      <c r="J21" s="17">
        <f>F21/$F$27</f>
        <v>1</v>
      </c>
      <c r="K21">
        <f t="shared" si="3"/>
        <v>0</v>
      </c>
      <c r="L21" t="b">
        <f t="shared" si="1"/>
        <v>0</v>
      </c>
      <c r="M21" t="b">
        <f t="shared" si="2"/>
        <v>0</v>
      </c>
    </row>
    <row r="23" spans="1:13" x14ac:dyDescent="0.25">
      <c r="A23" s="15" t="s">
        <v>45</v>
      </c>
      <c r="C23" s="16">
        <f>MAX(Table2[Safety Test])</f>
        <v>10</v>
      </c>
      <c r="D23" s="16">
        <f>MAX(Table2[Company Philosophy Test])</f>
        <v>20</v>
      </c>
      <c r="E23" s="16">
        <f>MAX(Table2[Financial Skills Test])</f>
        <v>100</v>
      </c>
      <c r="F23" s="16">
        <f>MAX(Table2[Drug Test])</f>
        <v>1</v>
      </c>
      <c r="G23" s="16">
        <f>MAX(Table2[Safety Test2])</f>
        <v>1</v>
      </c>
      <c r="H23" s="16">
        <f>MAX(Table2[Company Philosophy Test3])</f>
        <v>1</v>
      </c>
      <c r="I23" s="16">
        <f>MAX(Table2[Financial Skills Test4])</f>
        <v>1</v>
      </c>
      <c r="J23" s="16">
        <f>MAX(Table2[Drug Test5])</f>
        <v>1</v>
      </c>
      <c r="K23" s="16">
        <f>MAX(Table2[Failed Modules])</f>
        <v>4</v>
      </c>
    </row>
    <row r="24" spans="1:13" x14ac:dyDescent="0.25">
      <c r="A24" s="15" t="s">
        <v>46</v>
      </c>
      <c r="C24" s="16">
        <f>MIN(Table2[Safety Test])</f>
        <v>1</v>
      </c>
      <c r="D24" s="16">
        <f>MIN(Table2[Company Philosophy Test])</f>
        <v>3</v>
      </c>
      <c r="E24" s="16">
        <f>MIN(Table2[Financial Skills Test])</f>
        <v>10</v>
      </c>
      <c r="F24" s="16">
        <f>MIN(Table2[Drug Test])</f>
        <v>0</v>
      </c>
      <c r="G24" s="16">
        <f>MIN(Table2[Safety Test2])</f>
        <v>0.1</v>
      </c>
      <c r="H24" s="16">
        <f>MIN(Table2[Company Philosophy Test3])</f>
        <v>0.15</v>
      </c>
      <c r="I24" s="16">
        <f>MIN(Table2[Financial Skills Test4])</f>
        <v>0.1</v>
      </c>
      <c r="J24" s="16">
        <f>MIN(Table2[Drug Test5])</f>
        <v>0</v>
      </c>
      <c r="K24" s="16">
        <f>MIN(Table2[Failed Modules])</f>
        <v>0</v>
      </c>
    </row>
    <row r="25" spans="1:13" x14ac:dyDescent="0.25">
      <c r="A25" s="15" t="s">
        <v>47</v>
      </c>
      <c r="C25" s="16">
        <f>AVERAGE(Table2[Safety Test])</f>
        <v>5.6315789473684212</v>
      </c>
      <c r="D25" s="16">
        <f>AVERAGE(Table2[Company Philosophy Test])</f>
        <v>12.263157894736842</v>
      </c>
      <c r="E25" s="16">
        <f>AVERAGE(Table2[Financial Skills Test])</f>
        <v>60.842105263157897</v>
      </c>
      <c r="F25" s="16">
        <f>AVERAGE(Table2[Drug Test])</f>
        <v>0.73684210526315785</v>
      </c>
      <c r="G25" s="16">
        <f>AVERAGE(Table2[Safety Test2])</f>
        <v>0.56315789473684208</v>
      </c>
      <c r="H25" s="16">
        <f>AVERAGE(Table2[Company Philosophy Test3])</f>
        <v>0.61315789473684212</v>
      </c>
      <c r="I25" s="16">
        <f>AVERAGE(Table2[Financial Skills Test4])</f>
        <v>0.60842105263157897</v>
      </c>
      <c r="J25" s="16">
        <f>AVERAGE(Table2[Drug Test5])</f>
        <v>0.73684210526315785</v>
      </c>
      <c r="K25" s="16">
        <f>AVERAGE(Table2[Failed Modules])</f>
        <v>1.4210526315789473</v>
      </c>
    </row>
    <row r="27" spans="1:13" x14ac:dyDescent="0.25">
      <c r="A27" s="15" t="s">
        <v>122</v>
      </c>
      <c r="B27" t="s">
        <v>120</v>
      </c>
      <c r="C27">
        <v>10</v>
      </c>
      <c r="D27">
        <v>20</v>
      </c>
      <c r="E27">
        <v>100</v>
      </c>
      <c r="F27">
        <v>1</v>
      </c>
    </row>
  </sheetData>
  <conditionalFormatting sqref="C3:C21">
    <cfRule type="iconSet" priority="11">
      <iconSet>
        <cfvo type="percent" val="0"/>
        <cfvo type="percent" val="33"/>
        <cfvo type="percent" val="67"/>
      </iconSet>
    </cfRule>
  </conditionalFormatting>
  <conditionalFormatting sqref="D3:D21">
    <cfRule type="iconSet" priority="10">
      <iconSet>
        <cfvo type="percent" val="0"/>
        <cfvo type="percent" val="33"/>
        <cfvo type="percent" val="67"/>
      </iconSet>
    </cfRule>
  </conditionalFormatting>
  <conditionalFormatting sqref="E3:E21">
    <cfRule type="iconSet" priority="9">
      <iconSet>
        <cfvo type="percent" val="0"/>
        <cfvo type="percent" val="33"/>
        <cfvo type="percent" val="67"/>
      </iconSet>
    </cfRule>
  </conditionalFormatting>
  <conditionalFormatting sqref="F3:F21">
    <cfRule type="iconSet" priority="7">
      <iconSet>
        <cfvo type="percent" val="0"/>
        <cfvo type="percent" val="33"/>
        <cfvo type="percent" val="67"/>
      </iconSet>
    </cfRule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3:J21">
    <cfRule type="cellIs" dxfId="6" priority="1" operator="between">
      <formula>0.5</formula>
      <formula>0.66</formula>
    </cfRule>
    <cfRule type="cellIs" dxfId="5" priority="2" operator="greaterThan">
      <formula>0.66</formula>
    </cfRule>
    <cfRule type="cellIs" dxfId="4" priority="6" operator="lessThan">
      <formula>0.5</formula>
    </cfRule>
  </conditionalFormatting>
  <conditionalFormatting sqref="L3:L21">
    <cfRule type="cellIs" dxfId="3" priority="4" operator="equal">
      <formula>TRUE</formula>
    </cfRule>
    <cfRule type="cellIs" dxfId="2" priority="5" operator="equal">
      <formula>"TURE"</formula>
    </cfRule>
  </conditionalFormatting>
  <conditionalFormatting sqref="M3:M21">
    <cfRule type="cellIs" dxfId="1" priority="3" operator="equal">
      <formula>TRUE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AB-3174-4635-9A2E-68E4DCD89F16}">
  <dimension ref="A1:P26"/>
  <sheetViews>
    <sheetView workbookViewId="0">
      <selection activeCell="P9" sqref="P9"/>
    </sheetView>
  </sheetViews>
  <sheetFormatPr defaultRowHeight="15" x14ac:dyDescent="0.25"/>
  <cols>
    <col min="1" max="1" width="20.7109375" customWidth="1"/>
    <col min="4" max="4" width="12.7109375" customWidth="1"/>
    <col min="5" max="5" width="11.5703125" customWidth="1"/>
    <col min="6" max="6" width="12.85546875" customWidth="1"/>
    <col min="7" max="7" width="11.5703125" customWidth="1"/>
    <col min="8" max="8" width="11.7109375" customWidth="1"/>
    <col min="9" max="9" width="10.7109375" customWidth="1"/>
    <col min="10" max="10" width="12" customWidth="1"/>
    <col min="16" max="16" width="32.28515625" customWidth="1"/>
  </cols>
  <sheetData>
    <row r="1" spans="1:16" x14ac:dyDescent="0.25">
      <c r="A1" t="s">
        <v>130</v>
      </c>
    </row>
    <row r="4" spans="1:16" x14ac:dyDescent="0.25">
      <c r="A4" t="s">
        <v>131</v>
      </c>
      <c r="B4" t="s">
        <v>132</v>
      </c>
      <c r="C4" t="s">
        <v>159</v>
      </c>
      <c r="D4" t="s">
        <v>133</v>
      </c>
      <c r="E4" t="s">
        <v>160</v>
      </c>
      <c r="F4" t="s">
        <v>137</v>
      </c>
      <c r="G4" t="s">
        <v>161</v>
      </c>
      <c r="H4" t="s">
        <v>134</v>
      </c>
      <c r="I4" t="s">
        <v>163</v>
      </c>
      <c r="J4" t="s">
        <v>135</v>
      </c>
      <c r="K4" t="s">
        <v>162</v>
      </c>
      <c r="L4" t="s">
        <v>48</v>
      </c>
    </row>
    <row r="5" spans="1:16" x14ac:dyDescent="0.25">
      <c r="A5" t="s">
        <v>136</v>
      </c>
      <c r="B5">
        <v>4</v>
      </c>
      <c r="C5">
        <f>$C$4+B5</f>
        <v>7</v>
      </c>
      <c r="D5">
        <v>3</v>
      </c>
      <c r="E5">
        <f>$E$4+D5</f>
        <v>8</v>
      </c>
      <c r="F5">
        <v>3</v>
      </c>
      <c r="G5">
        <f>$G$4+F5</f>
        <v>7</v>
      </c>
      <c r="H5">
        <v>4</v>
      </c>
      <c r="I5">
        <f>$I$4+H5</f>
        <v>6</v>
      </c>
      <c r="J5">
        <v>4</v>
      </c>
      <c r="K5">
        <f>$K$4+J5</f>
        <v>5</v>
      </c>
      <c r="L5">
        <f>C5+E5+G5+I5+K5</f>
        <v>33</v>
      </c>
      <c r="P5" t="str">
        <f>INDEX(Table3[Job], MATCH(36, Table3[Total],0 ))</f>
        <v>Software Developer</v>
      </c>
    </row>
    <row r="6" spans="1:16" x14ac:dyDescent="0.25">
      <c r="A6" t="s">
        <v>138</v>
      </c>
      <c r="B6">
        <v>5</v>
      </c>
      <c r="C6">
        <f>$C$4+B6</f>
        <v>8</v>
      </c>
      <c r="D6">
        <v>2</v>
      </c>
      <c r="E6">
        <f>$E$4+D6</f>
        <v>7</v>
      </c>
      <c r="F6">
        <v>2</v>
      </c>
      <c r="G6">
        <f>$G$4+F6</f>
        <v>6</v>
      </c>
      <c r="H6">
        <v>2</v>
      </c>
      <c r="I6">
        <f>$I$4+H6</f>
        <v>4</v>
      </c>
      <c r="J6">
        <v>5</v>
      </c>
      <c r="K6">
        <f>$K$4+J6</f>
        <v>6</v>
      </c>
      <c r="L6">
        <f>C6+E6+G6+I6+K6</f>
        <v>31</v>
      </c>
      <c r="P6">
        <f>VLOOKUP(A7,Table3[],12,)</f>
        <v>36</v>
      </c>
    </row>
    <row r="7" spans="1:16" x14ac:dyDescent="0.25">
      <c r="A7" t="s">
        <v>139</v>
      </c>
      <c r="B7">
        <v>5</v>
      </c>
      <c r="C7">
        <f>$C$4+B7</f>
        <v>8</v>
      </c>
      <c r="D7">
        <v>5</v>
      </c>
      <c r="E7">
        <f>$E$4+D7</f>
        <v>10</v>
      </c>
      <c r="F7">
        <v>4</v>
      </c>
      <c r="G7">
        <f>$G$4+F7</f>
        <v>8</v>
      </c>
      <c r="H7">
        <v>4</v>
      </c>
      <c r="I7">
        <f>$I$4+H7</f>
        <v>6</v>
      </c>
      <c r="J7">
        <v>3</v>
      </c>
      <c r="K7">
        <f>$K$4+J7</f>
        <v>4</v>
      </c>
      <c r="L7">
        <f>C7+E7+G7+I7+K7</f>
        <v>36</v>
      </c>
      <c r="P7" t="str" cm="1">
        <f t="array" ref="P7:P8">_xlfn._xlws.FILTER(Table3[Job],(Table3[Total]=36)+(Table3[Total]=35), "NAN")</f>
        <v>Software Developer</v>
      </c>
    </row>
    <row r="8" spans="1:16" x14ac:dyDescent="0.25">
      <c r="A8" t="s">
        <v>140</v>
      </c>
      <c r="B8">
        <v>2</v>
      </c>
      <c r="C8">
        <f>$C$4+B8</f>
        <v>5</v>
      </c>
      <c r="D8">
        <v>4</v>
      </c>
      <c r="E8">
        <f>$E$4+D8</f>
        <v>9</v>
      </c>
      <c r="F8">
        <v>5</v>
      </c>
      <c r="G8">
        <f>$G$4+F8</f>
        <v>9</v>
      </c>
      <c r="H8">
        <v>3</v>
      </c>
      <c r="I8">
        <f>$I$4+H8</f>
        <v>5</v>
      </c>
      <c r="J8">
        <v>3</v>
      </c>
      <c r="K8">
        <f>$K$4+J8</f>
        <v>4</v>
      </c>
      <c r="L8">
        <f>C8+E8+G8+I8+K8</f>
        <v>32</v>
      </c>
      <c r="P8" t="str">
        <v>Nurse</v>
      </c>
    </row>
    <row r="9" spans="1:16" x14ac:dyDescent="0.25">
      <c r="A9" t="s">
        <v>141</v>
      </c>
      <c r="B9">
        <v>2</v>
      </c>
      <c r="C9">
        <f>$C$4+B9</f>
        <v>5</v>
      </c>
      <c r="D9">
        <v>2</v>
      </c>
      <c r="E9">
        <f>$E$4+D9</f>
        <v>7</v>
      </c>
      <c r="F9">
        <v>4</v>
      </c>
      <c r="G9">
        <f>$G$4+F9</f>
        <v>8</v>
      </c>
      <c r="H9">
        <v>5</v>
      </c>
      <c r="I9">
        <f>$I$4+H9</f>
        <v>7</v>
      </c>
      <c r="J9">
        <v>2</v>
      </c>
      <c r="K9">
        <f>$K$4+J9</f>
        <v>3</v>
      </c>
      <c r="L9">
        <f>C9+E9+G9+I9+K9</f>
        <v>30</v>
      </c>
      <c r="P9" t="str" cm="1">
        <f t="array" ref="P9">_xlfn.TEXTJOIN(", ", TRUE, _xlfn._xlws.FILTER(Table3[Job], (Table3[Total]=36)+(Table3[Total]=35), ""))</f>
        <v>Software Developer, Nurse</v>
      </c>
    </row>
    <row r="10" spans="1:16" x14ac:dyDescent="0.25">
      <c r="A10" t="s">
        <v>142</v>
      </c>
      <c r="B10">
        <v>4</v>
      </c>
      <c r="C10">
        <f>$C$4+B10</f>
        <v>7</v>
      </c>
      <c r="D10">
        <v>5</v>
      </c>
      <c r="E10">
        <f>$E$4+D10</f>
        <v>10</v>
      </c>
      <c r="F10">
        <v>3</v>
      </c>
      <c r="G10">
        <f>$G$4+F10</f>
        <v>7</v>
      </c>
      <c r="H10">
        <v>2</v>
      </c>
      <c r="I10">
        <f>$I$4+H10</f>
        <v>4</v>
      </c>
      <c r="J10">
        <v>2</v>
      </c>
      <c r="K10">
        <f>$K$4+J10</f>
        <v>3</v>
      </c>
      <c r="L10">
        <f>C10+E10+G10+I10+K10</f>
        <v>31</v>
      </c>
    </row>
    <row r="11" spans="1:16" x14ac:dyDescent="0.25">
      <c r="A11" t="s">
        <v>143</v>
      </c>
      <c r="B11">
        <v>4</v>
      </c>
      <c r="C11">
        <f>$C$4+B11</f>
        <v>7</v>
      </c>
      <c r="D11">
        <v>4</v>
      </c>
      <c r="E11">
        <f>$E$4+D11</f>
        <v>9</v>
      </c>
      <c r="F11">
        <v>2</v>
      </c>
      <c r="G11">
        <f>$G$4+F11</f>
        <v>6</v>
      </c>
      <c r="H11">
        <v>3</v>
      </c>
      <c r="I11">
        <f>$I$4+H11</f>
        <v>5</v>
      </c>
      <c r="J11">
        <v>4</v>
      </c>
      <c r="K11">
        <f>$K$4+J11</f>
        <v>5</v>
      </c>
      <c r="L11">
        <f>C11+E11+G11+I11+K11</f>
        <v>32</v>
      </c>
    </row>
    <row r="12" spans="1:16" x14ac:dyDescent="0.25">
      <c r="A12" t="s">
        <v>144</v>
      </c>
      <c r="B12">
        <v>5</v>
      </c>
      <c r="C12">
        <f>$C$4+B12</f>
        <v>8</v>
      </c>
      <c r="D12">
        <v>2</v>
      </c>
      <c r="E12">
        <f>$E$4+D12</f>
        <v>7</v>
      </c>
      <c r="F12">
        <v>2</v>
      </c>
      <c r="G12">
        <f>$G$4+F12</f>
        <v>6</v>
      </c>
      <c r="H12">
        <v>3</v>
      </c>
      <c r="I12">
        <f>$I$4+H12</f>
        <v>5</v>
      </c>
      <c r="J12">
        <v>5</v>
      </c>
      <c r="K12">
        <f>$K$4+J12</f>
        <v>6</v>
      </c>
      <c r="L12">
        <f>C12+E12+G12+I12+K12</f>
        <v>32</v>
      </c>
    </row>
    <row r="13" spans="1:16" x14ac:dyDescent="0.25">
      <c r="A13" t="s">
        <v>145</v>
      </c>
      <c r="B13">
        <v>4</v>
      </c>
      <c r="C13">
        <f>$C$4+B13</f>
        <v>7</v>
      </c>
      <c r="D13">
        <v>5</v>
      </c>
      <c r="E13">
        <f>$E$4+D13</f>
        <v>10</v>
      </c>
      <c r="F13">
        <v>3</v>
      </c>
      <c r="G13">
        <f>$G$4+F13</f>
        <v>7</v>
      </c>
      <c r="H13">
        <v>4</v>
      </c>
      <c r="I13">
        <f>$I$4+H13</f>
        <v>6</v>
      </c>
      <c r="J13">
        <v>3</v>
      </c>
      <c r="K13">
        <f>$K$4+J13</f>
        <v>4</v>
      </c>
      <c r="L13">
        <f>C13+E13+G13+I13+K13</f>
        <v>34</v>
      </c>
    </row>
    <row r="14" spans="1:16" x14ac:dyDescent="0.25">
      <c r="A14" t="s">
        <v>146</v>
      </c>
      <c r="B14">
        <v>3</v>
      </c>
      <c r="C14">
        <f>$C$4+B14</f>
        <v>6</v>
      </c>
      <c r="D14">
        <v>3</v>
      </c>
      <c r="E14">
        <f>$E$4+D14</f>
        <v>8</v>
      </c>
      <c r="F14">
        <v>2</v>
      </c>
      <c r="G14">
        <f>$G$4+F14</f>
        <v>6</v>
      </c>
      <c r="H14">
        <v>2</v>
      </c>
      <c r="I14">
        <f>$I$4+H14</f>
        <v>4</v>
      </c>
      <c r="J14">
        <v>5</v>
      </c>
      <c r="K14">
        <f>$K$4+J14</f>
        <v>6</v>
      </c>
      <c r="L14">
        <f>C14+E14+G14+I14+K14</f>
        <v>30</v>
      </c>
    </row>
    <row r="15" spans="1:16" x14ac:dyDescent="0.25">
      <c r="A15" t="s">
        <v>147</v>
      </c>
      <c r="B15">
        <v>2</v>
      </c>
      <c r="C15">
        <f>$C$4+B15</f>
        <v>5</v>
      </c>
      <c r="D15">
        <v>3</v>
      </c>
      <c r="E15">
        <f>$E$4+D15</f>
        <v>8</v>
      </c>
      <c r="F15">
        <v>5</v>
      </c>
      <c r="G15">
        <f>$G$4+F15</f>
        <v>9</v>
      </c>
      <c r="H15">
        <v>5</v>
      </c>
      <c r="I15">
        <f>$I$4+H15</f>
        <v>7</v>
      </c>
      <c r="J15">
        <v>2</v>
      </c>
      <c r="K15">
        <f>$K$4+J15</f>
        <v>3</v>
      </c>
      <c r="L15">
        <f>C15+E15+G15+I15+K15</f>
        <v>32</v>
      </c>
    </row>
    <row r="16" spans="1:16" x14ac:dyDescent="0.25">
      <c r="A16" t="s">
        <v>148</v>
      </c>
      <c r="B16">
        <v>4</v>
      </c>
      <c r="C16">
        <f>$C$4+B16</f>
        <v>7</v>
      </c>
      <c r="D16">
        <v>4</v>
      </c>
      <c r="E16">
        <f>$E$4+D16</f>
        <v>9</v>
      </c>
      <c r="F16">
        <v>3</v>
      </c>
      <c r="G16">
        <f>$G$4+F16</f>
        <v>7</v>
      </c>
      <c r="H16">
        <v>2</v>
      </c>
      <c r="I16">
        <f>$I$4+H16</f>
        <v>4</v>
      </c>
      <c r="J16">
        <v>3</v>
      </c>
      <c r="K16">
        <f>$K$4+J16</f>
        <v>4</v>
      </c>
      <c r="L16">
        <f>C16+E16+G16+I16+K16</f>
        <v>31</v>
      </c>
    </row>
    <row r="17" spans="1:12" x14ac:dyDescent="0.25">
      <c r="A17" t="s">
        <v>149</v>
      </c>
      <c r="B17">
        <v>3</v>
      </c>
      <c r="C17">
        <f>$C$4+B17</f>
        <v>6</v>
      </c>
      <c r="D17">
        <v>5</v>
      </c>
      <c r="E17">
        <f>$E$4+D17</f>
        <v>10</v>
      </c>
      <c r="F17">
        <v>3</v>
      </c>
      <c r="G17">
        <f>$G$4+F17</f>
        <v>7</v>
      </c>
      <c r="H17">
        <v>3</v>
      </c>
      <c r="I17">
        <f>$I$4+H17</f>
        <v>5</v>
      </c>
      <c r="J17">
        <v>2</v>
      </c>
      <c r="K17">
        <f>$K$4+J17</f>
        <v>3</v>
      </c>
      <c r="L17">
        <f>C17+E17+G17+I17+K17</f>
        <v>31</v>
      </c>
    </row>
    <row r="18" spans="1:12" x14ac:dyDescent="0.25">
      <c r="A18" t="s">
        <v>150</v>
      </c>
      <c r="B18">
        <v>3</v>
      </c>
      <c r="C18">
        <f>$C$4+B18</f>
        <v>6</v>
      </c>
      <c r="D18">
        <v>4</v>
      </c>
      <c r="E18">
        <f>$E$4+D18</f>
        <v>9</v>
      </c>
      <c r="F18">
        <v>2</v>
      </c>
      <c r="G18">
        <f>$G$4+F18</f>
        <v>6</v>
      </c>
      <c r="H18">
        <v>3</v>
      </c>
      <c r="I18">
        <f>$I$4+H18</f>
        <v>5</v>
      </c>
      <c r="J18">
        <v>3</v>
      </c>
      <c r="K18">
        <f>$K$4+J18</f>
        <v>4</v>
      </c>
      <c r="L18">
        <f>C18+E18+G18+I18+K18</f>
        <v>30</v>
      </c>
    </row>
    <row r="19" spans="1:12" x14ac:dyDescent="0.25">
      <c r="A19" t="s">
        <v>151</v>
      </c>
      <c r="B19">
        <v>2</v>
      </c>
      <c r="C19">
        <f>$C$4+B19</f>
        <v>5</v>
      </c>
      <c r="D19">
        <v>2</v>
      </c>
      <c r="E19">
        <f>$E$4+D19</f>
        <v>7</v>
      </c>
      <c r="F19">
        <v>5</v>
      </c>
      <c r="G19">
        <f>$G$4+F19</f>
        <v>9</v>
      </c>
      <c r="H19">
        <v>4</v>
      </c>
      <c r="I19">
        <f>$I$4+H19</f>
        <v>6</v>
      </c>
      <c r="J19">
        <v>3</v>
      </c>
      <c r="K19">
        <f>$K$4+J19</f>
        <v>4</v>
      </c>
      <c r="L19">
        <f>C19+E19+G19+I19+K19</f>
        <v>31</v>
      </c>
    </row>
    <row r="20" spans="1:12" x14ac:dyDescent="0.25">
      <c r="A20" t="s">
        <v>152</v>
      </c>
      <c r="B20">
        <v>5</v>
      </c>
      <c r="C20">
        <f>$C$4+B20</f>
        <v>8</v>
      </c>
      <c r="D20">
        <v>3</v>
      </c>
      <c r="E20">
        <f>$E$4+D20</f>
        <v>8</v>
      </c>
      <c r="F20">
        <v>5</v>
      </c>
      <c r="G20">
        <f>$G$4+F20</f>
        <v>9</v>
      </c>
      <c r="H20">
        <v>2</v>
      </c>
      <c r="I20">
        <f>$I$4+H20</f>
        <v>4</v>
      </c>
      <c r="J20">
        <v>4</v>
      </c>
      <c r="K20">
        <f>$K$4+J20</f>
        <v>5</v>
      </c>
      <c r="L20">
        <f>C20+E20+G20+I20+K20</f>
        <v>34</v>
      </c>
    </row>
    <row r="21" spans="1:12" x14ac:dyDescent="0.25">
      <c r="A21" t="s">
        <v>153</v>
      </c>
      <c r="B21">
        <v>3</v>
      </c>
      <c r="C21">
        <f>$C$4+B21</f>
        <v>6</v>
      </c>
      <c r="D21">
        <v>2</v>
      </c>
      <c r="E21">
        <f>$E$4+D21</f>
        <v>7</v>
      </c>
      <c r="F21">
        <v>4</v>
      </c>
      <c r="G21">
        <f>$G$4+F21</f>
        <v>8</v>
      </c>
      <c r="H21">
        <v>4</v>
      </c>
      <c r="I21">
        <f>$I$4+H21</f>
        <v>6</v>
      </c>
      <c r="J21">
        <v>5</v>
      </c>
      <c r="K21">
        <f>$K$4+J21</f>
        <v>6</v>
      </c>
      <c r="L21">
        <f>C21+E21+G21+I21+K21</f>
        <v>33</v>
      </c>
    </row>
    <row r="22" spans="1:12" x14ac:dyDescent="0.25">
      <c r="A22" t="s">
        <v>154</v>
      </c>
      <c r="B22">
        <v>2</v>
      </c>
      <c r="C22">
        <f>$C$4+B22</f>
        <v>5</v>
      </c>
      <c r="D22">
        <v>4</v>
      </c>
      <c r="E22">
        <f>$E$4+D22</f>
        <v>9</v>
      </c>
      <c r="F22">
        <v>2</v>
      </c>
      <c r="G22">
        <f>$G$4+F22</f>
        <v>6</v>
      </c>
      <c r="H22">
        <v>2</v>
      </c>
      <c r="I22">
        <f>$I$4+H22</f>
        <v>4</v>
      </c>
      <c r="J22">
        <v>2</v>
      </c>
      <c r="K22">
        <f>$K$4+J22</f>
        <v>3</v>
      </c>
      <c r="L22">
        <f>C22+E22+G22+I22+K22</f>
        <v>27</v>
      </c>
    </row>
    <row r="23" spans="1:12" x14ac:dyDescent="0.25">
      <c r="A23" t="s">
        <v>155</v>
      </c>
      <c r="B23">
        <v>1</v>
      </c>
      <c r="C23">
        <f>$C$4+B23</f>
        <v>4</v>
      </c>
      <c r="D23">
        <v>3</v>
      </c>
      <c r="E23">
        <f>$E$4+D23</f>
        <v>8</v>
      </c>
      <c r="F23">
        <v>4</v>
      </c>
      <c r="G23">
        <f>$G$4+F23</f>
        <v>8</v>
      </c>
      <c r="H23">
        <v>4</v>
      </c>
      <c r="I23">
        <f>$I$4+H23</f>
        <v>6</v>
      </c>
      <c r="J23">
        <v>3</v>
      </c>
      <c r="K23">
        <f>$K$4+J23</f>
        <v>4</v>
      </c>
      <c r="L23">
        <f>C23+E23+G23+I23+K23</f>
        <v>30</v>
      </c>
    </row>
    <row r="24" spans="1:12" x14ac:dyDescent="0.25">
      <c r="A24" t="s">
        <v>156</v>
      </c>
      <c r="B24">
        <v>3</v>
      </c>
      <c r="C24">
        <f>$C$4+B24</f>
        <v>6</v>
      </c>
      <c r="D24">
        <v>5</v>
      </c>
      <c r="E24">
        <f>$E$4+D24</f>
        <v>10</v>
      </c>
      <c r="F24">
        <v>4</v>
      </c>
      <c r="G24">
        <f>$G$4+F24</f>
        <v>8</v>
      </c>
      <c r="H24">
        <v>4</v>
      </c>
      <c r="I24">
        <f>$I$4+H24</f>
        <v>6</v>
      </c>
      <c r="J24">
        <v>4</v>
      </c>
      <c r="K24">
        <f>$K$4+J24</f>
        <v>5</v>
      </c>
      <c r="L24">
        <f>C24+E24+G24+I24+K24</f>
        <v>35</v>
      </c>
    </row>
    <row r="25" spans="1:12" x14ac:dyDescent="0.25">
      <c r="A25" t="s">
        <v>157</v>
      </c>
      <c r="B25">
        <v>4</v>
      </c>
      <c r="C25">
        <f>$C$4+B25</f>
        <v>7</v>
      </c>
      <c r="D25">
        <v>4</v>
      </c>
      <c r="E25">
        <f>$E$4+D25</f>
        <v>9</v>
      </c>
      <c r="F25">
        <v>4</v>
      </c>
      <c r="G25">
        <f>$G$4+F25</f>
        <v>8</v>
      </c>
      <c r="H25">
        <v>5</v>
      </c>
      <c r="I25">
        <f>$I$4+H25</f>
        <v>7</v>
      </c>
      <c r="J25">
        <v>2</v>
      </c>
      <c r="K25">
        <f>$K$4+J25</f>
        <v>3</v>
      </c>
      <c r="L25">
        <f>C25+E25+G25+I25+K25</f>
        <v>34</v>
      </c>
    </row>
    <row r="26" spans="1:12" x14ac:dyDescent="0.25">
      <c r="A26" t="s">
        <v>158</v>
      </c>
      <c r="B26">
        <v>5</v>
      </c>
      <c r="C26">
        <f>$C$4+B26</f>
        <v>8</v>
      </c>
      <c r="D26">
        <v>2</v>
      </c>
      <c r="E26">
        <f>$E$4+D26</f>
        <v>7</v>
      </c>
      <c r="F26">
        <v>3</v>
      </c>
      <c r="G26">
        <f>$G$4+F26</f>
        <v>7</v>
      </c>
      <c r="H26">
        <v>3</v>
      </c>
      <c r="I26">
        <f>$I$4+H26</f>
        <v>5</v>
      </c>
      <c r="J26">
        <v>5</v>
      </c>
      <c r="K26">
        <f>$K$4+J26</f>
        <v>6</v>
      </c>
      <c r="L26">
        <f>C26+E26+G26+I26+K26</f>
        <v>33</v>
      </c>
    </row>
  </sheetData>
  <conditionalFormatting sqref="L5:L26">
    <cfRule type="top10" priority="1" rank="20"/>
    <cfRule type="top10" priority="2" rank="20"/>
    <cfRule type="top10" dxfId="0" priority="3" percent="1" rank="10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936-668B-4271-9021-2AB6FDEF0013}">
  <dimension ref="A1:N172"/>
  <sheetViews>
    <sheetView tabSelected="1" workbookViewId="0">
      <selection activeCell="M5" sqref="M5"/>
    </sheetView>
  </sheetViews>
  <sheetFormatPr defaultRowHeight="15" x14ac:dyDescent="0.25"/>
  <cols>
    <col min="1" max="1" width="6.5703125" bestFit="1" customWidth="1"/>
    <col min="2" max="2" width="19.42578125" bestFit="1" customWidth="1"/>
    <col min="3" max="3" width="12.7109375" bestFit="1" customWidth="1"/>
    <col min="4" max="4" width="18.7109375" bestFit="1" customWidth="1"/>
    <col min="5" max="5" width="9.7109375" style="14" bestFit="1" customWidth="1"/>
    <col min="6" max="6" width="9.5703125" style="14" bestFit="1" customWidth="1"/>
    <col min="7" max="7" width="7.5703125" bestFit="1" customWidth="1"/>
    <col min="8" max="8" width="15.28515625" bestFit="1" customWidth="1"/>
    <col min="9" max="9" width="10.5703125" bestFit="1" customWidth="1"/>
    <col min="10" max="10" width="10.42578125" bestFit="1" customWidth="1"/>
    <col min="11" max="11" width="12.7109375" bestFit="1" customWidth="1"/>
    <col min="13" max="13" width="34.85546875" bestFit="1" customWidth="1"/>
    <col min="14" max="14" width="11.5703125" bestFit="1" customWidth="1"/>
  </cols>
  <sheetData>
    <row r="1" spans="1:14" ht="75" x14ac:dyDescent="0.25">
      <c r="A1" s="22" t="s">
        <v>204</v>
      </c>
      <c r="B1" s="22" t="s">
        <v>203</v>
      </c>
      <c r="C1" s="22" t="s">
        <v>202</v>
      </c>
      <c r="D1" s="22" t="s">
        <v>201</v>
      </c>
      <c r="E1" s="23" t="s">
        <v>200</v>
      </c>
      <c r="F1" s="23" t="s">
        <v>199</v>
      </c>
      <c r="G1" s="22" t="s">
        <v>198</v>
      </c>
      <c r="H1" s="22" t="s">
        <v>205</v>
      </c>
      <c r="I1" s="22" t="s">
        <v>214</v>
      </c>
      <c r="J1" s="22" t="s">
        <v>2</v>
      </c>
      <c r="K1" s="22" t="s">
        <v>197</v>
      </c>
    </row>
    <row r="2" spans="1:14" x14ac:dyDescent="0.25">
      <c r="A2" s="21" t="s">
        <v>196</v>
      </c>
      <c r="B2" s="20">
        <v>1001</v>
      </c>
      <c r="C2">
        <v>9822</v>
      </c>
      <c r="D2" t="s">
        <v>175</v>
      </c>
      <c r="E2" s="14">
        <v>58.3</v>
      </c>
      <c r="F2" s="14">
        <v>98.4</v>
      </c>
      <c r="G2" s="14">
        <f>F2-E2</f>
        <v>40.100000000000009</v>
      </c>
      <c r="H2" s="14">
        <f>IF(F2&lt;50,G2*0.1,G2*0.2)</f>
        <v>8.0200000000000014</v>
      </c>
      <c r="I2" t="s">
        <v>206</v>
      </c>
      <c r="J2" t="s">
        <v>207</v>
      </c>
      <c r="K2" t="s">
        <v>176</v>
      </c>
    </row>
    <row r="3" spans="1:14" x14ac:dyDescent="0.25">
      <c r="A3" s="21" t="s">
        <v>196</v>
      </c>
      <c r="B3" s="20">
        <v>1002</v>
      </c>
      <c r="C3">
        <v>2877</v>
      </c>
      <c r="D3" t="s">
        <v>188</v>
      </c>
      <c r="E3" s="14">
        <v>11.4</v>
      </c>
      <c r="F3" s="14">
        <v>16.3</v>
      </c>
      <c r="G3" s="14">
        <f>F3-E3</f>
        <v>4.9000000000000004</v>
      </c>
      <c r="H3" s="14">
        <f>IF(F3&lt;50,G3*0.1,G3*0.2)</f>
        <v>0.49000000000000005</v>
      </c>
      <c r="I3" t="s">
        <v>208</v>
      </c>
      <c r="J3" t="s">
        <v>209</v>
      </c>
      <c r="K3" t="s">
        <v>172</v>
      </c>
      <c r="M3" t="s">
        <v>215</v>
      </c>
    </row>
    <row r="4" spans="1:14" x14ac:dyDescent="0.25">
      <c r="A4" s="21" t="s">
        <v>196</v>
      </c>
      <c r="B4" s="20">
        <v>1003</v>
      </c>
      <c r="C4">
        <v>2499</v>
      </c>
      <c r="D4" t="s">
        <v>187</v>
      </c>
      <c r="E4" s="14">
        <v>6.2</v>
      </c>
      <c r="F4" s="14">
        <v>9.1999999999999993</v>
      </c>
      <c r="G4" s="14">
        <f>F4-E4</f>
        <v>2.9999999999999991</v>
      </c>
      <c r="H4" s="14">
        <f>IF(F4&lt;50,G4*0.1,G4*0.2)</f>
        <v>0.29999999999999993</v>
      </c>
      <c r="I4" t="s">
        <v>210</v>
      </c>
      <c r="J4" t="s">
        <v>211</v>
      </c>
      <c r="K4" t="s">
        <v>179</v>
      </c>
      <c r="M4" t="s">
        <v>216</v>
      </c>
    </row>
    <row r="5" spans="1:14" x14ac:dyDescent="0.25">
      <c r="A5" s="21" t="s">
        <v>196</v>
      </c>
      <c r="B5" s="20">
        <v>1004</v>
      </c>
      <c r="C5">
        <v>8722</v>
      </c>
      <c r="D5" t="s">
        <v>174</v>
      </c>
      <c r="E5" s="14">
        <v>344</v>
      </c>
      <c r="F5" s="14">
        <v>502</v>
      </c>
      <c r="G5" s="14">
        <f>F5-E5</f>
        <v>158</v>
      </c>
      <c r="H5" s="14">
        <f>IF(F5&lt;50,G5*0.1,G5*0.2)</f>
        <v>31.6</v>
      </c>
      <c r="I5" t="s">
        <v>206</v>
      </c>
      <c r="J5" t="s">
        <v>207</v>
      </c>
      <c r="K5" t="s">
        <v>179</v>
      </c>
      <c r="M5" t="s">
        <v>217</v>
      </c>
    </row>
    <row r="6" spans="1:14" x14ac:dyDescent="0.25">
      <c r="A6" s="21" t="s">
        <v>196</v>
      </c>
      <c r="B6" s="20">
        <v>1005</v>
      </c>
      <c r="C6">
        <v>1109</v>
      </c>
      <c r="D6" t="s">
        <v>186</v>
      </c>
      <c r="E6" s="14">
        <v>3</v>
      </c>
      <c r="F6" s="14">
        <v>8</v>
      </c>
      <c r="G6" s="14">
        <f>F6-E6</f>
        <v>5</v>
      </c>
      <c r="H6" s="14">
        <f>IF(F6&lt;50,G6*0.1,G6*0.2)</f>
        <v>0.5</v>
      </c>
      <c r="I6" t="s">
        <v>210</v>
      </c>
      <c r="J6" t="s">
        <v>211</v>
      </c>
      <c r="K6" t="s">
        <v>179</v>
      </c>
    </row>
    <row r="7" spans="1:14" x14ac:dyDescent="0.25">
      <c r="A7" s="21" t="s">
        <v>196</v>
      </c>
      <c r="B7" s="20">
        <v>1006</v>
      </c>
      <c r="C7">
        <v>9822</v>
      </c>
      <c r="D7" t="s">
        <v>175</v>
      </c>
      <c r="E7" s="14">
        <v>58.3</v>
      </c>
      <c r="F7" s="14">
        <v>98.4</v>
      </c>
      <c r="G7" s="14">
        <f>F7-E7</f>
        <v>40.100000000000009</v>
      </c>
      <c r="H7" s="14">
        <f>IF(F7&lt;50,G7*0.1,G7*0.2)</f>
        <v>8.0200000000000014</v>
      </c>
      <c r="I7" t="s">
        <v>210</v>
      </c>
      <c r="J7" t="s">
        <v>211</v>
      </c>
      <c r="K7" t="s">
        <v>179</v>
      </c>
      <c r="M7" s="21" t="s">
        <v>218</v>
      </c>
      <c r="N7" s="14">
        <f>SUM(F2:F172)</f>
        <v>17110.599999999995</v>
      </c>
    </row>
    <row r="8" spans="1:14" x14ac:dyDescent="0.25">
      <c r="A8" s="21" t="s">
        <v>196</v>
      </c>
      <c r="B8" s="20">
        <v>1007</v>
      </c>
      <c r="C8">
        <v>1109</v>
      </c>
      <c r="D8" t="s">
        <v>186</v>
      </c>
      <c r="E8" s="14">
        <v>3</v>
      </c>
      <c r="F8" s="14">
        <v>8</v>
      </c>
      <c r="G8" s="14">
        <f>F8-E8</f>
        <v>5</v>
      </c>
      <c r="H8" s="14">
        <f>IF(F8&lt;50,G8*0.1,G8*0.2)</f>
        <v>0.5</v>
      </c>
      <c r="I8" t="s">
        <v>212</v>
      </c>
      <c r="J8" t="s">
        <v>213</v>
      </c>
      <c r="K8" t="s">
        <v>176</v>
      </c>
      <c r="M8" s="21" t="s">
        <v>219</v>
      </c>
      <c r="N8" s="24">
        <f>SUMIF(F2:F172,"&gt;50")</f>
        <v>16088.399999999994</v>
      </c>
    </row>
    <row r="9" spans="1:14" x14ac:dyDescent="0.25">
      <c r="A9" s="21" t="s">
        <v>196</v>
      </c>
      <c r="B9" s="20">
        <v>1008</v>
      </c>
      <c r="C9">
        <v>2877</v>
      </c>
      <c r="D9" t="s">
        <v>188</v>
      </c>
      <c r="E9" s="14">
        <v>11.4</v>
      </c>
      <c r="F9" s="14">
        <v>16.3</v>
      </c>
      <c r="G9" s="14">
        <f>F9-E9</f>
        <v>4.9000000000000004</v>
      </c>
      <c r="H9" s="14">
        <f>IF(F9&lt;50,G9*0.1,G9*0.2)</f>
        <v>0.49000000000000005</v>
      </c>
      <c r="I9" t="s">
        <v>210</v>
      </c>
      <c r="J9" t="s">
        <v>211</v>
      </c>
      <c r="K9" t="s">
        <v>176</v>
      </c>
      <c r="M9" t="s">
        <v>220</v>
      </c>
      <c r="N9" s="24">
        <f>SUMIF(F2:F172,"&lt;=50")</f>
        <v>1022.1999999999997</v>
      </c>
    </row>
    <row r="10" spans="1:14" x14ac:dyDescent="0.25">
      <c r="A10" s="21" t="s">
        <v>196</v>
      </c>
      <c r="B10" s="20">
        <v>1009</v>
      </c>
      <c r="C10">
        <v>1109</v>
      </c>
      <c r="D10" t="s">
        <v>186</v>
      </c>
      <c r="E10" s="14">
        <v>3</v>
      </c>
      <c r="F10" s="14">
        <v>8</v>
      </c>
      <c r="G10" s="14">
        <f>F10-E10</f>
        <v>5</v>
      </c>
      <c r="H10" s="14">
        <f>IF(F10&lt;50,G10*0.1,G10*0.2)</f>
        <v>0.5</v>
      </c>
      <c r="I10" t="s">
        <v>210</v>
      </c>
      <c r="J10" t="s">
        <v>211</v>
      </c>
      <c r="K10" t="s">
        <v>179</v>
      </c>
    </row>
    <row r="11" spans="1:14" x14ac:dyDescent="0.25">
      <c r="A11" s="21" t="s">
        <v>196</v>
      </c>
      <c r="B11" s="20">
        <v>1010</v>
      </c>
      <c r="C11">
        <v>2877</v>
      </c>
      <c r="D11" t="s">
        <v>188</v>
      </c>
      <c r="E11" s="14">
        <v>11.4</v>
      </c>
      <c r="F11" s="14">
        <v>16.3</v>
      </c>
      <c r="G11" s="14">
        <f>F11-E11</f>
        <v>4.9000000000000004</v>
      </c>
      <c r="H11" s="14">
        <f>IF(F11&lt;50,G11*0.1,G11*0.2)</f>
        <v>0.49000000000000005</v>
      </c>
      <c r="I11" t="s">
        <v>208</v>
      </c>
      <c r="J11" t="s">
        <v>209</v>
      </c>
      <c r="K11" t="s">
        <v>193</v>
      </c>
    </row>
    <row r="12" spans="1:14" x14ac:dyDescent="0.25">
      <c r="A12" s="21" t="s">
        <v>196</v>
      </c>
      <c r="B12" s="20">
        <v>1011</v>
      </c>
      <c r="C12">
        <v>2877</v>
      </c>
      <c r="D12" t="s">
        <v>188</v>
      </c>
      <c r="E12" s="14">
        <v>11.4</v>
      </c>
      <c r="F12" s="14">
        <v>16.3</v>
      </c>
      <c r="G12" s="14">
        <f>F12-E12</f>
        <v>4.9000000000000004</v>
      </c>
      <c r="H12" s="14">
        <f>IF(F12&lt;50,G12*0.1,G12*0.2)</f>
        <v>0.49000000000000005</v>
      </c>
      <c r="I12" t="s">
        <v>208</v>
      </c>
      <c r="J12" t="s">
        <v>209</v>
      </c>
      <c r="K12" t="s">
        <v>179</v>
      </c>
    </row>
    <row r="13" spans="1:14" x14ac:dyDescent="0.25">
      <c r="A13" s="21" t="s">
        <v>196</v>
      </c>
      <c r="B13" s="20">
        <v>1012</v>
      </c>
      <c r="C13">
        <v>4421</v>
      </c>
      <c r="D13" t="s">
        <v>170</v>
      </c>
      <c r="E13" s="14">
        <v>45</v>
      </c>
      <c r="F13" s="14">
        <v>87</v>
      </c>
      <c r="G13" s="14">
        <f>F13-E13</f>
        <v>42</v>
      </c>
      <c r="H13" s="14">
        <f>IF(F13&lt;50,G13*0.1,G13*0.2)</f>
        <v>8.4</v>
      </c>
      <c r="I13" t="s">
        <v>210</v>
      </c>
      <c r="J13" t="s">
        <v>211</v>
      </c>
      <c r="K13" t="s">
        <v>176</v>
      </c>
    </row>
    <row r="14" spans="1:14" x14ac:dyDescent="0.25">
      <c r="A14" s="21" t="s">
        <v>196</v>
      </c>
      <c r="B14" s="20">
        <v>1013</v>
      </c>
      <c r="C14">
        <v>9212</v>
      </c>
      <c r="D14" t="s">
        <v>180</v>
      </c>
      <c r="E14" s="14">
        <v>4</v>
      </c>
      <c r="F14" s="14">
        <v>7</v>
      </c>
      <c r="G14" s="14">
        <f>F14-E14</f>
        <v>3</v>
      </c>
      <c r="H14" s="14">
        <f>IF(F14&lt;50,G14*0.1,G14*0.2)</f>
        <v>0.30000000000000004</v>
      </c>
      <c r="I14" t="s">
        <v>212</v>
      </c>
      <c r="J14" t="s">
        <v>213</v>
      </c>
      <c r="K14" t="s">
        <v>193</v>
      </c>
    </row>
    <row r="15" spans="1:14" x14ac:dyDescent="0.25">
      <c r="A15" s="21" t="s">
        <v>196</v>
      </c>
      <c r="B15" s="20">
        <v>1014</v>
      </c>
      <c r="C15">
        <v>8722</v>
      </c>
      <c r="D15" t="s">
        <v>174</v>
      </c>
      <c r="E15" s="14">
        <v>344</v>
      </c>
      <c r="F15" s="14">
        <v>502</v>
      </c>
      <c r="G15" s="14">
        <f>F15-E15</f>
        <v>158</v>
      </c>
      <c r="H15" s="14">
        <f>IF(F15&lt;50,G15*0.1,G15*0.2)</f>
        <v>31.6</v>
      </c>
      <c r="I15" t="s">
        <v>206</v>
      </c>
      <c r="J15" t="s">
        <v>207</v>
      </c>
      <c r="K15" t="s">
        <v>172</v>
      </c>
    </row>
    <row r="16" spans="1:14" x14ac:dyDescent="0.25">
      <c r="A16" s="21" t="s">
        <v>196</v>
      </c>
      <c r="B16" s="20">
        <v>1015</v>
      </c>
      <c r="C16">
        <v>2877</v>
      </c>
      <c r="D16" t="s">
        <v>188</v>
      </c>
      <c r="E16" s="14">
        <v>11.4</v>
      </c>
      <c r="F16" s="14">
        <v>16.3</v>
      </c>
      <c r="G16" s="14">
        <f>F16-E16</f>
        <v>4.9000000000000004</v>
      </c>
      <c r="H16" s="14">
        <f>IF(F16&lt;50,G16*0.1,G16*0.2)</f>
        <v>0.49000000000000005</v>
      </c>
      <c r="I16" t="s">
        <v>212</v>
      </c>
      <c r="J16" t="s">
        <v>213</v>
      </c>
      <c r="K16" t="s">
        <v>179</v>
      </c>
    </row>
    <row r="17" spans="1:11" x14ac:dyDescent="0.25">
      <c r="A17" s="21" t="s">
        <v>196</v>
      </c>
      <c r="B17" s="20">
        <v>1016</v>
      </c>
      <c r="C17">
        <v>2499</v>
      </c>
      <c r="D17" t="s">
        <v>187</v>
      </c>
      <c r="E17" s="14">
        <v>6.2</v>
      </c>
      <c r="F17" s="14">
        <v>9.1999999999999993</v>
      </c>
      <c r="G17" s="14">
        <f>F17-E17</f>
        <v>2.9999999999999991</v>
      </c>
      <c r="H17" s="14">
        <f>IF(F17&lt;50,G17*0.1,G17*0.2)</f>
        <v>0.29999999999999993</v>
      </c>
      <c r="I17" t="s">
        <v>210</v>
      </c>
      <c r="J17" t="s">
        <v>211</v>
      </c>
      <c r="K17" t="s">
        <v>172</v>
      </c>
    </row>
    <row r="18" spans="1:11" x14ac:dyDescent="0.25">
      <c r="A18" s="21" t="s">
        <v>195</v>
      </c>
      <c r="B18" s="20">
        <v>1017</v>
      </c>
      <c r="C18">
        <v>2242</v>
      </c>
      <c r="D18" t="s">
        <v>177</v>
      </c>
      <c r="E18" s="14">
        <v>60</v>
      </c>
      <c r="F18" s="14">
        <v>124</v>
      </c>
      <c r="G18" s="14">
        <f>F18-E18</f>
        <v>64</v>
      </c>
      <c r="H18" s="14">
        <f>IF(F18&lt;50,G18*0.1,G18*0.2)</f>
        <v>12.8</v>
      </c>
      <c r="I18" t="s">
        <v>208</v>
      </c>
      <c r="J18" t="s">
        <v>209</v>
      </c>
      <c r="K18" t="s">
        <v>176</v>
      </c>
    </row>
    <row r="19" spans="1:11" x14ac:dyDescent="0.25">
      <c r="A19" s="21" t="s">
        <v>195</v>
      </c>
      <c r="B19" s="20">
        <v>1018</v>
      </c>
      <c r="C19">
        <v>1109</v>
      </c>
      <c r="D19" t="s">
        <v>186</v>
      </c>
      <c r="E19" s="14">
        <v>3</v>
      </c>
      <c r="F19" s="14">
        <v>8</v>
      </c>
      <c r="G19" s="14">
        <f>F19-E19</f>
        <v>5</v>
      </c>
      <c r="H19" s="14">
        <f>IF(F19&lt;50,G19*0.1,G19*0.2)</f>
        <v>0.5</v>
      </c>
      <c r="I19" t="s">
        <v>210</v>
      </c>
      <c r="J19" t="s">
        <v>211</v>
      </c>
      <c r="K19" t="s">
        <v>172</v>
      </c>
    </row>
    <row r="20" spans="1:11" x14ac:dyDescent="0.25">
      <c r="A20" s="21" t="s">
        <v>195</v>
      </c>
      <c r="B20" s="20">
        <v>1019</v>
      </c>
      <c r="C20">
        <v>2499</v>
      </c>
      <c r="D20" t="s">
        <v>187</v>
      </c>
      <c r="E20" s="14">
        <v>6.2</v>
      </c>
      <c r="F20" s="14">
        <v>9.1999999999999993</v>
      </c>
      <c r="G20" s="14">
        <f>F20-E20</f>
        <v>2.9999999999999991</v>
      </c>
      <c r="H20" s="14">
        <f>IF(F20&lt;50,G20*0.1,G20*0.2)</f>
        <v>0.29999999999999993</v>
      </c>
      <c r="I20" t="s">
        <v>210</v>
      </c>
      <c r="J20" t="s">
        <v>211</v>
      </c>
      <c r="K20" t="s">
        <v>193</v>
      </c>
    </row>
    <row r="21" spans="1:11" x14ac:dyDescent="0.25">
      <c r="A21" s="21" t="s">
        <v>195</v>
      </c>
      <c r="B21" s="20">
        <v>1020</v>
      </c>
      <c r="C21">
        <v>2499</v>
      </c>
      <c r="D21" t="s">
        <v>187</v>
      </c>
      <c r="E21" s="14">
        <v>6.2</v>
      </c>
      <c r="F21" s="14">
        <v>9.1999999999999993</v>
      </c>
      <c r="G21" s="14">
        <f>F21-E21</f>
        <v>2.9999999999999991</v>
      </c>
      <c r="H21" s="14">
        <f>IF(F21&lt;50,G21*0.1,G21*0.2)</f>
        <v>0.29999999999999993</v>
      </c>
      <c r="I21" t="s">
        <v>210</v>
      </c>
      <c r="J21" t="s">
        <v>211</v>
      </c>
      <c r="K21" t="s">
        <v>169</v>
      </c>
    </row>
    <row r="22" spans="1:11" x14ac:dyDescent="0.25">
      <c r="A22" s="21" t="s">
        <v>195</v>
      </c>
      <c r="B22" s="20">
        <v>1021</v>
      </c>
      <c r="C22">
        <v>1109</v>
      </c>
      <c r="D22" t="s">
        <v>186</v>
      </c>
      <c r="E22" s="14">
        <v>3</v>
      </c>
      <c r="F22" s="14">
        <v>8</v>
      </c>
      <c r="G22" s="14">
        <f>F22-E22</f>
        <v>5</v>
      </c>
      <c r="H22" s="14">
        <f>IF(F22&lt;50,G22*0.1,G22*0.2)</f>
        <v>0.5</v>
      </c>
      <c r="I22" t="s">
        <v>208</v>
      </c>
      <c r="J22" t="s">
        <v>209</v>
      </c>
      <c r="K22" t="s">
        <v>193</v>
      </c>
    </row>
    <row r="23" spans="1:11" x14ac:dyDescent="0.25">
      <c r="A23" s="21" t="s">
        <v>195</v>
      </c>
      <c r="B23" s="20">
        <v>1022</v>
      </c>
      <c r="C23">
        <v>2877</v>
      </c>
      <c r="D23" t="s">
        <v>188</v>
      </c>
      <c r="E23" s="14">
        <v>11.4</v>
      </c>
      <c r="F23" s="14">
        <v>16.3</v>
      </c>
      <c r="G23" s="14">
        <f>F23-E23</f>
        <v>4.9000000000000004</v>
      </c>
      <c r="H23" s="14">
        <f>IF(F23&lt;50,G23*0.1,G23*0.2)</f>
        <v>0.49000000000000005</v>
      </c>
      <c r="I23" t="s">
        <v>210</v>
      </c>
      <c r="J23" t="s">
        <v>211</v>
      </c>
      <c r="K23" t="s">
        <v>173</v>
      </c>
    </row>
    <row r="24" spans="1:11" x14ac:dyDescent="0.25">
      <c r="A24" s="21" t="s">
        <v>195</v>
      </c>
      <c r="B24" s="20">
        <v>1023</v>
      </c>
      <c r="C24">
        <v>1109</v>
      </c>
      <c r="D24" t="s">
        <v>186</v>
      </c>
      <c r="E24" s="14">
        <v>3</v>
      </c>
      <c r="F24" s="14">
        <v>8</v>
      </c>
      <c r="G24" s="14">
        <f>F24-E24</f>
        <v>5</v>
      </c>
      <c r="H24" s="14">
        <f>IF(F24&lt;50,G24*0.1,G24*0.2)</f>
        <v>0.5</v>
      </c>
      <c r="I24" t="s">
        <v>212</v>
      </c>
      <c r="J24" t="s">
        <v>213</v>
      </c>
      <c r="K24" t="s">
        <v>176</v>
      </c>
    </row>
    <row r="25" spans="1:11" x14ac:dyDescent="0.25">
      <c r="A25" s="21" t="s">
        <v>195</v>
      </c>
      <c r="B25" s="20">
        <v>1024</v>
      </c>
      <c r="C25">
        <v>9212</v>
      </c>
      <c r="D25" t="s">
        <v>180</v>
      </c>
      <c r="E25" s="14">
        <v>4</v>
      </c>
      <c r="F25" s="14">
        <v>7</v>
      </c>
      <c r="G25" s="14">
        <f>F25-E25</f>
        <v>3</v>
      </c>
      <c r="H25" s="14">
        <f>IF(F25&lt;50,G25*0.1,G25*0.2)</f>
        <v>0.30000000000000004</v>
      </c>
      <c r="I25" t="s">
        <v>208</v>
      </c>
      <c r="J25" t="s">
        <v>209</v>
      </c>
      <c r="K25" t="s">
        <v>173</v>
      </c>
    </row>
    <row r="26" spans="1:11" x14ac:dyDescent="0.25">
      <c r="A26" s="21" t="s">
        <v>195</v>
      </c>
      <c r="B26" s="20">
        <v>1025</v>
      </c>
      <c r="C26">
        <v>2877</v>
      </c>
      <c r="D26" t="s">
        <v>188</v>
      </c>
      <c r="E26" s="14">
        <v>11.4</v>
      </c>
      <c r="F26" s="14">
        <v>16.3</v>
      </c>
      <c r="G26" s="14">
        <f>F26-E26</f>
        <v>4.9000000000000004</v>
      </c>
      <c r="H26" s="14">
        <f>IF(F26&lt;50,G26*0.1,G26*0.2)</f>
        <v>0.49000000000000005</v>
      </c>
      <c r="I26" t="s">
        <v>212</v>
      </c>
      <c r="J26" t="s">
        <v>213</v>
      </c>
      <c r="K26" t="s">
        <v>169</v>
      </c>
    </row>
    <row r="27" spans="1:11" x14ac:dyDescent="0.25">
      <c r="A27" s="21" t="s">
        <v>195</v>
      </c>
      <c r="B27" s="20">
        <v>1026</v>
      </c>
      <c r="C27">
        <v>6119</v>
      </c>
      <c r="D27" t="s">
        <v>189</v>
      </c>
      <c r="E27" s="14">
        <v>9</v>
      </c>
      <c r="F27" s="14">
        <v>14</v>
      </c>
      <c r="G27" s="14">
        <f>F27-E27</f>
        <v>5</v>
      </c>
      <c r="H27" s="14">
        <f>IF(F27&lt;50,G27*0.1,G27*0.2)</f>
        <v>0.5</v>
      </c>
      <c r="I27" t="s">
        <v>212</v>
      </c>
      <c r="J27" t="s">
        <v>213</v>
      </c>
      <c r="K27" t="s">
        <v>176</v>
      </c>
    </row>
    <row r="28" spans="1:11" x14ac:dyDescent="0.25">
      <c r="A28" s="21" t="s">
        <v>195</v>
      </c>
      <c r="B28" s="20">
        <v>1027</v>
      </c>
      <c r="C28">
        <v>6119</v>
      </c>
      <c r="D28" t="s">
        <v>189</v>
      </c>
      <c r="E28" s="14">
        <v>9</v>
      </c>
      <c r="F28" s="14">
        <v>14</v>
      </c>
      <c r="G28" s="14">
        <f>F28-E28</f>
        <v>5</v>
      </c>
      <c r="H28" s="14">
        <f>IF(F28&lt;50,G28*0.1,G28*0.2)</f>
        <v>0.5</v>
      </c>
      <c r="I28" t="s">
        <v>206</v>
      </c>
      <c r="J28" t="s">
        <v>207</v>
      </c>
      <c r="K28" t="s">
        <v>169</v>
      </c>
    </row>
    <row r="29" spans="1:11" x14ac:dyDescent="0.25">
      <c r="A29" s="21" t="s">
        <v>195</v>
      </c>
      <c r="B29" s="20">
        <v>1028</v>
      </c>
      <c r="C29">
        <v>8722</v>
      </c>
      <c r="D29" t="s">
        <v>174</v>
      </c>
      <c r="E29" s="14">
        <v>344</v>
      </c>
      <c r="F29" s="14">
        <v>502</v>
      </c>
      <c r="G29" s="14">
        <f>F29-E29</f>
        <v>158</v>
      </c>
      <c r="H29" s="14">
        <f>IF(F29&lt;50,G29*0.1,G29*0.2)</f>
        <v>31.6</v>
      </c>
      <c r="I29" t="s">
        <v>206</v>
      </c>
      <c r="J29" t="s">
        <v>207</v>
      </c>
      <c r="K29" t="s">
        <v>179</v>
      </c>
    </row>
    <row r="30" spans="1:11" x14ac:dyDescent="0.25">
      <c r="A30" s="21" t="s">
        <v>195</v>
      </c>
      <c r="B30" s="20">
        <v>1029</v>
      </c>
      <c r="C30">
        <v>2499</v>
      </c>
      <c r="D30" t="s">
        <v>187</v>
      </c>
      <c r="E30" s="14">
        <v>6.2</v>
      </c>
      <c r="F30" s="14">
        <v>9.1999999999999993</v>
      </c>
      <c r="G30" s="14">
        <f>F30-E30</f>
        <v>2.9999999999999991</v>
      </c>
      <c r="H30" s="14">
        <f>IF(F30&lt;50,G30*0.1,G30*0.2)</f>
        <v>0.29999999999999993</v>
      </c>
      <c r="I30" t="s">
        <v>208</v>
      </c>
      <c r="J30" t="s">
        <v>209</v>
      </c>
      <c r="K30" t="s">
        <v>179</v>
      </c>
    </row>
    <row r="31" spans="1:11" x14ac:dyDescent="0.25">
      <c r="A31" s="21" t="s">
        <v>195</v>
      </c>
      <c r="B31" s="20">
        <v>1030</v>
      </c>
      <c r="C31">
        <v>4421</v>
      </c>
      <c r="D31" t="s">
        <v>170</v>
      </c>
      <c r="E31" s="14">
        <v>45</v>
      </c>
      <c r="F31" s="14">
        <v>87</v>
      </c>
      <c r="G31" s="14">
        <f>F31-E31</f>
        <v>42</v>
      </c>
      <c r="H31" s="14">
        <f>IF(F31&lt;50,G31*0.1,G31*0.2)</f>
        <v>8.4</v>
      </c>
      <c r="I31" t="s">
        <v>208</v>
      </c>
      <c r="J31" t="s">
        <v>209</v>
      </c>
      <c r="K31" t="s">
        <v>169</v>
      </c>
    </row>
    <row r="32" spans="1:11" x14ac:dyDescent="0.25">
      <c r="A32" s="21" t="s">
        <v>195</v>
      </c>
      <c r="B32" s="20">
        <v>1031</v>
      </c>
      <c r="C32">
        <v>1109</v>
      </c>
      <c r="D32" t="s">
        <v>186</v>
      </c>
      <c r="E32" s="14">
        <v>3</v>
      </c>
      <c r="F32" s="14">
        <v>8</v>
      </c>
      <c r="G32" s="14">
        <f>F32-E32</f>
        <v>5</v>
      </c>
      <c r="H32" s="14">
        <f>IF(F32&lt;50,G32*0.1,G32*0.2)</f>
        <v>0.5</v>
      </c>
      <c r="I32" t="s">
        <v>208</v>
      </c>
      <c r="J32" t="s">
        <v>209</v>
      </c>
      <c r="K32" t="s">
        <v>172</v>
      </c>
    </row>
    <row r="33" spans="1:11" x14ac:dyDescent="0.25">
      <c r="A33" s="21" t="s">
        <v>195</v>
      </c>
      <c r="B33" s="20">
        <v>1032</v>
      </c>
      <c r="C33">
        <v>2877</v>
      </c>
      <c r="D33" t="s">
        <v>188</v>
      </c>
      <c r="E33" s="14">
        <v>11.4</v>
      </c>
      <c r="F33" s="14">
        <v>16.3</v>
      </c>
      <c r="G33" s="14">
        <f>F33-E33</f>
        <v>4.9000000000000004</v>
      </c>
      <c r="H33" s="14">
        <f>IF(F33&lt;50,G33*0.1,G33*0.2)</f>
        <v>0.49000000000000005</v>
      </c>
      <c r="I33" t="s">
        <v>206</v>
      </c>
      <c r="J33" t="s">
        <v>207</v>
      </c>
      <c r="K33" t="s">
        <v>179</v>
      </c>
    </row>
    <row r="34" spans="1:11" x14ac:dyDescent="0.25">
      <c r="A34" s="21" t="s">
        <v>195</v>
      </c>
      <c r="B34" s="20">
        <v>1033</v>
      </c>
      <c r="C34">
        <v>9822</v>
      </c>
      <c r="D34" t="s">
        <v>175</v>
      </c>
      <c r="E34" s="14">
        <v>58.3</v>
      </c>
      <c r="F34" s="14">
        <v>98.4</v>
      </c>
      <c r="G34" s="14">
        <f>F34-E34</f>
        <v>40.100000000000009</v>
      </c>
      <c r="H34" s="14">
        <f>IF(F34&lt;50,G34*0.1,G34*0.2)</f>
        <v>8.0200000000000014</v>
      </c>
      <c r="I34" t="s">
        <v>208</v>
      </c>
      <c r="J34" t="s">
        <v>209</v>
      </c>
      <c r="K34" t="s">
        <v>172</v>
      </c>
    </row>
    <row r="35" spans="1:11" x14ac:dyDescent="0.25">
      <c r="A35" s="21" t="s">
        <v>195</v>
      </c>
      <c r="B35" s="20">
        <v>1034</v>
      </c>
      <c r="C35">
        <v>2877</v>
      </c>
      <c r="D35" t="s">
        <v>188</v>
      </c>
      <c r="E35" s="14">
        <v>11.4</v>
      </c>
      <c r="F35" s="14">
        <v>16.3</v>
      </c>
      <c r="G35" s="14">
        <f>F35-E35</f>
        <v>4.9000000000000004</v>
      </c>
      <c r="H35" s="14">
        <f>IF(F35&lt;50,G35*0.1,G35*0.2)</f>
        <v>0.49000000000000005</v>
      </c>
      <c r="I35" t="s">
        <v>208</v>
      </c>
      <c r="J35" t="s">
        <v>209</v>
      </c>
      <c r="K35" t="s">
        <v>193</v>
      </c>
    </row>
    <row r="36" spans="1:11" x14ac:dyDescent="0.25">
      <c r="A36" s="21" t="s">
        <v>194</v>
      </c>
      <c r="B36" s="20">
        <v>1035</v>
      </c>
      <c r="C36">
        <v>2499</v>
      </c>
      <c r="D36" t="s">
        <v>187</v>
      </c>
      <c r="E36" s="14">
        <v>6.2</v>
      </c>
      <c r="F36" s="14">
        <v>9.1999999999999993</v>
      </c>
      <c r="G36" s="14">
        <f>F36-E36</f>
        <v>2.9999999999999991</v>
      </c>
      <c r="H36" s="14">
        <f>IF(F36&lt;50,G36*0.1,G36*0.2)</f>
        <v>0.29999999999999993</v>
      </c>
      <c r="I36" t="s">
        <v>212</v>
      </c>
      <c r="J36" t="s">
        <v>213</v>
      </c>
      <c r="K36" t="s">
        <v>172</v>
      </c>
    </row>
    <row r="37" spans="1:11" x14ac:dyDescent="0.25">
      <c r="A37" s="21" t="s">
        <v>194</v>
      </c>
      <c r="B37" s="20">
        <v>1036</v>
      </c>
      <c r="C37">
        <v>2499</v>
      </c>
      <c r="D37" t="s">
        <v>187</v>
      </c>
      <c r="E37" s="14">
        <v>6.2</v>
      </c>
      <c r="F37" s="14">
        <v>9.1999999999999993</v>
      </c>
      <c r="G37" s="14">
        <f>F37-E37</f>
        <v>2.9999999999999991</v>
      </c>
      <c r="H37" s="14">
        <f>IF(F37&lt;50,G37*0.1,G37*0.2)</f>
        <v>0.29999999999999993</v>
      </c>
      <c r="I37" t="s">
        <v>208</v>
      </c>
      <c r="J37" t="s">
        <v>209</v>
      </c>
      <c r="K37" t="s">
        <v>169</v>
      </c>
    </row>
    <row r="38" spans="1:11" x14ac:dyDescent="0.25">
      <c r="A38" s="21" t="s">
        <v>194</v>
      </c>
      <c r="B38" s="20">
        <v>1037</v>
      </c>
      <c r="C38">
        <v>6622</v>
      </c>
      <c r="D38" t="s">
        <v>181</v>
      </c>
      <c r="E38" s="14">
        <v>42</v>
      </c>
      <c r="F38" s="14">
        <v>77</v>
      </c>
      <c r="G38" s="14">
        <f>F38-E38</f>
        <v>35</v>
      </c>
      <c r="H38" s="14">
        <f>IF(F38&lt;50,G38*0.1,G38*0.2)</f>
        <v>7</v>
      </c>
      <c r="I38" t="s">
        <v>208</v>
      </c>
      <c r="J38" t="s">
        <v>209</v>
      </c>
      <c r="K38" t="s">
        <v>169</v>
      </c>
    </row>
    <row r="39" spans="1:11" x14ac:dyDescent="0.25">
      <c r="A39" s="21" t="s">
        <v>194</v>
      </c>
      <c r="B39" s="20">
        <v>1038</v>
      </c>
      <c r="C39">
        <v>2499</v>
      </c>
      <c r="D39" t="s">
        <v>187</v>
      </c>
      <c r="E39" s="14">
        <v>6.2</v>
      </c>
      <c r="F39" s="14">
        <v>9.1999999999999993</v>
      </c>
      <c r="G39" s="14">
        <f>F39-E39</f>
        <v>2.9999999999999991</v>
      </c>
      <c r="H39" s="14">
        <f>IF(F39&lt;50,G39*0.1,G39*0.2)</f>
        <v>0.29999999999999993</v>
      </c>
      <c r="I39" t="s">
        <v>208</v>
      </c>
      <c r="J39" t="s">
        <v>209</v>
      </c>
      <c r="K39" t="s">
        <v>169</v>
      </c>
    </row>
    <row r="40" spans="1:11" x14ac:dyDescent="0.25">
      <c r="A40" s="21" t="s">
        <v>194</v>
      </c>
      <c r="B40" s="20">
        <v>1039</v>
      </c>
      <c r="C40">
        <v>2877</v>
      </c>
      <c r="D40" t="s">
        <v>188</v>
      </c>
      <c r="E40" s="14">
        <v>11.4</v>
      </c>
      <c r="F40" s="14">
        <v>16.3</v>
      </c>
      <c r="G40" s="14">
        <f>F40-E40</f>
        <v>4.9000000000000004</v>
      </c>
      <c r="H40" s="14">
        <f>IF(F40&lt;50,G40*0.1,G40*0.2)</f>
        <v>0.49000000000000005</v>
      </c>
      <c r="I40" t="s">
        <v>208</v>
      </c>
      <c r="J40" t="s">
        <v>209</v>
      </c>
      <c r="K40" t="s">
        <v>172</v>
      </c>
    </row>
    <row r="41" spans="1:11" x14ac:dyDescent="0.25">
      <c r="A41" s="21" t="s">
        <v>194</v>
      </c>
      <c r="B41" s="20">
        <v>1040</v>
      </c>
      <c r="C41">
        <v>1109</v>
      </c>
      <c r="D41" t="s">
        <v>186</v>
      </c>
      <c r="E41" s="14">
        <v>3</v>
      </c>
      <c r="F41" s="14">
        <v>8</v>
      </c>
      <c r="G41" s="14">
        <f>F41-E41</f>
        <v>5</v>
      </c>
      <c r="H41" s="14">
        <f>IF(F41&lt;50,G41*0.1,G41*0.2)</f>
        <v>0.5</v>
      </c>
      <c r="I41" t="s">
        <v>208</v>
      </c>
      <c r="J41" t="s">
        <v>209</v>
      </c>
      <c r="K41" t="s">
        <v>179</v>
      </c>
    </row>
    <row r="42" spans="1:11" x14ac:dyDescent="0.25">
      <c r="A42" s="21" t="s">
        <v>194</v>
      </c>
      <c r="B42" s="20">
        <v>1041</v>
      </c>
      <c r="C42">
        <v>2499</v>
      </c>
      <c r="D42" t="s">
        <v>187</v>
      </c>
      <c r="E42" s="14">
        <v>6.2</v>
      </c>
      <c r="F42" s="14">
        <v>9.1999999999999993</v>
      </c>
      <c r="G42" s="14">
        <f>F42-E42</f>
        <v>2.9999999999999991</v>
      </c>
      <c r="H42" s="14">
        <f>IF(F42&lt;50,G42*0.1,G42*0.2)</f>
        <v>0.29999999999999993</v>
      </c>
      <c r="I42" t="s">
        <v>206</v>
      </c>
      <c r="J42" t="s">
        <v>207</v>
      </c>
      <c r="K42" t="s">
        <v>176</v>
      </c>
    </row>
    <row r="43" spans="1:11" x14ac:dyDescent="0.25">
      <c r="A43" s="21" t="s">
        <v>194</v>
      </c>
      <c r="B43" s="20">
        <v>1042</v>
      </c>
      <c r="C43">
        <v>8722</v>
      </c>
      <c r="D43" t="s">
        <v>174</v>
      </c>
      <c r="E43" s="14">
        <v>344</v>
      </c>
      <c r="F43" s="14">
        <v>502</v>
      </c>
      <c r="G43" s="14">
        <f>F43-E43</f>
        <v>158</v>
      </c>
      <c r="H43" s="14">
        <f>IF(F43&lt;50,G43*0.1,G43*0.2)</f>
        <v>31.6</v>
      </c>
      <c r="I43" t="s">
        <v>210</v>
      </c>
      <c r="J43" t="s">
        <v>211</v>
      </c>
      <c r="K43" t="s">
        <v>176</v>
      </c>
    </row>
    <row r="44" spans="1:11" x14ac:dyDescent="0.25">
      <c r="A44" s="21" t="s">
        <v>194</v>
      </c>
      <c r="B44" s="20">
        <v>1043</v>
      </c>
      <c r="C44">
        <v>2242</v>
      </c>
      <c r="D44" t="s">
        <v>177</v>
      </c>
      <c r="E44" s="14">
        <v>60</v>
      </c>
      <c r="F44" s="14">
        <v>124</v>
      </c>
      <c r="G44" s="14">
        <f>F44-E44</f>
        <v>64</v>
      </c>
      <c r="H44" s="14">
        <f>IF(F44&lt;50,G44*0.1,G44*0.2)</f>
        <v>12.8</v>
      </c>
      <c r="I44" t="s">
        <v>210</v>
      </c>
      <c r="J44" t="s">
        <v>211</v>
      </c>
      <c r="K44" t="s">
        <v>172</v>
      </c>
    </row>
    <row r="45" spans="1:11" x14ac:dyDescent="0.25">
      <c r="A45" s="21" t="s">
        <v>194</v>
      </c>
      <c r="B45" s="20">
        <v>1044</v>
      </c>
      <c r="C45">
        <v>2877</v>
      </c>
      <c r="D45" t="s">
        <v>188</v>
      </c>
      <c r="E45" s="14">
        <v>11.4</v>
      </c>
      <c r="F45" s="14">
        <v>16.3</v>
      </c>
      <c r="G45" s="14">
        <f>F45-E45</f>
        <v>4.9000000000000004</v>
      </c>
      <c r="H45" s="14">
        <f>IF(F45&lt;50,G45*0.1,G45*0.2)</f>
        <v>0.49000000000000005</v>
      </c>
      <c r="I45" t="s">
        <v>210</v>
      </c>
      <c r="J45" t="s">
        <v>211</v>
      </c>
      <c r="K45" t="s">
        <v>172</v>
      </c>
    </row>
    <row r="46" spans="1:11" x14ac:dyDescent="0.25">
      <c r="A46" s="21" t="s">
        <v>194</v>
      </c>
      <c r="B46" s="20">
        <v>1045</v>
      </c>
      <c r="C46">
        <v>8722</v>
      </c>
      <c r="D46" t="s">
        <v>174</v>
      </c>
      <c r="E46" s="14">
        <v>344</v>
      </c>
      <c r="F46" s="14">
        <v>502</v>
      </c>
      <c r="G46" s="14">
        <f>F46-E46</f>
        <v>158</v>
      </c>
      <c r="H46" s="14">
        <f>IF(F46&lt;50,G46*0.1,G46*0.2)</f>
        <v>31.6</v>
      </c>
      <c r="I46" t="s">
        <v>212</v>
      </c>
      <c r="J46" t="s">
        <v>213</v>
      </c>
      <c r="K46" t="s">
        <v>179</v>
      </c>
    </row>
    <row r="47" spans="1:11" x14ac:dyDescent="0.25">
      <c r="A47" s="21" t="s">
        <v>194</v>
      </c>
      <c r="B47" s="20">
        <v>1046</v>
      </c>
      <c r="C47">
        <v>6119</v>
      </c>
      <c r="D47" t="s">
        <v>189</v>
      </c>
      <c r="E47" s="14">
        <v>9</v>
      </c>
      <c r="F47" s="14">
        <v>14</v>
      </c>
      <c r="G47" s="14">
        <f>F47-E47</f>
        <v>5</v>
      </c>
      <c r="H47" s="14">
        <f>IF(F47&lt;50,G47*0.1,G47*0.2)</f>
        <v>0.5</v>
      </c>
      <c r="I47" t="s">
        <v>208</v>
      </c>
      <c r="J47" t="s">
        <v>209</v>
      </c>
      <c r="K47" t="s">
        <v>173</v>
      </c>
    </row>
    <row r="48" spans="1:11" x14ac:dyDescent="0.25">
      <c r="A48" s="21" t="s">
        <v>194</v>
      </c>
      <c r="B48" s="20">
        <v>1047</v>
      </c>
      <c r="C48">
        <v>6622</v>
      </c>
      <c r="D48" t="s">
        <v>181</v>
      </c>
      <c r="E48" s="14">
        <v>42</v>
      </c>
      <c r="F48" s="14">
        <v>77</v>
      </c>
      <c r="G48" s="14">
        <f>F48-E48</f>
        <v>35</v>
      </c>
      <c r="H48" s="14">
        <f>IF(F48&lt;50,G48*0.1,G48*0.2)</f>
        <v>7</v>
      </c>
      <c r="I48" t="s">
        <v>212</v>
      </c>
      <c r="J48" t="s">
        <v>213</v>
      </c>
      <c r="K48" t="s">
        <v>179</v>
      </c>
    </row>
    <row r="49" spans="1:11" x14ac:dyDescent="0.25">
      <c r="A49" s="21" t="s">
        <v>194</v>
      </c>
      <c r="B49" s="20">
        <v>1048</v>
      </c>
      <c r="C49">
        <v>8722</v>
      </c>
      <c r="D49" t="s">
        <v>174</v>
      </c>
      <c r="E49" s="14">
        <v>344</v>
      </c>
      <c r="F49" s="14">
        <v>502</v>
      </c>
      <c r="G49" s="14">
        <f>F49-E49</f>
        <v>158</v>
      </c>
      <c r="H49" s="14">
        <f>IF(F49&lt;50,G49*0.1,G49*0.2)</f>
        <v>31.6</v>
      </c>
      <c r="I49" t="s">
        <v>206</v>
      </c>
      <c r="J49" t="s">
        <v>207</v>
      </c>
      <c r="K49" t="s">
        <v>179</v>
      </c>
    </row>
    <row r="50" spans="1:11" x14ac:dyDescent="0.25">
      <c r="A50" s="21" t="s">
        <v>192</v>
      </c>
      <c r="B50" s="20">
        <v>1049</v>
      </c>
      <c r="C50">
        <v>2499</v>
      </c>
      <c r="D50" t="s">
        <v>187</v>
      </c>
      <c r="E50" s="14">
        <v>6.2</v>
      </c>
      <c r="F50" s="14">
        <v>9.1999999999999993</v>
      </c>
      <c r="G50" s="14">
        <f>F50-E50</f>
        <v>2.9999999999999991</v>
      </c>
      <c r="H50" s="14">
        <f>IF(F50&lt;50,G50*0.1,G50*0.2)</f>
        <v>0.29999999999999993</v>
      </c>
      <c r="I50" t="s">
        <v>206</v>
      </c>
      <c r="J50" t="s">
        <v>207</v>
      </c>
      <c r="K50" t="s">
        <v>193</v>
      </c>
    </row>
    <row r="51" spans="1:11" x14ac:dyDescent="0.25">
      <c r="A51" s="21" t="s">
        <v>192</v>
      </c>
      <c r="B51" s="20">
        <v>1050</v>
      </c>
      <c r="C51">
        <v>2877</v>
      </c>
      <c r="D51" t="s">
        <v>188</v>
      </c>
      <c r="E51" s="14">
        <v>11.4</v>
      </c>
      <c r="F51" s="14">
        <v>16.3</v>
      </c>
      <c r="G51" s="14">
        <f>F51-E51</f>
        <v>4.9000000000000004</v>
      </c>
      <c r="H51" s="14">
        <f>IF(F51&lt;50,G51*0.1,G51*0.2)</f>
        <v>0.49000000000000005</v>
      </c>
      <c r="I51" t="s">
        <v>206</v>
      </c>
      <c r="J51" t="s">
        <v>207</v>
      </c>
      <c r="K51" t="s">
        <v>179</v>
      </c>
    </row>
    <row r="52" spans="1:11" x14ac:dyDescent="0.25">
      <c r="A52" s="21" t="s">
        <v>192</v>
      </c>
      <c r="B52" s="20">
        <v>1051</v>
      </c>
      <c r="C52">
        <v>6119</v>
      </c>
      <c r="D52" t="s">
        <v>189</v>
      </c>
      <c r="E52" s="14">
        <v>9</v>
      </c>
      <c r="F52" s="14">
        <v>14</v>
      </c>
      <c r="G52" s="14">
        <f>F52-E52</f>
        <v>5</v>
      </c>
      <c r="H52" s="14">
        <f>IF(F52&lt;50,G52*0.1,G52*0.2)</f>
        <v>0.5</v>
      </c>
      <c r="I52" t="s">
        <v>210</v>
      </c>
      <c r="J52" t="s">
        <v>211</v>
      </c>
      <c r="K52" t="s">
        <v>173</v>
      </c>
    </row>
    <row r="53" spans="1:11" x14ac:dyDescent="0.25">
      <c r="A53" s="21" t="s">
        <v>192</v>
      </c>
      <c r="B53" s="20">
        <v>1052</v>
      </c>
      <c r="C53">
        <v>6622</v>
      </c>
      <c r="D53" t="s">
        <v>181</v>
      </c>
      <c r="E53" s="14">
        <v>42</v>
      </c>
      <c r="F53" s="14">
        <v>77</v>
      </c>
      <c r="G53" s="14">
        <f>F53-E53</f>
        <v>35</v>
      </c>
      <c r="H53" s="14">
        <f>IF(F53&lt;50,G53*0.1,G53*0.2)</f>
        <v>7</v>
      </c>
      <c r="I53" t="s">
        <v>210</v>
      </c>
      <c r="J53" t="s">
        <v>211</v>
      </c>
      <c r="K53" t="s">
        <v>179</v>
      </c>
    </row>
    <row r="54" spans="1:11" x14ac:dyDescent="0.25">
      <c r="A54" s="21" t="s">
        <v>192</v>
      </c>
      <c r="B54" s="20">
        <v>1053</v>
      </c>
      <c r="C54">
        <v>2242</v>
      </c>
      <c r="D54" t="s">
        <v>177</v>
      </c>
      <c r="E54" s="14">
        <v>60</v>
      </c>
      <c r="F54" s="14">
        <v>124</v>
      </c>
      <c r="G54" s="14">
        <f>F54-E54</f>
        <v>64</v>
      </c>
      <c r="H54" s="14">
        <f>IF(F54&lt;50,G54*0.1,G54*0.2)</f>
        <v>12.8</v>
      </c>
      <c r="I54" t="s">
        <v>206</v>
      </c>
      <c r="J54" t="s">
        <v>207</v>
      </c>
      <c r="K54" t="s">
        <v>172</v>
      </c>
    </row>
    <row r="55" spans="1:11" x14ac:dyDescent="0.25">
      <c r="A55" s="21" t="s">
        <v>192</v>
      </c>
      <c r="B55" s="20">
        <v>1054</v>
      </c>
      <c r="C55">
        <v>4421</v>
      </c>
      <c r="D55" t="s">
        <v>170</v>
      </c>
      <c r="E55" s="14">
        <v>45</v>
      </c>
      <c r="F55" s="14">
        <v>87</v>
      </c>
      <c r="G55" s="14">
        <f>F55-E55</f>
        <v>42</v>
      </c>
      <c r="H55" s="14">
        <f>IF(F55&lt;50,G55*0.1,G55*0.2)</f>
        <v>8.4</v>
      </c>
      <c r="I55" t="s">
        <v>210</v>
      </c>
      <c r="J55" t="s">
        <v>211</v>
      </c>
      <c r="K55" t="s">
        <v>169</v>
      </c>
    </row>
    <row r="56" spans="1:11" x14ac:dyDescent="0.25">
      <c r="A56" s="21" t="s">
        <v>192</v>
      </c>
      <c r="B56" s="20">
        <v>1055</v>
      </c>
      <c r="C56">
        <v>6119</v>
      </c>
      <c r="D56" t="s">
        <v>189</v>
      </c>
      <c r="E56" s="14">
        <v>9</v>
      </c>
      <c r="F56" s="14">
        <v>14</v>
      </c>
      <c r="G56" s="14">
        <f>F56-E56</f>
        <v>5</v>
      </c>
      <c r="H56" s="14">
        <f>IF(F56&lt;50,G56*0.1,G56*0.2)</f>
        <v>0.5</v>
      </c>
      <c r="I56" t="s">
        <v>208</v>
      </c>
      <c r="J56" t="s">
        <v>209</v>
      </c>
      <c r="K56" t="s">
        <v>169</v>
      </c>
    </row>
    <row r="57" spans="1:11" x14ac:dyDescent="0.25">
      <c r="A57" s="21" t="s">
        <v>192</v>
      </c>
      <c r="B57" s="20">
        <v>1056</v>
      </c>
      <c r="C57">
        <v>1109</v>
      </c>
      <c r="D57" t="s">
        <v>186</v>
      </c>
      <c r="E57" s="14">
        <v>3</v>
      </c>
      <c r="F57" s="14">
        <v>8</v>
      </c>
      <c r="G57" s="14">
        <f>F57-E57</f>
        <v>5</v>
      </c>
      <c r="H57" s="14">
        <f>IF(F57&lt;50,G57*0.1,G57*0.2)</f>
        <v>0.5</v>
      </c>
      <c r="I57" t="s">
        <v>210</v>
      </c>
      <c r="J57" t="s">
        <v>211</v>
      </c>
      <c r="K57" t="s">
        <v>172</v>
      </c>
    </row>
    <row r="58" spans="1:11" x14ac:dyDescent="0.25">
      <c r="A58" s="21" t="s">
        <v>192</v>
      </c>
      <c r="B58" s="20">
        <v>1057</v>
      </c>
      <c r="C58">
        <v>2499</v>
      </c>
      <c r="D58" t="s">
        <v>187</v>
      </c>
      <c r="E58" s="14">
        <v>6.2</v>
      </c>
      <c r="F58" s="14">
        <v>9.1999999999999993</v>
      </c>
      <c r="G58" s="14">
        <f>F58-E58</f>
        <v>2.9999999999999991</v>
      </c>
      <c r="H58" s="14">
        <f>IF(F58&lt;50,G58*0.1,G58*0.2)</f>
        <v>0.29999999999999993</v>
      </c>
      <c r="I58" t="s">
        <v>208</v>
      </c>
      <c r="J58" t="s">
        <v>209</v>
      </c>
      <c r="K58" t="s">
        <v>172</v>
      </c>
    </row>
    <row r="59" spans="1:11" x14ac:dyDescent="0.25">
      <c r="A59" s="21" t="s">
        <v>192</v>
      </c>
      <c r="B59" s="20">
        <v>1058</v>
      </c>
      <c r="C59">
        <v>6119</v>
      </c>
      <c r="D59" t="s">
        <v>189</v>
      </c>
      <c r="E59" s="14">
        <v>9</v>
      </c>
      <c r="F59" s="14">
        <v>14</v>
      </c>
      <c r="G59" s="14">
        <f>F59-E59</f>
        <v>5</v>
      </c>
      <c r="H59" s="14">
        <f>IF(F59&lt;50,G59*0.1,G59*0.2)</f>
        <v>0.5</v>
      </c>
      <c r="I59" t="s">
        <v>212</v>
      </c>
      <c r="J59" t="s">
        <v>213</v>
      </c>
      <c r="K59" t="s">
        <v>179</v>
      </c>
    </row>
    <row r="60" spans="1:11" x14ac:dyDescent="0.25">
      <c r="A60" s="21" t="s">
        <v>192</v>
      </c>
      <c r="B60" s="20">
        <v>1059</v>
      </c>
      <c r="C60">
        <v>2242</v>
      </c>
      <c r="D60" t="s">
        <v>177</v>
      </c>
      <c r="E60" s="14">
        <v>60</v>
      </c>
      <c r="F60" s="14">
        <v>124</v>
      </c>
      <c r="G60" s="14">
        <f>F60-E60</f>
        <v>64</v>
      </c>
      <c r="H60" s="14">
        <f>IF(F60&lt;50,G60*0.1,G60*0.2)</f>
        <v>12.8</v>
      </c>
      <c r="I60" t="s">
        <v>210</v>
      </c>
      <c r="J60" t="s">
        <v>211</v>
      </c>
      <c r="K60" t="s">
        <v>179</v>
      </c>
    </row>
    <row r="61" spans="1:11" x14ac:dyDescent="0.25">
      <c r="A61" s="21" t="s">
        <v>192</v>
      </c>
      <c r="B61" s="20">
        <v>1060</v>
      </c>
      <c r="C61">
        <v>6119</v>
      </c>
      <c r="D61" t="s">
        <v>189</v>
      </c>
      <c r="E61" s="14">
        <v>9</v>
      </c>
      <c r="F61" s="14">
        <v>14</v>
      </c>
      <c r="G61" s="14">
        <f>F61-E61</f>
        <v>5</v>
      </c>
      <c r="H61" s="14">
        <f>IF(F61&lt;50,G61*0.1,G61*0.2)</f>
        <v>0.5</v>
      </c>
      <c r="I61" t="s">
        <v>210</v>
      </c>
      <c r="J61" t="s">
        <v>211</v>
      </c>
      <c r="K61" t="s">
        <v>169</v>
      </c>
    </row>
    <row r="62" spans="1:11" x14ac:dyDescent="0.25">
      <c r="A62" s="21" t="s">
        <v>191</v>
      </c>
      <c r="B62" s="20">
        <v>1061</v>
      </c>
      <c r="C62">
        <v>1109</v>
      </c>
      <c r="D62" t="s">
        <v>186</v>
      </c>
      <c r="E62" s="14">
        <v>3</v>
      </c>
      <c r="F62" s="14">
        <v>8</v>
      </c>
      <c r="G62" s="14">
        <f>F62-E62</f>
        <v>5</v>
      </c>
      <c r="H62" s="14">
        <f>IF(F62&lt;50,G62*0.1,G62*0.2)</f>
        <v>0.5</v>
      </c>
      <c r="I62" t="s">
        <v>210</v>
      </c>
      <c r="J62" t="s">
        <v>211</v>
      </c>
      <c r="K62" t="s">
        <v>169</v>
      </c>
    </row>
    <row r="63" spans="1:11" x14ac:dyDescent="0.25">
      <c r="A63" s="21" t="s">
        <v>191</v>
      </c>
      <c r="B63" s="20">
        <v>1062</v>
      </c>
      <c r="C63">
        <v>2499</v>
      </c>
      <c r="D63" t="s">
        <v>187</v>
      </c>
      <c r="E63" s="14">
        <v>6.2</v>
      </c>
      <c r="F63" s="14">
        <v>9.1999999999999993</v>
      </c>
      <c r="G63" s="14">
        <f>F63-E63</f>
        <v>2.9999999999999991</v>
      </c>
      <c r="H63" s="14">
        <f>IF(F63&lt;50,G63*0.1,G63*0.2)</f>
        <v>0.29999999999999993</v>
      </c>
      <c r="I63" t="s">
        <v>206</v>
      </c>
      <c r="J63" t="s">
        <v>207</v>
      </c>
      <c r="K63" t="s">
        <v>179</v>
      </c>
    </row>
    <row r="64" spans="1:11" x14ac:dyDescent="0.25">
      <c r="A64" s="21" t="s">
        <v>191</v>
      </c>
      <c r="B64" s="20">
        <v>1063</v>
      </c>
      <c r="C64">
        <v>1109</v>
      </c>
      <c r="D64" t="s">
        <v>186</v>
      </c>
      <c r="E64" s="14">
        <v>3</v>
      </c>
      <c r="F64" s="14">
        <v>8</v>
      </c>
      <c r="G64" s="14">
        <f>F64-E64</f>
        <v>5</v>
      </c>
      <c r="H64" s="14">
        <f>IF(F64&lt;50,G64*0.1,G64*0.2)</f>
        <v>0.5</v>
      </c>
      <c r="I64" t="s">
        <v>210</v>
      </c>
      <c r="J64" t="s">
        <v>211</v>
      </c>
      <c r="K64" t="s">
        <v>172</v>
      </c>
    </row>
    <row r="65" spans="1:11" x14ac:dyDescent="0.25">
      <c r="A65" s="21" t="s">
        <v>191</v>
      </c>
      <c r="B65" s="20">
        <v>1064</v>
      </c>
      <c r="C65">
        <v>2499</v>
      </c>
      <c r="D65" t="s">
        <v>187</v>
      </c>
      <c r="E65" s="14">
        <v>6.2</v>
      </c>
      <c r="F65" s="14">
        <v>9.1999999999999993</v>
      </c>
      <c r="G65" s="14">
        <f>F65-E65</f>
        <v>2.9999999999999991</v>
      </c>
      <c r="H65" s="14">
        <f>IF(F65&lt;50,G65*0.1,G65*0.2)</f>
        <v>0.29999999999999993</v>
      </c>
      <c r="I65" t="s">
        <v>212</v>
      </c>
      <c r="J65" t="s">
        <v>213</v>
      </c>
      <c r="K65" t="s">
        <v>179</v>
      </c>
    </row>
    <row r="66" spans="1:11" x14ac:dyDescent="0.25">
      <c r="A66" s="21" t="s">
        <v>191</v>
      </c>
      <c r="B66" s="20">
        <v>1065</v>
      </c>
      <c r="C66">
        <v>2499</v>
      </c>
      <c r="D66" t="s">
        <v>187</v>
      </c>
      <c r="E66" s="14">
        <v>6.2</v>
      </c>
      <c r="F66" s="14">
        <v>9.1999999999999993</v>
      </c>
      <c r="G66" s="14">
        <f>F66-E66</f>
        <v>2.9999999999999991</v>
      </c>
      <c r="H66" s="14">
        <f>IF(F66&lt;50,G66*0.1,G66*0.2)</f>
        <v>0.29999999999999993</v>
      </c>
      <c r="I66" t="s">
        <v>210</v>
      </c>
      <c r="J66" t="s">
        <v>211</v>
      </c>
      <c r="K66" t="s">
        <v>176</v>
      </c>
    </row>
    <row r="67" spans="1:11" x14ac:dyDescent="0.25">
      <c r="A67" s="21" t="s">
        <v>191</v>
      </c>
      <c r="B67" s="20">
        <v>1066</v>
      </c>
      <c r="C67">
        <v>2877</v>
      </c>
      <c r="D67" t="s">
        <v>188</v>
      </c>
      <c r="E67" s="14">
        <v>11.4</v>
      </c>
      <c r="F67" s="14">
        <v>16.3</v>
      </c>
      <c r="G67" s="14">
        <f>F67-E67</f>
        <v>4.9000000000000004</v>
      </c>
      <c r="H67" s="14">
        <f>IF(F67&lt;50,G67*0.1,G67*0.2)</f>
        <v>0.49000000000000005</v>
      </c>
      <c r="I67" t="s">
        <v>210</v>
      </c>
      <c r="J67" t="s">
        <v>211</v>
      </c>
      <c r="K67" t="s">
        <v>169</v>
      </c>
    </row>
    <row r="68" spans="1:11" x14ac:dyDescent="0.25">
      <c r="A68" s="21" t="s">
        <v>191</v>
      </c>
      <c r="B68" s="20">
        <v>1067</v>
      </c>
      <c r="C68">
        <v>2877</v>
      </c>
      <c r="D68" t="s">
        <v>188</v>
      </c>
      <c r="E68" s="14">
        <v>11.4</v>
      </c>
      <c r="F68" s="14">
        <v>16.3</v>
      </c>
      <c r="G68" s="14">
        <f>F68-E68</f>
        <v>4.9000000000000004</v>
      </c>
      <c r="H68" s="14">
        <f>IF(F68&lt;50,G68*0.1,G68*0.2)</f>
        <v>0.49000000000000005</v>
      </c>
      <c r="I68" t="s">
        <v>210</v>
      </c>
      <c r="J68" t="s">
        <v>211</v>
      </c>
      <c r="K68" t="s">
        <v>173</v>
      </c>
    </row>
    <row r="69" spans="1:11" x14ac:dyDescent="0.25">
      <c r="A69" s="21" t="s">
        <v>191</v>
      </c>
      <c r="B69" s="20">
        <v>1068</v>
      </c>
      <c r="C69">
        <v>6119</v>
      </c>
      <c r="D69" t="s">
        <v>189</v>
      </c>
      <c r="E69" s="14">
        <v>9</v>
      </c>
      <c r="F69" s="14">
        <v>14</v>
      </c>
      <c r="G69" s="14">
        <f>F69-E69</f>
        <v>5</v>
      </c>
      <c r="H69" s="14">
        <f>IF(F69&lt;50,G69*0.1,G69*0.2)</f>
        <v>0.5</v>
      </c>
      <c r="I69" t="s">
        <v>208</v>
      </c>
      <c r="J69" t="s">
        <v>209</v>
      </c>
      <c r="K69" t="s">
        <v>172</v>
      </c>
    </row>
    <row r="70" spans="1:11" x14ac:dyDescent="0.25">
      <c r="A70" s="21" t="s">
        <v>191</v>
      </c>
      <c r="B70" s="20">
        <v>1069</v>
      </c>
      <c r="C70">
        <v>1109</v>
      </c>
      <c r="D70" t="s">
        <v>186</v>
      </c>
      <c r="E70" s="14">
        <v>3</v>
      </c>
      <c r="F70" s="14">
        <v>8</v>
      </c>
      <c r="G70" s="14">
        <f>F70-E70</f>
        <v>5</v>
      </c>
      <c r="H70" s="14">
        <f>IF(F70&lt;50,G70*0.1,G70*0.2)</f>
        <v>0.5</v>
      </c>
      <c r="I70" t="s">
        <v>210</v>
      </c>
      <c r="J70" t="s">
        <v>211</v>
      </c>
      <c r="K70" t="s">
        <v>179</v>
      </c>
    </row>
    <row r="71" spans="1:11" x14ac:dyDescent="0.25">
      <c r="A71" s="21" t="s">
        <v>191</v>
      </c>
      <c r="B71" s="20">
        <v>1070</v>
      </c>
      <c r="C71">
        <v>2499</v>
      </c>
      <c r="D71" t="s">
        <v>187</v>
      </c>
      <c r="E71" s="14">
        <v>6.2</v>
      </c>
      <c r="F71" s="14">
        <v>9.1999999999999993</v>
      </c>
      <c r="G71" s="14">
        <f>F71-E71</f>
        <v>2.9999999999999991</v>
      </c>
      <c r="H71" s="14">
        <f>IF(F71&lt;50,G71*0.1,G71*0.2)</f>
        <v>0.29999999999999993</v>
      </c>
      <c r="I71" t="s">
        <v>212</v>
      </c>
      <c r="J71" t="s">
        <v>213</v>
      </c>
      <c r="K71" t="s">
        <v>179</v>
      </c>
    </row>
    <row r="72" spans="1:11" x14ac:dyDescent="0.25">
      <c r="A72" s="21" t="s">
        <v>191</v>
      </c>
      <c r="B72" s="20">
        <v>1071</v>
      </c>
      <c r="C72">
        <v>1109</v>
      </c>
      <c r="D72" t="s">
        <v>186</v>
      </c>
      <c r="E72" s="14">
        <v>3</v>
      </c>
      <c r="F72" s="14">
        <v>8</v>
      </c>
      <c r="G72" s="14">
        <f>F72-E72</f>
        <v>5</v>
      </c>
      <c r="H72" s="14">
        <f>IF(F72&lt;50,G72*0.1,G72*0.2)</f>
        <v>0.5</v>
      </c>
      <c r="I72" t="s">
        <v>206</v>
      </c>
      <c r="J72" t="s">
        <v>207</v>
      </c>
      <c r="K72" t="s">
        <v>179</v>
      </c>
    </row>
    <row r="73" spans="1:11" x14ac:dyDescent="0.25">
      <c r="A73" s="21" t="s">
        <v>191</v>
      </c>
      <c r="B73" s="20">
        <v>1072</v>
      </c>
      <c r="C73">
        <v>1109</v>
      </c>
      <c r="D73" t="s">
        <v>186</v>
      </c>
      <c r="E73" s="14">
        <v>3</v>
      </c>
      <c r="F73" s="14">
        <v>8</v>
      </c>
      <c r="G73" s="14">
        <f>F73-E73</f>
        <v>5</v>
      </c>
      <c r="H73" s="14">
        <f>IF(F73&lt;50,G73*0.1,G73*0.2)</f>
        <v>0.5</v>
      </c>
      <c r="I73" t="s">
        <v>210</v>
      </c>
      <c r="J73" t="s">
        <v>211</v>
      </c>
      <c r="K73" t="s">
        <v>169</v>
      </c>
    </row>
    <row r="74" spans="1:11" x14ac:dyDescent="0.25">
      <c r="A74" s="21" t="s">
        <v>191</v>
      </c>
      <c r="B74" s="20">
        <v>1073</v>
      </c>
      <c r="C74">
        <v>6622</v>
      </c>
      <c r="D74" t="s">
        <v>181</v>
      </c>
      <c r="E74" s="14">
        <v>42</v>
      </c>
      <c r="F74" s="14">
        <v>77</v>
      </c>
      <c r="G74" s="14">
        <f>F74-E74</f>
        <v>35</v>
      </c>
      <c r="H74" s="14">
        <f>IF(F74&lt;50,G74*0.1,G74*0.2)</f>
        <v>7</v>
      </c>
      <c r="I74" t="s">
        <v>210</v>
      </c>
      <c r="J74" t="s">
        <v>211</v>
      </c>
      <c r="K74" t="s">
        <v>172</v>
      </c>
    </row>
    <row r="75" spans="1:11" x14ac:dyDescent="0.25">
      <c r="A75" s="21" t="s">
        <v>191</v>
      </c>
      <c r="B75" s="20">
        <v>1074</v>
      </c>
      <c r="C75">
        <v>2877</v>
      </c>
      <c r="D75" t="s">
        <v>188</v>
      </c>
      <c r="E75" s="14">
        <v>11.4</v>
      </c>
      <c r="F75" s="14">
        <v>16.3</v>
      </c>
      <c r="G75" s="14">
        <f>F75-E75</f>
        <v>4.9000000000000004</v>
      </c>
      <c r="H75" s="14">
        <f>IF(F75&lt;50,G75*0.1,G75*0.2)</f>
        <v>0.49000000000000005</v>
      </c>
      <c r="I75" t="s">
        <v>210</v>
      </c>
      <c r="J75" t="s">
        <v>211</v>
      </c>
      <c r="K75" t="s">
        <v>179</v>
      </c>
    </row>
    <row r="76" spans="1:11" x14ac:dyDescent="0.25">
      <c r="A76" s="21" t="s">
        <v>191</v>
      </c>
      <c r="B76" s="20">
        <v>1075</v>
      </c>
      <c r="C76">
        <v>1109</v>
      </c>
      <c r="D76" t="s">
        <v>186</v>
      </c>
      <c r="E76" s="14">
        <v>3</v>
      </c>
      <c r="F76" s="14">
        <v>8</v>
      </c>
      <c r="G76" s="14">
        <f>F76-E76</f>
        <v>5</v>
      </c>
      <c r="H76" s="14">
        <f>IF(F76&lt;50,G76*0.1,G76*0.2)</f>
        <v>0.5</v>
      </c>
      <c r="I76" t="s">
        <v>212</v>
      </c>
      <c r="J76" t="s">
        <v>213</v>
      </c>
      <c r="K76" t="s">
        <v>172</v>
      </c>
    </row>
    <row r="77" spans="1:11" x14ac:dyDescent="0.25">
      <c r="A77" s="21" t="s">
        <v>191</v>
      </c>
      <c r="B77" s="20">
        <v>1076</v>
      </c>
      <c r="C77">
        <v>1109</v>
      </c>
      <c r="D77" t="s">
        <v>186</v>
      </c>
      <c r="E77" s="14">
        <v>3</v>
      </c>
      <c r="F77" s="14">
        <v>8</v>
      </c>
      <c r="G77" s="14">
        <f>F77-E77</f>
        <v>5</v>
      </c>
      <c r="H77" s="14">
        <f>IF(F77&lt;50,G77*0.1,G77*0.2)</f>
        <v>0.5</v>
      </c>
      <c r="I77" t="s">
        <v>208</v>
      </c>
      <c r="J77" t="s">
        <v>209</v>
      </c>
      <c r="K77" t="s">
        <v>179</v>
      </c>
    </row>
    <row r="78" spans="1:11" x14ac:dyDescent="0.25">
      <c r="A78" s="21" t="s">
        <v>191</v>
      </c>
      <c r="B78" s="20">
        <v>1077</v>
      </c>
      <c r="C78">
        <v>9822</v>
      </c>
      <c r="D78" t="s">
        <v>175</v>
      </c>
      <c r="E78" s="14">
        <v>58.3</v>
      </c>
      <c r="F78" s="14">
        <v>98.4</v>
      </c>
      <c r="G78" s="14">
        <f>F78-E78</f>
        <v>40.100000000000009</v>
      </c>
      <c r="H78" s="14">
        <f>IF(F78&lt;50,G78*0.1,G78*0.2)</f>
        <v>8.0200000000000014</v>
      </c>
      <c r="I78" t="s">
        <v>212</v>
      </c>
      <c r="J78" t="s">
        <v>213</v>
      </c>
      <c r="K78" t="s">
        <v>179</v>
      </c>
    </row>
    <row r="79" spans="1:11" x14ac:dyDescent="0.25">
      <c r="A79" s="21" t="s">
        <v>191</v>
      </c>
      <c r="B79" s="20">
        <v>1078</v>
      </c>
      <c r="C79">
        <v>2877</v>
      </c>
      <c r="D79" t="s">
        <v>188</v>
      </c>
      <c r="E79" s="14">
        <v>11.4</v>
      </c>
      <c r="F79" s="14">
        <v>16.3</v>
      </c>
      <c r="G79" s="14">
        <f>F79-E79</f>
        <v>4.9000000000000004</v>
      </c>
      <c r="H79" s="14">
        <f>IF(F79&lt;50,G79*0.1,G79*0.2)</f>
        <v>0.49000000000000005</v>
      </c>
      <c r="I79" t="s">
        <v>208</v>
      </c>
      <c r="J79" t="s">
        <v>209</v>
      </c>
      <c r="K79" t="s">
        <v>169</v>
      </c>
    </row>
    <row r="80" spans="1:11" x14ac:dyDescent="0.25">
      <c r="A80" s="21" t="s">
        <v>190</v>
      </c>
      <c r="B80" s="20">
        <v>1079</v>
      </c>
      <c r="C80">
        <v>2877</v>
      </c>
      <c r="D80" t="s">
        <v>188</v>
      </c>
      <c r="E80" s="14">
        <v>11.4</v>
      </c>
      <c r="F80" s="14">
        <v>16.3</v>
      </c>
      <c r="G80" s="14">
        <f>F80-E80</f>
        <v>4.9000000000000004</v>
      </c>
      <c r="H80" s="14">
        <f>IF(F80&lt;50,G80*0.1,G80*0.2)</f>
        <v>0.49000000000000005</v>
      </c>
      <c r="I80" t="s">
        <v>208</v>
      </c>
      <c r="J80" t="s">
        <v>209</v>
      </c>
      <c r="K80" t="s">
        <v>176</v>
      </c>
    </row>
    <row r="81" spans="1:11" x14ac:dyDescent="0.25">
      <c r="A81" s="21" t="s">
        <v>190</v>
      </c>
      <c r="B81" s="20">
        <v>1080</v>
      </c>
      <c r="C81">
        <v>4421</v>
      </c>
      <c r="D81" t="s">
        <v>170</v>
      </c>
      <c r="E81" s="14">
        <v>45</v>
      </c>
      <c r="F81" s="14">
        <v>87</v>
      </c>
      <c r="G81" s="14">
        <f>F81-E81</f>
        <v>42</v>
      </c>
      <c r="H81" s="14">
        <f>IF(F81&lt;50,G81*0.1,G81*0.2)</f>
        <v>8.4</v>
      </c>
      <c r="I81" t="s">
        <v>210</v>
      </c>
      <c r="J81" t="s">
        <v>211</v>
      </c>
      <c r="K81" t="s">
        <v>172</v>
      </c>
    </row>
    <row r="82" spans="1:11" x14ac:dyDescent="0.25">
      <c r="A82" s="21" t="s">
        <v>190</v>
      </c>
      <c r="B82" s="20">
        <v>1081</v>
      </c>
      <c r="C82">
        <v>6119</v>
      </c>
      <c r="D82" t="s">
        <v>189</v>
      </c>
      <c r="E82" s="14">
        <v>9</v>
      </c>
      <c r="F82" s="14">
        <v>14</v>
      </c>
      <c r="G82" s="14">
        <f>F82-E82</f>
        <v>5</v>
      </c>
      <c r="H82" s="14">
        <f>IF(F82&lt;50,G82*0.1,G82*0.2)</f>
        <v>0.5</v>
      </c>
      <c r="I82" t="s">
        <v>210</v>
      </c>
      <c r="J82" t="s">
        <v>211</v>
      </c>
      <c r="K82" t="s">
        <v>173</v>
      </c>
    </row>
    <row r="83" spans="1:11" x14ac:dyDescent="0.25">
      <c r="A83" s="21" t="s">
        <v>190</v>
      </c>
      <c r="B83" s="20">
        <v>1082</v>
      </c>
      <c r="C83">
        <v>1109</v>
      </c>
      <c r="D83" t="s">
        <v>186</v>
      </c>
      <c r="E83" s="14">
        <v>3</v>
      </c>
      <c r="F83" s="14">
        <v>8</v>
      </c>
      <c r="G83" s="14">
        <f>F83-E83</f>
        <v>5</v>
      </c>
      <c r="H83" s="14">
        <f>IF(F83&lt;50,G83*0.1,G83*0.2)</f>
        <v>0.5</v>
      </c>
      <c r="I83" t="s">
        <v>206</v>
      </c>
      <c r="J83" t="s">
        <v>207</v>
      </c>
      <c r="K83" t="s">
        <v>172</v>
      </c>
    </row>
    <row r="84" spans="1:11" x14ac:dyDescent="0.25">
      <c r="A84" s="21" t="s">
        <v>190</v>
      </c>
      <c r="B84" s="20">
        <v>1083</v>
      </c>
      <c r="C84">
        <v>1109</v>
      </c>
      <c r="D84" t="s">
        <v>186</v>
      </c>
      <c r="E84" s="14">
        <v>3</v>
      </c>
      <c r="F84" s="14">
        <v>8</v>
      </c>
      <c r="G84" s="14">
        <f>F84-E84</f>
        <v>5</v>
      </c>
      <c r="H84" s="14">
        <f>IF(F84&lt;50,G84*0.1,G84*0.2)</f>
        <v>0.5</v>
      </c>
      <c r="I84" t="s">
        <v>206</v>
      </c>
      <c r="J84" t="s">
        <v>207</v>
      </c>
      <c r="K84" t="s">
        <v>169</v>
      </c>
    </row>
    <row r="85" spans="1:11" x14ac:dyDescent="0.25">
      <c r="A85" s="21" t="s">
        <v>190</v>
      </c>
      <c r="B85" s="20">
        <v>1084</v>
      </c>
      <c r="C85">
        <v>6119</v>
      </c>
      <c r="D85" t="s">
        <v>189</v>
      </c>
      <c r="E85" s="14">
        <v>9</v>
      </c>
      <c r="F85" s="14">
        <v>14</v>
      </c>
      <c r="G85" s="14">
        <f>F85-E85</f>
        <v>5</v>
      </c>
      <c r="H85" s="14">
        <f>IF(F85&lt;50,G85*0.1,G85*0.2)</f>
        <v>0.5</v>
      </c>
      <c r="I85" t="s">
        <v>206</v>
      </c>
      <c r="J85" t="s">
        <v>207</v>
      </c>
      <c r="K85" t="s">
        <v>179</v>
      </c>
    </row>
    <row r="86" spans="1:11" x14ac:dyDescent="0.25">
      <c r="A86" s="21" t="s">
        <v>190</v>
      </c>
      <c r="B86" s="20">
        <v>1085</v>
      </c>
      <c r="C86">
        <v>9822</v>
      </c>
      <c r="D86" t="s">
        <v>175</v>
      </c>
      <c r="E86" s="14">
        <v>58.3</v>
      </c>
      <c r="F86" s="14">
        <v>98.4</v>
      </c>
      <c r="G86" s="14">
        <f>F86-E86</f>
        <v>40.100000000000009</v>
      </c>
      <c r="H86" s="14">
        <f>IF(F86&lt;50,G86*0.1,G86*0.2)</f>
        <v>8.0200000000000014</v>
      </c>
      <c r="I86" t="s">
        <v>210</v>
      </c>
      <c r="J86" t="s">
        <v>211</v>
      </c>
      <c r="K86" t="s">
        <v>169</v>
      </c>
    </row>
    <row r="87" spans="1:11" x14ac:dyDescent="0.25">
      <c r="A87" s="21" t="s">
        <v>190</v>
      </c>
      <c r="B87" s="20">
        <v>1086</v>
      </c>
      <c r="C87">
        <v>1109</v>
      </c>
      <c r="D87" t="s">
        <v>186</v>
      </c>
      <c r="E87" s="14">
        <v>3</v>
      </c>
      <c r="F87" s="14">
        <v>8</v>
      </c>
      <c r="G87" s="14">
        <f>F87-E87</f>
        <v>5</v>
      </c>
      <c r="H87" s="14">
        <f>IF(F87&lt;50,G87*0.1,G87*0.2)</f>
        <v>0.5</v>
      </c>
      <c r="I87" t="s">
        <v>212</v>
      </c>
      <c r="J87" t="s">
        <v>213</v>
      </c>
      <c r="K87" t="s">
        <v>179</v>
      </c>
    </row>
    <row r="88" spans="1:11" x14ac:dyDescent="0.25">
      <c r="A88" s="21" t="s">
        <v>190</v>
      </c>
      <c r="B88" s="20">
        <v>1087</v>
      </c>
      <c r="C88">
        <v>2499</v>
      </c>
      <c r="D88" t="s">
        <v>187</v>
      </c>
      <c r="E88" s="14">
        <v>6.2</v>
      </c>
      <c r="F88" s="14">
        <v>9.1999999999999993</v>
      </c>
      <c r="G88" s="14">
        <f>F88-E88</f>
        <v>2.9999999999999991</v>
      </c>
      <c r="H88" s="14">
        <f>IF(F88&lt;50,G88*0.1,G88*0.2)</f>
        <v>0.29999999999999993</v>
      </c>
      <c r="I88" t="s">
        <v>206</v>
      </c>
      <c r="J88" t="s">
        <v>207</v>
      </c>
      <c r="K88" t="s">
        <v>172</v>
      </c>
    </row>
    <row r="89" spans="1:11" x14ac:dyDescent="0.25">
      <c r="A89" s="21" t="s">
        <v>190</v>
      </c>
      <c r="B89" s="20">
        <v>1088</v>
      </c>
      <c r="C89">
        <v>2499</v>
      </c>
      <c r="D89" t="s">
        <v>187</v>
      </c>
      <c r="E89" s="14">
        <v>6.2</v>
      </c>
      <c r="F89" s="14">
        <v>9.1999999999999993</v>
      </c>
      <c r="G89" s="14">
        <f>F89-E89</f>
        <v>2.9999999999999991</v>
      </c>
      <c r="H89" s="14">
        <f>IF(F89&lt;50,G89*0.1,G89*0.2)</f>
        <v>0.29999999999999993</v>
      </c>
      <c r="I89" t="s">
        <v>206</v>
      </c>
      <c r="J89" t="s">
        <v>207</v>
      </c>
      <c r="K89" t="s">
        <v>176</v>
      </c>
    </row>
    <row r="90" spans="1:11" x14ac:dyDescent="0.25">
      <c r="A90" s="21" t="s">
        <v>190</v>
      </c>
      <c r="B90" s="20">
        <v>1089</v>
      </c>
      <c r="C90">
        <v>6119</v>
      </c>
      <c r="D90" t="s">
        <v>189</v>
      </c>
      <c r="E90" s="14">
        <v>9</v>
      </c>
      <c r="F90" s="14">
        <v>14</v>
      </c>
      <c r="G90" s="14">
        <f>F90-E90</f>
        <v>5</v>
      </c>
      <c r="H90" s="14">
        <f>IF(F90&lt;50,G90*0.1,G90*0.2)</f>
        <v>0.5</v>
      </c>
      <c r="I90" t="s">
        <v>210</v>
      </c>
      <c r="J90" t="s">
        <v>211</v>
      </c>
      <c r="K90" t="s">
        <v>169</v>
      </c>
    </row>
    <row r="91" spans="1:11" x14ac:dyDescent="0.25">
      <c r="A91" s="21" t="s">
        <v>190</v>
      </c>
      <c r="B91" s="20">
        <v>1090</v>
      </c>
      <c r="C91">
        <v>2877</v>
      </c>
      <c r="D91" t="s">
        <v>188</v>
      </c>
      <c r="E91" s="14">
        <v>11.4</v>
      </c>
      <c r="F91" s="14">
        <v>16.3</v>
      </c>
      <c r="G91" s="14">
        <f>F91-E91</f>
        <v>4.9000000000000004</v>
      </c>
      <c r="H91" s="14">
        <f>IF(F91&lt;50,G91*0.1,G91*0.2)</f>
        <v>0.49000000000000005</v>
      </c>
      <c r="I91" t="s">
        <v>206</v>
      </c>
      <c r="J91" t="s">
        <v>207</v>
      </c>
      <c r="K91" t="s">
        <v>172</v>
      </c>
    </row>
    <row r="92" spans="1:11" x14ac:dyDescent="0.25">
      <c r="A92" s="21" t="s">
        <v>190</v>
      </c>
      <c r="B92" s="20">
        <v>1091</v>
      </c>
      <c r="C92">
        <v>2877</v>
      </c>
      <c r="D92" t="s">
        <v>188</v>
      </c>
      <c r="E92" s="14">
        <v>11.4</v>
      </c>
      <c r="F92" s="14">
        <v>16.3</v>
      </c>
      <c r="G92" s="14">
        <f>F92-E92</f>
        <v>4.9000000000000004</v>
      </c>
      <c r="H92" s="14">
        <f>IF(F92&lt;50,G92*0.1,G92*0.2)</f>
        <v>0.49000000000000005</v>
      </c>
      <c r="I92" t="s">
        <v>212</v>
      </c>
      <c r="J92" t="s">
        <v>213</v>
      </c>
      <c r="K92" t="s">
        <v>169</v>
      </c>
    </row>
    <row r="93" spans="1:11" x14ac:dyDescent="0.25">
      <c r="A93" s="21" t="s">
        <v>190</v>
      </c>
      <c r="B93" s="20">
        <v>1092</v>
      </c>
      <c r="C93">
        <v>2877</v>
      </c>
      <c r="D93" t="s">
        <v>188</v>
      </c>
      <c r="E93" s="14">
        <v>11.4</v>
      </c>
      <c r="F93" s="14">
        <v>16.3</v>
      </c>
      <c r="G93" s="14">
        <f>F93-E93</f>
        <v>4.9000000000000004</v>
      </c>
      <c r="H93" s="14">
        <f>IF(F93&lt;50,G93*0.1,G93*0.2)</f>
        <v>0.49000000000000005</v>
      </c>
      <c r="I93" t="s">
        <v>210</v>
      </c>
      <c r="J93" t="s">
        <v>211</v>
      </c>
      <c r="K93" t="s">
        <v>172</v>
      </c>
    </row>
    <row r="94" spans="1:11" x14ac:dyDescent="0.25">
      <c r="A94" s="21" t="s">
        <v>190</v>
      </c>
      <c r="B94" s="20">
        <v>1093</v>
      </c>
      <c r="C94">
        <v>6119</v>
      </c>
      <c r="D94" t="s">
        <v>189</v>
      </c>
      <c r="E94" s="14">
        <v>9</v>
      </c>
      <c r="F94" s="14">
        <v>14</v>
      </c>
      <c r="G94" s="14">
        <f>F94-E94</f>
        <v>5</v>
      </c>
      <c r="H94" s="14">
        <f>IF(F94&lt;50,G94*0.1,G94*0.2)</f>
        <v>0.5</v>
      </c>
      <c r="I94" t="s">
        <v>208</v>
      </c>
      <c r="J94" t="s">
        <v>209</v>
      </c>
      <c r="K94" t="s">
        <v>179</v>
      </c>
    </row>
    <row r="95" spans="1:11" x14ac:dyDescent="0.25">
      <c r="A95" s="21" t="s">
        <v>190</v>
      </c>
      <c r="B95" s="20">
        <v>1094</v>
      </c>
      <c r="C95">
        <v>6119</v>
      </c>
      <c r="D95" t="s">
        <v>189</v>
      </c>
      <c r="E95" s="14">
        <v>9</v>
      </c>
      <c r="F95" s="14">
        <v>14</v>
      </c>
      <c r="G95" s="14">
        <f>F95-E95</f>
        <v>5</v>
      </c>
      <c r="H95" s="14">
        <f>IF(F95&lt;50,G95*0.1,G95*0.2)</f>
        <v>0.5</v>
      </c>
      <c r="I95" t="s">
        <v>210</v>
      </c>
      <c r="J95" t="s">
        <v>211</v>
      </c>
      <c r="K95" t="s">
        <v>172</v>
      </c>
    </row>
    <row r="96" spans="1:11" x14ac:dyDescent="0.25">
      <c r="A96" s="21" t="s">
        <v>190</v>
      </c>
      <c r="B96" s="20">
        <v>1095</v>
      </c>
      <c r="C96">
        <v>2499</v>
      </c>
      <c r="D96" t="s">
        <v>187</v>
      </c>
      <c r="E96" s="14">
        <v>6.2</v>
      </c>
      <c r="F96" s="14">
        <v>9.1999999999999993</v>
      </c>
      <c r="G96" s="14">
        <f>F96-E96</f>
        <v>2.9999999999999991</v>
      </c>
      <c r="H96" s="14">
        <f>IF(F96&lt;50,G96*0.1,G96*0.2)</f>
        <v>0.29999999999999993</v>
      </c>
      <c r="I96" t="s">
        <v>212</v>
      </c>
      <c r="J96" t="s">
        <v>213</v>
      </c>
      <c r="K96" t="s">
        <v>179</v>
      </c>
    </row>
    <row r="97" spans="1:11" x14ac:dyDescent="0.25">
      <c r="A97" s="21" t="s">
        <v>190</v>
      </c>
      <c r="B97" s="20">
        <v>1096</v>
      </c>
      <c r="C97">
        <v>6119</v>
      </c>
      <c r="D97" t="s">
        <v>189</v>
      </c>
      <c r="E97" s="14">
        <v>9</v>
      </c>
      <c r="F97" s="14">
        <v>14</v>
      </c>
      <c r="G97" s="14">
        <f>F97-E97</f>
        <v>5</v>
      </c>
      <c r="H97" s="14">
        <f>IF(F97&lt;50,G97*0.1,G97*0.2)</f>
        <v>0.5</v>
      </c>
      <c r="I97" t="s">
        <v>210</v>
      </c>
      <c r="J97" t="s">
        <v>211</v>
      </c>
      <c r="K97" t="s">
        <v>179</v>
      </c>
    </row>
    <row r="98" spans="1:11" x14ac:dyDescent="0.25">
      <c r="A98" s="21" t="s">
        <v>190</v>
      </c>
      <c r="B98" s="20">
        <v>1097</v>
      </c>
      <c r="C98">
        <v>9212</v>
      </c>
      <c r="D98" t="s">
        <v>180</v>
      </c>
      <c r="E98" s="14">
        <v>4</v>
      </c>
      <c r="F98" s="14">
        <v>7</v>
      </c>
      <c r="G98" s="14">
        <f>F98-E98</f>
        <v>3</v>
      </c>
      <c r="H98" s="14">
        <f>IF(F98&lt;50,G98*0.1,G98*0.2)</f>
        <v>0.30000000000000004</v>
      </c>
      <c r="I98" t="s">
        <v>212</v>
      </c>
      <c r="J98" t="s">
        <v>213</v>
      </c>
      <c r="K98" t="s">
        <v>169</v>
      </c>
    </row>
    <row r="99" spans="1:11" x14ac:dyDescent="0.25">
      <c r="A99" s="21" t="s">
        <v>190</v>
      </c>
      <c r="B99" s="20">
        <v>1098</v>
      </c>
      <c r="C99">
        <v>2877</v>
      </c>
      <c r="D99" t="s">
        <v>188</v>
      </c>
      <c r="E99" s="14">
        <v>11.4</v>
      </c>
      <c r="F99" s="14">
        <v>16.3</v>
      </c>
      <c r="G99" s="14">
        <f>F99-E99</f>
        <v>4.9000000000000004</v>
      </c>
      <c r="H99" s="14">
        <f>IF(F99&lt;50,G99*0.1,G99*0.2)</f>
        <v>0.49000000000000005</v>
      </c>
      <c r="I99" t="s">
        <v>208</v>
      </c>
      <c r="J99" t="s">
        <v>209</v>
      </c>
      <c r="K99" t="s">
        <v>176</v>
      </c>
    </row>
    <row r="100" spans="1:11" x14ac:dyDescent="0.25">
      <c r="A100" s="21" t="s">
        <v>185</v>
      </c>
      <c r="B100" s="20">
        <v>1099</v>
      </c>
      <c r="C100">
        <v>2877</v>
      </c>
      <c r="D100" t="s">
        <v>188</v>
      </c>
      <c r="E100" s="14">
        <v>11.4</v>
      </c>
      <c r="F100" s="14">
        <v>16.3</v>
      </c>
      <c r="G100" s="14">
        <f>F100-E100</f>
        <v>4.9000000000000004</v>
      </c>
      <c r="H100" s="14">
        <f>IF(F100&lt;50,G100*0.1,G100*0.2)</f>
        <v>0.49000000000000005</v>
      </c>
      <c r="I100" t="s">
        <v>210</v>
      </c>
      <c r="J100" t="s">
        <v>211</v>
      </c>
      <c r="K100" t="s">
        <v>172</v>
      </c>
    </row>
    <row r="101" spans="1:11" x14ac:dyDescent="0.25">
      <c r="A101" s="21" t="s">
        <v>185</v>
      </c>
      <c r="B101" s="20">
        <v>1100</v>
      </c>
      <c r="C101">
        <v>6119</v>
      </c>
      <c r="D101" t="s">
        <v>189</v>
      </c>
      <c r="E101" s="14">
        <v>9</v>
      </c>
      <c r="F101" s="14">
        <v>14</v>
      </c>
      <c r="G101" s="14">
        <f>F101-E101</f>
        <v>5</v>
      </c>
      <c r="H101" s="14">
        <f>IF(F101&lt;50,G101*0.1,G101*0.2)</f>
        <v>0.5</v>
      </c>
      <c r="I101" t="s">
        <v>206</v>
      </c>
      <c r="J101" t="s">
        <v>207</v>
      </c>
      <c r="K101" t="s">
        <v>173</v>
      </c>
    </row>
    <row r="102" spans="1:11" x14ac:dyDescent="0.25">
      <c r="A102" s="21" t="s">
        <v>185</v>
      </c>
      <c r="B102" s="20">
        <v>1101</v>
      </c>
      <c r="C102">
        <v>2499</v>
      </c>
      <c r="D102" t="s">
        <v>187</v>
      </c>
      <c r="E102" s="14">
        <v>6.2</v>
      </c>
      <c r="F102" s="14">
        <v>9.1999999999999993</v>
      </c>
      <c r="G102" s="14">
        <f>F102-E102</f>
        <v>2.9999999999999991</v>
      </c>
      <c r="H102" s="14">
        <f>IF(F102&lt;50,G102*0.1,G102*0.2)</f>
        <v>0.29999999999999993</v>
      </c>
      <c r="I102" t="s">
        <v>210</v>
      </c>
      <c r="J102" t="s">
        <v>211</v>
      </c>
      <c r="K102" t="s">
        <v>172</v>
      </c>
    </row>
    <row r="103" spans="1:11" x14ac:dyDescent="0.25">
      <c r="A103" s="21" t="s">
        <v>185</v>
      </c>
      <c r="B103" s="20">
        <v>1102</v>
      </c>
      <c r="C103">
        <v>2242</v>
      </c>
      <c r="D103" t="s">
        <v>177</v>
      </c>
      <c r="E103" s="14">
        <v>60</v>
      </c>
      <c r="F103" s="14">
        <v>124</v>
      </c>
      <c r="G103" s="14">
        <f>F103-E103</f>
        <v>64</v>
      </c>
      <c r="H103" s="14">
        <f>IF(F103&lt;50,G103*0.1,G103*0.2)</f>
        <v>12.8</v>
      </c>
      <c r="I103" t="s">
        <v>208</v>
      </c>
      <c r="J103" t="s">
        <v>209</v>
      </c>
      <c r="K103" t="s">
        <v>169</v>
      </c>
    </row>
    <row r="104" spans="1:11" x14ac:dyDescent="0.25">
      <c r="A104" s="21" t="s">
        <v>185</v>
      </c>
      <c r="B104" s="20">
        <v>1103</v>
      </c>
      <c r="C104">
        <v>2877</v>
      </c>
      <c r="D104" t="s">
        <v>188</v>
      </c>
      <c r="E104" s="14">
        <v>11.4</v>
      </c>
      <c r="F104" s="14">
        <v>16.3</v>
      </c>
      <c r="G104" s="14">
        <f>F104-E104</f>
        <v>4.9000000000000004</v>
      </c>
      <c r="H104" s="14">
        <f>IF(F104&lt;50,G104*0.1,G104*0.2)</f>
        <v>0.49000000000000005</v>
      </c>
      <c r="I104" t="s">
        <v>208</v>
      </c>
      <c r="J104" t="s">
        <v>209</v>
      </c>
      <c r="K104" t="s">
        <v>179</v>
      </c>
    </row>
    <row r="105" spans="1:11" x14ac:dyDescent="0.25">
      <c r="A105" s="21" t="s">
        <v>185</v>
      </c>
      <c r="B105" s="20">
        <v>1104</v>
      </c>
      <c r="C105">
        <v>2877</v>
      </c>
      <c r="D105" t="s">
        <v>188</v>
      </c>
      <c r="E105" s="14">
        <v>11.4</v>
      </c>
      <c r="F105" s="14">
        <v>16.3</v>
      </c>
      <c r="G105" s="14">
        <f>F105-E105</f>
        <v>4.9000000000000004</v>
      </c>
      <c r="H105" s="14">
        <f>IF(F105&lt;50,G105*0.1,G105*0.2)</f>
        <v>0.49000000000000005</v>
      </c>
      <c r="I105" t="s">
        <v>210</v>
      </c>
      <c r="J105" t="s">
        <v>211</v>
      </c>
      <c r="K105" t="s">
        <v>169</v>
      </c>
    </row>
    <row r="106" spans="1:11" x14ac:dyDescent="0.25">
      <c r="A106" s="21" t="s">
        <v>185</v>
      </c>
      <c r="B106" s="20">
        <v>1105</v>
      </c>
      <c r="C106">
        <v>2499</v>
      </c>
      <c r="D106" t="s">
        <v>187</v>
      </c>
      <c r="E106" s="14">
        <v>6.2</v>
      </c>
      <c r="F106" s="14">
        <v>9.1999999999999993</v>
      </c>
      <c r="G106" s="14">
        <f>F106-E106</f>
        <v>2.9999999999999991</v>
      </c>
      <c r="H106" s="14">
        <f>IF(F106&lt;50,G106*0.1,G106*0.2)</f>
        <v>0.29999999999999993</v>
      </c>
      <c r="I106" t="s">
        <v>208</v>
      </c>
      <c r="J106" t="s">
        <v>209</v>
      </c>
      <c r="K106" t="s">
        <v>179</v>
      </c>
    </row>
    <row r="107" spans="1:11" x14ac:dyDescent="0.25">
      <c r="A107" s="21" t="s">
        <v>185</v>
      </c>
      <c r="B107" s="20">
        <v>1106</v>
      </c>
      <c r="C107">
        <v>9822</v>
      </c>
      <c r="D107" t="s">
        <v>175</v>
      </c>
      <c r="E107" s="14">
        <v>58.3</v>
      </c>
      <c r="F107" s="14">
        <v>98.4</v>
      </c>
      <c r="G107" s="14">
        <f>F107-E107</f>
        <v>40.100000000000009</v>
      </c>
      <c r="H107" s="14">
        <f>IF(F107&lt;50,G107*0.1,G107*0.2)</f>
        <v>8.0200000000000014</v>
      </c>
      <c r="I107" t="s">
        <v>208</v>
      </c>
      <c r="J107" t="s">
        <v>209</v>
      </c>
      <c r="K107" t="s">
        <v>172</v>
      </c>
    </row>
    <row r="108" spans="1:11" x14ac:dyDescent="0.25">
      <c r="A108" s="21" t="s">
        <v>185</v>
      </c>
      <c r="B108" s="20">
        <v>1107</v>
      </c>
      <c r="C108">
        <v>1109</v>
      </c>
      <c r="D108" t="s">
        <v>186</v>
      </c>
      <c r="E108" s="14">
        <v>3</v>
      </c>
      <c r="F108" s="14">
        <v>8</v>
      </c>
      <c r="G108" s="14">
        <f>F108-E108</f>
        <v>5</v>
      </c>
      <c r="H108" s="14">
        <f>IF(F108&lt;50,G108*0.1,G108*0.2)</f>
        <v>0.5</v>
      </c>
      <c r="I108" t="s">
        <v>212</v>
      </c>
      <c r="J108" t="s">
        <v>213</v>
      </c>
      <c r="K108" t="s">
        <v>176</v>
      </c>
    </row>
    <row r="109" spans="1:11" x14ac:dyDescent="0.25">
      <c r="A109" s="21" t="s">
        <v>185</v>
      </c>
      <c r="B109" s="20">
        <v>1108</v>
      </c>
      <c r="C109">
        <v>9822</v>
      </c>
      <c r="D109" t="s">
        <v>175</v>
      </c>
      <c r="E109" s="14">
        <v>58.3</v>
      </c>
      <c r="F109" s="14">
        <v>98.4</v>
      </c>
      <c r="G109" s="14">
        <f>F109-E109</f>
        <v>40.100000000000009</v>
      </c>
      <c r="H109" s="14">
        <f>IF(F109&lt;50,G109*0.1,G109*0.2)</f>
        <v>8.0200000000000014</v>
      </c>
      <c r="I109" t="s">
        <v>210</v>
      </c>
      <c r="J109" t="s">
        <v>211</v>
      </c>
      <c r="K109" t="s">
        <v>169</v>
      </c>
    </row>
    <row r="110" spans="1:11" x14ac:dyDescent="0.25">
      <c r="A110" s="21" t="s">
        <v>185</v>
      </c>
      <c r="B110" s="20">
        <v>1109</v>
      </c>
      <c r="C110">
        <v>8722</v>
      </c>
      <c r="D110" t="s">
        <v>174</v>
      </c>
      <c r="E110" s="14">
        <v>344</v>
      </c>
      <c r="F110" s="14">
        <v>502</v>
      </c>
      <c r="G110" s="14">
        <f>F110-E110</f>
        <v>158</v>
      </c>
      <c r="H110" s="14">
        <f>IF(F110&lt;50,G110*0.1,G110*0.2)</f>
        <v>31.6</v>
      </c>
      <c r="I110" t="s">
        <v>208</v>
      </c>
      <c r="J110" t="s">
        <v>209</v>
      </c>
      <c r="K110" t="s">
        <v>172</v>
      </c>
    </row>
    <row r="111" spans="1:11" x14ac:dyDescent="0.25">
      <c r="A111" s="21" t="s">
        <v>185</v>
      </c>
      <c r="B111" s="20">
        <v>1110</v>
      </c>
      <c r="C111">
        <v>8722</v>
      </c>
      <c r="D111" t="s">
        <v>174</v>
      </c>
      <c r="E111" s="14">
        <v>344</v>
      </c>
      <c r="F111" s="14">
        <v>502</v>
      </c>
      <c r="G111" s="14">
        <f>F111-E111</f>
        <v>158</v>
      </c>
      <c r="H111" s="14">
        <f>IF(F111&lt;50,G111*0.1,G111*0.2)</f>
        <v>31.6</v>
      </c>
      <c r="I111" t="s">
        <v>212</v>
      </c>
      <c r="J111" t="s">
        <v>213</v>
      </c>
      <c r="K111" t="s">
        <v>169</v>
      </c>
    </row>
    <row r="112" spans="1:11" x14ac:dyDescent="0.25">
      <c r="A112" s="21" t="s">
        <v>185</v>
      </c>
      <c r="B112" s="20">
        <v>1111</v>
      </c>
      <c r="C112">
        <v>6622</v>
      </c>
      <c r="D112" t="s">
        <v>181</v>
      </c>
      <c r="E112" s="14">
        <v>42</v>
      </c>
      <c r="F112" s="14">
        <v>77</v>
      </c>
      <c r="G112" s="14">
        <f>F112-E112</f>
        <v>35</v>
      </c>
      <c r="H112" s="14">
        <f>IF(F112&lt;50,G112*0.1,G112*0.2)</f>
        <v>7</v>
      </c>
      <c r="I112" t="s">
        <v>212</v>
      </c>
      <c r="J112" t="s">
        <v>213</v>
      </c>
      <c r="K112" t="s">
        <v>172</v>
      </c>
    </row>
    <row r="113" spans="1:11" x14ac:dyDescent="0.25">
      <c r="A113" s="21" t="s">
        <v>185</v>
      </c>
      <c r="B113" s="20">
        <v>1112</v>
      </c>
      <c r="C113">
        <v>6622</v>
      </c>
      <c r="D113" t="s">
        <v>181</v>
      </c>
      <c r="E113" s="14">
        <v>42</v>
      </c>
      <c r="F113" s="14">
        <v>77</v>
      </c>
      <c r="G113" s="14">
        <f>F113-E113</f>
        <v>35</v>
      </c>
      <c r="H113" s="14">
        <f>IF(F113&lt;50,G113*0.1,G113*0.2)</f>
        <v>7</v>
      </c>
      <c r="I113" t="s">
        <v>210</v>
      </c>
      <c r="J113" t="s">
        <v>211</v>
      </c>
      <c r="K113" t="s">
        <v>179</v>
      </c>
    </row>
    <row r="114" spans="1:11" x14ac:dyDescent="0.25">
      <c r="A114" s="21" t="s">
        <v>185</v>
      </c>
      <c r="B114" s="20">
        <v>1113</v>
      </c>
      <c r="C114">
        <v>9822</v>
      </c>
      <c r="D114" t="s">
        <v>175</v>
      </c>
      <c r="E114" s="14">
        <v>58.3</v>
      </c>
      <c r="F114" s="14">
        <v>98.4</v>
      </c>
      <c r="G114" s="14">
        <f>F114-E114</f>
        <v>40.100000000000009</v>
      </c>
      <c r="H114" s="14">
        <f>IF(F114&lt;50,G114*0.1,G114*0.2)</f>
        <v>8.0200000000000014</v>
      </c>
      <c r="I114" t="s">
        <v>206</v>
      </c>
      <c r="J114" t="s">
        <v>207</v>
      </c>
      <c r="K114" t="s">
        <v>172</v>
      </c>
    </row>
    <row r="115" spans="1:11" x14ac:dyDescent="0.25">
      <c r="A115" s="21" t="s">
        <v>185</v>
      </c>
      <c r="B115" s="20">
        <v>1114</v>
      </c>
      <c r="C115">
        <v>2242</v>
      </c>
      <c r="D115" t="s">
        <v>177</v>
      </c>
      <c r="E115" s="14">
        <v>60</v>
      </c>
      <c r="F115" s="14">
        <v>124</v>
      </c>
      <c r="G115" s="14">
        <f>F115-E115</f>
        <v>64</v>
      </c>
      <c r="H115" s="14">
        <f>IF(F115&lt;50,G115*0.1,G115*0.2)</f>
        <v>12.8</v>
      </c>
      <c r="I115" t="s">
        <v>208</v>
      </c>
      <c r="J115" t="s">
        <v>209</v>
      </c>
      <c r="K115" t="s">
        <v>179</v>
      </c>
    </row>
    <row r="116" spans="1:11" x14ac:dyDescent="0.25">
      <c r="A116" s="21" t="s">
        <v>185</v>
      </c>
      <c r="B116" s="20">
        <v>1115</v>
      </c>
      <c r="C116">
        <v>8722</v>
      </c>
      <c r="D116" t="s">
        <v>174</v>
      </c>
      <c r="E116" s="14">
        <v>344</v>
      </c>
      <c r="F116" s="14">
        <v>502</v>
      </c>
      <c r="G116" s="14">
        <f>F116-E116</f>
        <v>158</v>
      </c>
      <c r="H116" s="14">
        <f>IF(F116&lt;50,G116*0.1,G116*0.2)</f>
        <v>31.6</v>
      </c>
      <c r="I116" t="s">
        <v>206</v>
      </c>
      <c r="J116" t="s">
        <v>207</v>
      </c>
      <c r="K116" t="s">
        <v>179</v>
      </c>
    </row>
    <row r="117" spans="1:11" x14ac:dyDescent="0.25">
      <c r="A117" s="21" t="s">
        <v>185</v>
      </c>
      <c r="B117" s="20">
        <v>1116</v>
      </c>
      <c r="C117">
        <v>6622</v>
      </c>
      <c r="D117" t="s">
        <v>181</v>
      </c>
      <c r="E117" s="14">
        <v>42</v>
      </c>
      <c r="F117" s="14">
        <v>77</v>
      </c>
      <c r="G117" s="14">
        <f>F117-E117</f>
        <v>35</v>
      </c>
      <c r="H117" s="14">
        <f>IF(F117&lt;50,G117*0.1,G117*0.2)</f>
        <v>7</v>
      </c>
      <c r="I117" t="s">
        <v>210</v>
      </c>
      <c r="J117" t="s">
        <v>211</v>
      </c>
      <c r="K117" t="s">
        <v>169</v>
      </c>
    </row>
    <row r="118" spans="1:11" x14ac:dyDescent="0.25">
      <c r="A118" s="21" t="s">
        <v>185</v>
      </c>
      <c r="B118" s="20">
        <v>1117</v>
      </c>
      <c r="C118">
        <v>8722</v>
      </c>
      <c r="D118" t="s">
        <v>174</v>
      </c>
      <c r="E118" s="14">
        <v>344</v>
      </c>
      <c r="F118" s="14">
        <v>502</v>
      </c>
      <c r="G118" s="14">
        <f>F118-E118</f>
        <v>158</v>
      </c>
      <c r="H118" s="14">
        <f>IF(F118&lt;50,G118*0.1,G118*0.2)</f>
        <v>31.6</v>
      </c>
      <c r="I118" t="s">
        <v>212</v>
      </c>
      <c r="J118" t="s">
        <v>213</v>
      </c>
      <c r="K118" t="s">
        <v>176</v>
      </c>
    </row>
    <row r="119" spans="1:11" x14ac:dyDescent="0.25">
      <c r="A119" s="21" t="s">
        <v>185</v>
      </c>
      <c r="B119" s="20">
        <v>1118</v>
      </c>
      <c r="C119">
        <v>9822</v>
      </c>
      <c r="D119" t="s">
        <v>175</v>
      </c>
      <c r="E119" s="14">
        <v>58.3</v>
      </c>
      <c r="F119" s="14">
        <v>98.4</v>
      </c>
      <c r="G119" s="14">
        <f>F119-E119</f>
        <v>40.100000000000009</v>
      </c>
      <c r="H119" s="14">
        <f>IF(F119&lt;50,G119*0.1,G119*0.2)</f>
        <v>8.0200000000000014</v>
      </c>
      <c r="I119" t="s">
        <v>208</v>
      </c>
      <c r="J119" t="s">
        <v>209</v>
      </c>
      <c r="K119" t="s">
        <v>172</v>
      </c>
    </row>
    <row r="120" spans="1:11" x14ac:dyDescent="0.25">
      <c r="A120" s="21" t="s">
        <v>185</v>
      </c>
      <c r="B120" s="20">
        <v>1119</v>
      </c>
      <c r="C120">
        <v>2242</v>
      </c>
      <c r="D120" t="s">
        <v>177</v>
      </c>
      <c r="E120" s="14">
        <v>60</v>
      </c>
      <c r="F120" s="14">
        <v>124</v>
      </c>
      <c r="G120" s="14">
        <f>F120-E120</f>
        <v>64</v>
      </c>
      <c r="H120" s="14">
        <f>IF(F120&lt;50,G120*0.1,G120*0.2)</f>
        <v>12.8</v>
      </c>
      <c r="I120" t="s">
        <v>206</v>
      </c>
      <c r="J120" t="s">
        <v>207</v>
      </c>
      <c r="K120" t="s">
        <v>173</v>
      </c>
    </row>
    <row r="121" spans="1:11" x14ac:dyDescent="0.25">
      <c r="A121" s="21" t="s">
        <v>185</v>
      </c>
      <c r="B121" s="20">
        <v>1120</v>
      </c>
      <c r="C121">
        <v>2242</v>
      </c>
      <c r="D121" t="s">
        <v>177</v>
      </c>
      <c r="E121" s="14">
        <v>60</v>
      </c>
      <c r="F121" s="14">
        <v>124</v>
      </c>
      <c r="G121" s="14">
        <f>F121-E121</f>
        <v>64</v>
      </c>
      <c r="H121" s="14">
        <f>IF(F121&lt;50,G121*0.1,G121*0.2)</f>
        <v>12.8</v>
      </c>
      <c r="I121" t="s">
        <v>210</v>
      </c>
      <c r="J121" t="s">
        <v>211</v>
      </c>
      <c r="K121" t="s">
        <v>172</v>
      </c>
    </row>
    <row r="122" spans="1:11" x14ac:dyDescent="0.25">
      <c r="A122" s="21" t="s">
        <v>185</v>
      </c>
      <c r="B122" s="20">
        <v>1121</v>
      </c>
      <c r="C122">
        <v>4421</v>
      </c>
      <c r="D122" t="s">
        <v>170</v>
      </c>
      <c r="E122" s="14">
        <v>45</v>
      </c>
      <c r="F122" s="14">
        <v>87</v>
      </c>
      <c r="G122" s="14">
        <f>F122-E122</f>
        <v>42</v>
      </c>
      <c r="H122" s="14">
        <f>IF(F122&lt;50,G122*0.1,G122*0.2)</f>
        <v>8.4</v>
      </c>
      <c r="I122" t="s">
        <v>210</v>
      </c>
      <c r="J122" t="s">
        <v>211</v>
      </c>
      <c r="K122" t="s">
        <v>169</v>
      </c>
    </row>
    <row r="123" spans="1:11" x14ac:dyDescent="0.25">
      <c r="A123" s="21" t="s">
        <v>185</v>
      </c>
      <c r="B123" s="20">
        <v>1122</v>
      </c>
      <c r="C123">
        <v>8722</v>
      </c>
      <c r="D123" t="s">
        <v>174</v>
      </c>
      <c r="E123" s="14">
        <v>344</v>
      </c>
      <c r="F123" s="14">
        <v>502</v>
      </c>
      <c r="G123" s="14">
        <f>F123-E123</f>
        <v>158</v>
      </c>
      <c r="H123" s="14">
        <f>IF(F123&lt;50,G123*0.1,G123*0.2)</f>
        <v>31.6</v>
      </c>
      <c r="I123" t="s">
        <v>210</v>
      </c>
      <c r="J123" t="s">
        <v>211</v>
      </c>
      <c r="K123" t="s">
        <v>179</v>
      </c>
    </row>
    <row r="124" spans="1:11" x14ac:dyDescent="0.25">
      <c r="A124" s="21" t="s">
        <v>185</v>
      </c>
      <c r="B124" s="20">
        <v>1123</v>
      </c>
      <c r="C124">
        <v>9822</v>
      </c>
      <c r="D124" t="s">
        <v>175</v>
      </c>
      <c r="E124" s="14">
        <v>58.3</v>
      </c>
      <c r="F124" s="14">
        <v>98.4</v>
      </c>
      <c r="G124" s="14">
        <f>F124-E124</f>
        <v>40.100000000000009</v>
      </c>
      <c r="H124" s="14">
        <f>IF(F124&lt;50,G124*0.1,G124*0.2)</f>
        <v>8.0200000000000014</v>
      </c>
      <c r="I124" t="s">
        <v>210</v>
      </c>
      <c r="J124" t="s">
        <v>211</v>
      </c>
      <c r="K124" t="s">
        <v>169</v>
      </c>
    </row>
    <row r="125" spans="1:11" x14ac:dyDescent="0.25">
      <c r="A125" s="21" t="s">
        <v>185</v>
      </c>
      <c r="B125" s="20">
        <v>1124</v>
      </c>
      <c r="C125">
        <v>4421</v>
      </c>
      <c r="D125" t="s">
        <v>170</v>
      </c>
      <c r="E125" s="14">
        <v>45</v>
      </c>
      <c r="F125" s="14">
        <v>87</v>
      </c>
      <c r="G125" s="14">
        <f>F125-E125</f>
        <v>42</v>
      </c>
      <c r="H125" s="14">
        <f>IF(F125&lt;50,G125*0.1,G125*0.2)</f>
        <v>8.4</v>
      </c>
      <c r="I125" t="s">
        <v>210</v>
      </c>
      <c r="J125" t="s">
        <v>211</v>
      </c>
      <c r="K125" t="s">
        <v>179</v>
      </c>
    </row>
    <row r="126" spans="1:11" x14ac:dyDescent="0.25">
      <c r="A126" s="21" t="s">
        <v>184</v>
      </c>
      <c r="B126" s="20">
        <v>1125</v>
      </c>
      <c r="C126">
        <v>2242</v>
      </c>
      <c r="D126" t="s">
        <v>177</v>
      </c>
      <c r="E126" s="14">
        <v>60</v>
      </c>
      <c r="F126" s="14">
        <v>124</v>
      </c>
      <c r="G126" s="14">
        <f>F126-E126</f>
        <v>64</v>
      </c>
      <c r="H126" s="14">
        <f>IF(F126&lt;50,G126*0.1,G126*0.2)</f>
        <v>12.8</v>
      </c>
      <c r="I126" t="s">
        <v>210</v>
      </c>
      <c r="J126" t="s">
        <v>211</v>
      </c>
      <c r="K126" t="s">
        <v>172</v>
      </c>
    </row>
    <row r="127" spans="1:11" x14ac:dyDescent="0.25">
      <c r="A127" s="21" t="s">
        <v>184</v>
      </c>
      <c r="B127" s="20">
        <v>1126</v>
      </c>
      <c r="C127">
        <v>9212</v>
      </c>
      <c r="D127" t="s">
        <v>180</v>
      </c>
      <c r="E127" s="14">
        <v>4</v>
      </c>
      <c r="F127" s="14">
        <v>7</v>
      </c>
      <c r="G127" s="14">
        <f>F127-E127</f>
        <v>3</v>
      </c>
      <c r="H127" s="14">
        <f>IF(F127&lt;50,G127*0.1,G127*0.2)</f>
        <v>0.30000000000000004</v>
      </c>
      <c r="I127" t="s">
        <v>210</v>
      </c>
      <c r="J127" t="s">
        <v>211</v>
      </c>
      <c r="K127" t="s">
        <v>176</v>
      </c>
    </row>
    <row r="128" spans="1:11" x14ac:dyDescent="0.25">
      <c r="A128" s="21" t="s">
        <v>184</v>
      </c>
      <c r="B128" s="20">
        <v>1127</v>
      </c>
      <c r="C128">
        <v>8722</v>
      </c>
      <c r="D128" t="s">
        <v>174</v>
      </c>
      <c r="E128" s="14">
        <v>344</v>
      </c>
      <c r="F128" s="14">
        <v>502</v>
      </c>
      <c r="G128" s="14">
        <f>F128-E128</f>
        <v>158</v>
      </c>
      <c r="H128" s="14">
        <f>IF(F128&lt;50,G128*0.1,G128*0.2)</f>
        <v>31.6</v>
      </c>
      <c r="I128" t="s">
        <v>206</v>
      </c>
      <c r="J128" t="s">
        <v>207</v>
      </c>
      <c r="K128" t="s">
        <v>169</v>
      </c>
    </row>
    <row r="129" spans="1:11" x14ac:dyDescent="0.25">
      <c r="A129" s="21" t="s">
        <v>184</v>
      </c>
      <c r="B129" s="20">
        <v>1128</v>
      </c>
      <c r="C129">
        <v>6622</v>
      </c>
      <c r="D129" t="s">
        <v>181</v>
      </c>
      <c r="E129" s="14">
        <v>42</v>
      </c>
      <c r="F129" s="14">
        <v>77</v>
      </c>
      <c r="G129" s="14">
        <f>F129-E129</f>
        <v>35</v>
      </c>
      <c r="H129" s="14">
        <f>IF(F129&lt;50,G129*0.1,G129*0.2)</f>
        <v>7</v>
      </c>
      <c r="I129" t="s">
        <v>208</v>
      </c>
      <c r="J129" t="s">
        <v>209</v>
      </c>
      <c r="K129" t="s">
        <v>172</v>
      </c>
    </row>
    <row r="130" spans="1:11" x14ac:dyDescent="0.25">
      <c r="A130" s="21" t="s">
        <v>184</v>
      </c>
      <c r="B130" s="20">
        <v>1129</v>
      </c>
      <c r="C130">
        <v>9822</v>
      </c>
      <c r="D130" t="s">
        <v>175</v>
      </c>
      <c r="E130" s="14">
        <v>58.3</v>
      </c>
      <c r="F130" s="14">
        <v>98.4</v>
      </c>
      <c r="G130" s="14">
        <f>F130-E130</f>
        <v>40.100000000000009</v>
      </c>
      <c r="H130" s="14">
        <f>IF(F130&lt;50,G130*0.1,G130*0.2)</f>
        <v>8.0200000000000014</v>
      </c>
      <c r="I130" t="s">
        <v>212</v>
      </c>
      <c r="J130" t="s">
        <v>213</v>
      </c>
      <c r="K130" t="s">
        <v>169</v>
      </c>
    </row>
    <row r="131" spans="1:11" x14ac:dyDescent="0.25">
      <c r="A131" s="21" t="s">
        <v>184</v>
      </c>
      <c r="B131" s="20">
        <v>1130</v>
      </c>
      <c r="C131">
        <v>4421</v>
      </c>
      <c r="D131" t="s">
        <v>170</v>
      </c>
      <c r="E131" s="14">
        <v>45</v>
      </c>
      <c r="F131" s="14">
        <v>87</v>
      </c>
      <c r="G131" s="14">
        <f>F131-E131</f>
        <v>42</v>
      </c>
      <c r="H131" s="14">
        <f>IF(F131&lt;50,G131*0.1,G131*0.2)</f>
        <v>8.4</v>
      </c>
      <c r="I131" t="s">
        <v>212</v>
      </c>
      <c r="J131" t="s">
        <v>213</v>
      </c>
      <c r="K131" t="s">
        <v>172</v>
      </c>
    </row>
    <row r="132" spans="1:11" x14ac:dyDescent="0.25">
      <c r="A132" s="21" t="s">
        <v>184</v>
      </c>
      <c r="B132" s="20">
        <v>1131</v>
      </c>
      <c r="C132">
        <v>9212</v>
      </c>
      <c r="D132" t="s">
        <v>180</v>
      </c>
      <c r="E132" s="14">
        <v>4</v>
      </c>
      <c r="F132" s="14">
        <v>7</v>
      </c>
      <c r="G132" s="14">
        <f>F132-E132</f>
        <v>3</v>
      </c>
      <c r="H132" s="14">
        <f>IF(F132&lt;50,G132*0.1,G132*0.2)</f>
        <v>0.30000000000000004</v>
      </c>
      <c r="I132" t="s">
        <v>212</v>
      </c>
      <c r="J132" t="s">
        <v>213</v>
      </c>
      <c r="K132" t="s">
        <v>179</v>
      </c>
    </row>
    <row r="133" spans="1:11" x14ac:dyDescent="0.25">
      <c r="A133" s="21" t="s">
        <v>184</v>
      </c>
      <c r="B133" s="20">
        <v>1132</v>
      </c>
      <c r="C133">
        <v>9212</v>
      </c>
      <c r="D133" t="s">
        <v>180</v>
      </c>
      <c r="E133" s="14">
        <v>4</v>
      </c>
      <c r="F133" s="14">
        <v>7</v>
      </c>
      <c r="G133" s="14">
        <f>F133-E133</f>
        <v>3</v>
      </c>
      <c r="H133" s="14">
        <f>IF(F133&lt;50,G133*0.1,G133*0.2)</f>
        <v>0.30000000000000004</v>
      </c>
      <c r="I133" t="s">
        <v>212</v>
      </c>
      <c r="J133" t="s">
        <v>213</v>
      </c>
      <c r="K133" t="s">
        <v>172</v>
      </c>
    </row>
    <row r="134" spans="1:11" x14ac:dyDescent="0.25">
      <c r="A134" s="21" t="s">
        <v>184</v>
      </c>
      <c r="B134" s="20">
        <v>1133</v>
      </c>
      <c r="C134">
        <v>9822</v>
      </c>
      <c r="D134" t="s">
        <v>175</v>
      </c>
      <c r="E134" s="14">
        <v>58.3</v>
      </c>
      <c r="F134" s="14">
        <v>98.4</v>
      </c>
      <c r="G134" s="14">
        <f>F134-E134</f>
        <v>40.100000000000009</v>
      </c>
      <c r="H134" s="14">
        <f>IF(F134&lt;50,G134*0.1,G134*0.2)</f>
        <v>8.0200000000000014</v>
      </c>
      <c r="I134" t="s">
        <v>206</v>
      </c>
      <c r="J134" t="s">
        <v>207</v>
      </c>
      <c r="K134" t="s">
        <v>179</v>
      </c>
    </row>
    <row r="135" spans="1:11" x14ac:dyDescent="0.25">
      <c r="A135" s="21" t="s">
        <v>184</v>
      </c>
      <c r="B135" s="20">
        <v>1134</v>
      </c>
      <c r="C135">
        <v>9822</v>
      </c>
      <c r="D135" t="s">
        <v>175</v>
      </c>
      <c r="E135" s="14">
        <v>58.3</v>
      </c>
      <c r="F135" s="14">
        <v>98.4</v>
      </c>
      <c r="G135" s="14">
        <f>F135-E135</f>
        <v>40.100000000000009</v>
      </c>
      <c r="H135" s="14">
        <f>IF(F135&lt;50,G135*0.1,G135*0.2)</f>
        <v>8.0200000000000014</v>
      </c>
      <c r="I135" t="s">
        <v>210</v>
      </c>
      <c r="J135" t="s">
        <v>211</v>
      </c>
      <c r="K135" t="s">
        <v>179</v>
      </c>
    </row>
    <row r="136" spans="1:11" x14ac:dyDescent="0.25">
      <c r="A136" s="21" t="s">
        <v>184</v>
      </c>
      <c r="B136" s="20">
        <v>1135</v>
      </c>
      <c r="C136">
        <v>8722</v>
      </c>
      <c r="D136" t="s">
        <v>174</v>
      </c>
      <c r="E136" s="14">
        <v>344</v>
      </c>
      <c r="F136" s="14">
        <v>502</v>
      </c>
      <c r="G136" s="14">
        <f>F136-E136</f>
        <v>158</v>
      </c>
      <c r="H136" s="14">
        <f>IF(F136&lt;50,G136*0.1,G136*0.2)</f>
        <v>31.6</v>
      </c>
      <c r="I136" t="s">
        <v>206</v>
      </c>
      <c r="J136" t="s">
        <v>207</v>
      </c>
      <c r="K136" t="s">
        <v>169</v>
      </c>
    </row>
    <row r="137" spans="1:11" x14ac:dyDescent="0.25">
      <c r="A137" s="21" t="s">
        <v>184</v>
      </c>
      <c r="B137" s="20">
        <v>1136</v>
      </c>
      <c r="C137">
        <v>2242</v>
      </c>
      <c r="D137" t="s">
        <v>177</v>
      </c>
      <c r="E137" s="14">
        <v>60</v>
      </c>
      <c r="F137" s="14">
        <v>124</v>
      </c>
      <c r="G137" s="14">
        <f>F137-E137</f>
        <v>64</v>
      </c>
      <c r="H137" s="14">
        <f>IF(F137&lt;50,G137*0.1,G137*0.2)</f>
        <v>12.8</v>
      </c>
      <c r="I137" t="s">
        <v>210</v>
      </c>
      <c r="J137" t="s">
        <v>211</v>
      </c>
      <c r="K137" t="s">
        <v>176</v>
      </c>
    </row>
    <row r="138" spans="1:11" x14ac:dyDescent="0.25">
      <c r="A138" s="21" t="s">
        <v>184</v>
      </c>
      <c r="B138" s="20">
        <v>1137</v>
      </c>
      <c r="C138">
        <v>9822</v>
      </c>
      <c r="D138" t="s">
        <v>175</v>
      </c>
      <c r="E138" s="14">
        <v>58.3</v>
      </c>
      <c r="F138" s="14">
        <v>98.4</v>
      </c>
      <c r="G138" s="14">
        <f>F138-E138</f>
        <v>40.100000000000009</v>
      </c>
      <c r="H138" s="14">
        <f>IF(F138&lt;50,G138*0.1,G138*0.2)</f>
        <v>8.0200000000000014</v>
      </c>
      <c r="I138" t="s">
        <v>208</v>
      </c>
      <c r="J138" t="s">
        <v>209</v>
      </c>
      <c r="K138" t="s">
        <v>172</v>
      </c>
    </row>
    <row r="139" spans="1:11" x14ac:dyDescent="0.25">
      <c r="A139" s="21" t="s">
        <v>184</v>
      </c>
      <c r="B139" s="20">
        <v>1138</v>
      </c>
      <c r="C139">
        <v>8722</v>
      </c>
      <c r="D139" t="s">
        <v>174</v>
      </c>
      <c r="E139" s="14">
        <v>344</v>
      </c>
      <c r="F139" s="14">
        <v>502</v>
      </c>
      <c r="G139" s="14">
        <f>F139-E139</f>
        <v>158</v>
      </c>
      <c r="H139" s="14">
        <f>IF(F139&lt;50,G139*0.1,G139*0.2)</f>
        <v>31.6</v>
      </c>
      <c r="I139" t="s">
        <v>206</v>
      </c>
      <c r="J139" t="s">
        <v>207</v>
      </c>
      <c r="K139" t="s">
        <v>173</v>
      </c>
    </row>
    <row r="140" spans="1:11" x14ac:dyDescent="0.25">
      <c r="A140" s="21" t="s">
        <v>184</v>
      </c>
      <c r="B140" s="20">
        <v>1139</v>
      </c>
      <c r="C140">
        <v>4421</v>
      </c>
      <c r="D140" t="s">
        <v>170</v>
      </c>
      <c r="E140" s="14">
        <v>45</v>
      </c>
      <c r="F140" s="14">
        <v>87</v>
      </c>
      <c r="G140" s="14">
        <f>F140-E140</f>
        <v>42</v>
      </c>
      <c r="H140" s="14">
        <f>IF(F140&lt;50,G140*0.1,G140*0.2)</f>
        <v>8.4</v>
      </c>
      <c r="I140" t="s">
        <v>210</v>
      </c>
      <c r="J140" t="s">
        <v>211</v>
      </c>
      <c r="K140" t="s">
        <v>172</v>
      </c>
    </row>
    <row r="141" spans="1:11" x14ac:dyDescent="0.25">
      <c r="A141" s="21" t="s">
        <v>184</v>
      </c>
      <c r="B141" s="20">
        <v>1140</v>
      </c>
      <c r="C141">
        <v>4421</v>
      </c>
      <c r="D141" t="s">
        <v>170</v>
      </c>
      <c r="E141" s="14">
        <v>45</v>
      </c>
      <c r="F141" s="14">
        <v>87</v>
      </c>
      <c r="G141" s="14">
        <f>F141-E141</f>
        <v>42</v>
      </c>
      <c r="H141" s="14">
        <f>IF(F141&lt;50,G141*0.1,G141*0.2)</f>
        <v>8.4</v>
      </c>
      <c r="I141" t="s">
        <v>208</v>
      </c>
      <c r="J141" t="s">
        <v>209</v>
      </c>
      <c r="K141" t="s">
        <v>169</v>
      </c>
    </row>
    <row r="142" spans="1:11" x14ac:dyDescent="0.25">
      <c r="A142" s="21" t="s">
        <v>184</v>
      </c>
      <c r="B142" s="20">
        <v>1141</v>
      </c>
      <c r="C142">
        <v>9212</v>
      </c>
      <c r="D142" t="s">
        <v>180</v>
      </c>
      <c r="E142" s="14">
        <v>4</v>
      </c>
      <c r="F142" s="14">
        <v>7</v>
      </c>
      <c r="G142" s="14">
        <f>F142-E142</f>
        <v>3</v>
      </c>
      <c r="H142" s="14">
        <f>IF(F142&lt;50,G142*0.1,G142*0.2)</f>
        <v>0.30000000000000004</v>
      </c>
      <c r="I142" t="s">
        <v>208</v>
      </c>
      <c r="J142" t="s">
        <v>209</v>
      </c>
      <c r="K142" t="s">
        <v>179</v>
      </c>
    </row>
    <row r="143" spans="1:11" x14ac:dyDescent="0.25">
      <c r="A143" s="21" t="s">
        <v>183</v>
      </c>
      <c r="B143" s="20">
        <v>1142</v>
      </c>
      <c r="C143">
        <v>2242</v>
      </c>
      <c r="D143" t="s">
        <v>177</v>
      </c>
      <c r="E143" s="14">
        <v>60</v>
      </c>
      <c r="F143" s="14">
        <v>124</v>
      </c>
      <c r="G143" s="14">
        <f>F143-E143</f>
        <v>64</v>
      </c>
      <c r="H143" s="14">
        <f>IF(F143&lt;50,G143*0.1,G143*0.2)</f>
        <v>12.8</v>
      </c>
      <c r="I143" t="s">
        <v>208</v>
      </c>
      <c r="J143" t="s">
        <v>209</v>
      </c>
      <c r="K143" t="s">
        <v>169</v>
      </c>
    </row>
    <row r="144" spans="1:11" x14ac:dyDescent="0.25">
      <c r="A144" s="21" t="s">
        <v>183</v>
      </c>
      <c r="B144" s="20">
        <v>1143</v>
      </c>
      <c r="C144">
        <v>9822</v>
      </c>
      <c r="D144" t="s">
        <v>175</v>
      </c>
      <c r="E144" s="14">
        <v>58.3</v>
      </c>
      <c r="F144" s="14">
        <v>98.4</v>
      </c>
      <c r="G144" s="14">
        <f>F144-E144</f>
        <v>40.100000000000009</v>
      </c>
      <c r="H144" s="14">
        <f>IF(F144&lt;50,G144*0.1,G144*0.2)</f>
        <v>8.0200000000000014</v>
      </c>
      <c r="I144" t="s">
        <v>212</v>
      </c>
      <c r="J144" t="s">
        <v>213</v>
      </c>
      <c r="K144" t="s">
        <v>179</v>
      </c>
    </row>
    <row r="145" spans="1:11" x14ac:dyDescent="0.25">
      <c r="A145" s="21" t="s">
        <v>183</v>
      </c>
      <c r="B145" s="20">
        <v>1144</v>
      </c>
      <c r="C145">
        <v>2242</v>
      </c>
      <c r="D145" t="s">
        <v>177</v>
      </c>
      <c r="E145" s="14">
        <v>60</v>
      </c>
      <c r="F145" s="14">
        <v>124</v>
      </c>
      <c r="G145" s="14">
        <f>F145-E145</f>
        <v>64</v>
      </c>
      <c r="H145" s="14">
        <f>IF(F145&lt;50,G145*0.1,G145*0.2)</f>
        <v>12.8</v>
      </c>
      <c r="I145" t="s">
        <v>212</v>
      </c>
      <c r="J145" t="s">
        <v>213</v>
      </c>
      <c r="K145" t="s">
        <v>172</v>
      </c>
    </row>
    <row r="146" spans="1:11" x14ac:dyDescent="0.25">
      <c r="A146" s="21" t="s">
        <v>183</v>
      </c>
      <c r="B146" s="20">
        <v>1145</v>
      </c>
      <c r="C146">
        <v>4421</v>
      </c>
      <c r="D146" t="s">
        <v>170</v>
      </c>
      <c r="E146" s="14">
        <v>45</v>
      </c>
      <c r="F146" s="14">
        <v>87</v>
      </c>
      <c r="G146" s="14">
        <f>F146-E146</f>
        <v>42</v>
      </c>
      <c r="H146" s="14">
        <f>IF(F146&lt;50,G146*0.1,G146*0.2)</f>
        <v>8.4</v>
      </c>
      <c r="I146" t="s">
        <v>212</v>
      </c>
      <c r="J146" t="s">
        <v>213</v>
      </c>
      <c r="K146" t="s">
        <v>176</v>
      </c>
    </row>
    <row r="147" spans="1:11" x14ac:dyDescent="0.25">
      <c r="A147" s="21" t="s">
        <v>183</v>
      </c>
      <c r="B147" s="20">
        <v>1146</v>
      </c>
      <c r="C147">
        <v>8722</v>
      </c>
      <c r="D147" t="s">
        <v>174</v>
      </c>
      <c r="E147" s="14">
        <v>344</v>
      </c>
      <c r="F147" s="14">
        <v>502</v>
      </c>
      <c r="G147" s="14">
        <f>F147-E147</f>
        <v>158</v>
      </c>
      <c r="H147" s="14">
        <f>IF(F147&lt;50,G147*0.1,G147*0.2)</f>
        <v>31.6</v>
      </c>
      <c r="I147" t="s">
        <v>212</v>
      </c>
      <c r="J147" t="s">
        <v>213</v>
      </c>
      <c r="K147" t="s">
        <v>169</v>
      </c>
    </row>
    <row r="148" spans="1:11" x14ac:dyDescent="0.25">
      <c r="A148" s="21" t="s">
        <v>183</v>
      </c>
      <c r="B148" s="20">
        <v>1147</v>
      </c>
      <c r="C148">
        <v>9822</v>
      </c>
      <c r="D148" t="s">
        <v>175</v>
      </c>
      <c r="E148" s="14">
        <v>58.3</v>
      </c>
      <c r="F148" s="14">
        <v>98.4</v>
      </c>
      <c r="G148" s="14">
        <f>F148-E148</f>
        <v>40.100000000000009</v>
      </c>
      <c r="H148" s="14">
        <f>IF(F148&lt;50,G148*0.1,G148*0.2)</f>
        <v>8.0200000000000014</v>
      </c>
      <c r="I148" t="s">
        <v>206</v>
      </c>
      <c r="J148" t="s">
        <v>207</v>
      </c>
      <c r="K148" t="s">
        <v>172</v>
      </c>
    </row>
    <row r="149" spans="1:11" x14ac:dyDescent="0.25">
      <c r="A149" s="21" t="s">
        <v>183</v>
      </c>
      <c r="B149" s="20">
        <v>1148</v>
      </c>
      <c r="C149">
        <v>9212</v>
      </c>
      <c r="D149" t="s">
        <v>180</v>
      </c>
      <c r="E149" s="14">
        <v>4</v>
      </c>
      <c r="F149" s="14">
        <v>7</v>
      </c>
      <c r="G149" s="14">
        <f>F149-E149</f>
        <v>3</v>
      </c>
      <c r="H149" s="14">
        <f>IF(F149&lt;50,G149*0.1,G149*0.2)</f>
        <v>0.30000000000000004</v>
      </c>
      <c r="I149" t="s">
        <v>210</v>
      </c>
      <c r="J149" t="s">
        <v>211</v>
      </c>
      <c r="K149" t="s">
        <v>179</v>
      </c>
    </row>
    <row r="150" spans="1:11" x14ac:dyDescent="0.25">
      <c r="A150" s="21" t="s">
        <v>183</v>
      </c>
      <c r="B150" s="20">
        <v>1149</v>
      </c>
      <c r="C150">
        <v>8722</v>
      </c>
      <c r="D150" t="s">
        <v>174</v>
      </c>
      <c r="E150" s="14">
        <v>344</v>
      </c>
      <c r="F150" s="14">
        <v>502</v>
      </c>
      <c r="G150" s="14">
        <f>F150-E150</f>
        <v>158</v>
      </c>
      <c r="H150" s="14">
        <f>IF(F150&lt;50,G150*0.1,G150*0.2)</f>
        <v>31.6</v>
      </c>
      <c r="I150" t="s">
        <v>206</v>
      </c>
      <c r="J150" t="s">
        <v>207</v>
      </c>
      <c r="K150" t="s">
        <v>179</v>
      </c>
    </row>
    <row r="151" spans="1:11" x14ac:dyDescent="0.25">
      <c r="A151" s="21" t="s">
        <v>182</v>
      </c>
      <c r="B151" s="20">
        <v>1150</v>
      </c>
      <c r="C151">
        <v>2242</v>
      </c>
      <c r="D151" t="s">
        <v>177</v>
      </c>
      <c r="E151" s="14">
        <v>60</v>
      </c>
      <c r="F151" s="14">
        <v>124</v>
      </c>
      <c r="G151" s="14">
        <f>F151-E151</f>
        <v>64</v>
      </c>
      <c r="H151" s="14">
        <f>IF(F151&lt;50,G151*0.1,G151*0.2)</f>
        <v>12.8</v>
      </c>
      <c r="I151" t="s">
        <v>210</v>
      </c>
      <c r="J151" t="s">
        <v>211</v>
      </c>
      <c r="K151" t="s">
        <v>173</v>
      </c>
    </row>
    <row r="152" spans="1:11" x14ac:dyDescent="0.25">
      <c r="A152" s="21" t="s">
        <v>182</v>
      </c>
      <c r="B152" s="20">
        <v>1151</v>
      </c>
      <c r="C152">
        <v>2242</v>
      </c>
      <c r="D152" t="s">
        <v>177</v>
      </c>
      <c r="E152" s="14">
        <v>60</v>
      </c>
      <c r="F152" s="14">
        <v>124</v>
      </c>
      <c r="G152" s="14">
        <f>F152-E152</f>
        <v>64</v>
      </c>
      <c r="H152" s="14">
        <f>IF(F152&lt;50,G152*0.1,G152*0.2)</f>
        <v>12.8</v>
      </c>
      <c r="I152" t="s">
        <v>208</v>
      </c>
      <c r="J152" t="s">
        <v>209</v>
      </c>
      <c r="K152" t="s">
        <v>172</v>
      </c>
    </row>
    <row r="153" spans="1:11" x14ac:dyDescent="0.25">
      <c r="A153" s="21" t="s">
        <v>182</v>
      </c>
      <c r="B153" s="20">
        <v>1152</v>
      </c>
      <c r="C153">
        <v>4421</v>
      </c>
      <c r="D153" t="s">
        <v>170</v>
      </c>
      <c r="E153" s="14">
        <v>45</v>
      </c>
      <c r="F153" s="14">
        <v>87</v>
      </c>
      <c r="G153" s="14">
        <f>F153-E153</f>
        <v>42</v>
      </c>
      <c r="H153" s="14">
        <f>IF(F153&lt;50,G153*0.1,G153*0.2)</f>
        <v>8.4</v>
      </c>
      <c r="I153" t="s">
        <v>206</v>
      </c>
      <c r="J153" t="s">
        <v>207</v>
      </c>
      <c r="K153" t="s">
        <v>169</v>
      </c>
    </row>
    <row r="154" spans="1:11" x14ac:dyDescent="0.25">
      <c r="A154" s="21" t="s">
        <v>182</v>
      </c>
      <c r="B154" s="20">
        <v>1153</v>
      </c>
      <c r="C154">
        <v>8722</v>
      </c>
      <c r="D154" t="s">
        <v>174</v>
      </c>
      <c r="E154" s="14">
        <v>344</v>
      </c>
      <c r="F154" s="14">
        <v>502</v>
      </c>
      <c r="G154" s="14">
        <f>F154-E154</f>
        <v>158</v>
      </c>
      <c r="H154" s="14">
        <f>IF(F154&lt;50,G154*0.1,G154*0.2)</f>
        <v>31.6</v>
      </c>
      <c r="I154" t="s">
        <v>210</v>
      </c>
      <c r="J154" t="s">
        <v>211</v>
      </c>
      <c r="K154" t="s">
        <v>179</v>
      </c>
    </row>
    <row r="155" spans="1:11" x14ac:dyDescent="0.25">
      <c r="A155" s="21" t="s">
        <v>182</v>
      </c>
      <c r="B155" s="20">
        <v>1154</v>
      </c>
      <c r="C155">
        <v>9822</v>
      </c>
      <c r="D155" t="s">
        <v>175</v>
      </c>
      <c r="E155" s="14">
        <v>58.3</v>
      </c>
      <c r="F155" s="14">
        <v>98.4</v>
      </c>
      <c r="G155" s="14">
        <f>F155-E155</f>
        <v>40.100000000000009</v>
      </c>
      <c r="H155" s="14">
        <f>IF(F155&lt;50,G155*0.1,G155*0.2)</f>
        <v>8.0200000000000014</v>
      </c>
      <c r="I155" t="s">
        <v>208</v>
      </c>
      <c r="J155" t="s">
        <v>209</v>
      </c>
      <c r="K155" t="s">
        <v>169</v>
      </c>
    </row>
    <row r="156" spans="1:11" x14ac:dyDescent="0.25">
      <c r="A156" s="21" t="s">
        <v>182</v>
      </c>
      <c r="B156" s="20">
        <v>1155</v>
      </c>
      <c r="C156">
        <v>4421</v>
      </c>
      <c r="D156" t="s">
        <v>170</v>
      </c>
      <c r="E156" s="14">
        <v>45</v>
      </c>
      <c r="F156" s="14">
        <v>87</v>
      </c>
      <c r="G156" s="14">
        <f>F156-E156</f>
        <v>42</v>
      </c>
      <c r="H156" s="14">
        <f>IF(F156&lt;50,G156*0.1,G156*0.2)</f>
        <v>8.4</v>
      </c>
      <c r="I156" t="s">
        <v>210</v>
      </c>
      <c r="J156" t="s">
        <v>211</v>
      </c>
      <c r="K156" t="s">
        <v>179</v>
      </c>
    </row>
    <row r="157" spans="1:11" x14ac:dyDescent="0.25">
      <c r="A157" s="21" t="s">
        <v>182</v>
      </c>
      <c r="B157" s="20">
        <v>1156</v>
      </c>
      <c r="C157">
        <v>2242</v>
      </c>
      <c r="D157" t="s">
        <v>177</v>
      </c>
      <c r="E157" s="14">
        <v>60</v>
      </c>
      <c r="F157" s="14">
        <v>124</v>
      </c>
      <c r="G157" s="14">
        <f>F157-E157</f>
        <v>64</v>
      </c>
      <c r="H157" s="14">
        <f>IF(F157&lt;50,G157*0.1,G157*0.2)</f>
        <v>12.8</v>
      </c>
      <c r="I157" t="s">
        <v>210</v>
      </c>
      <c r="J157" t="s">
        <v>211</v>
      </c>
      <c r="K157" t="s">
        <v>172</v>
      </c>
    </row>
    <row r="158" spans="1:11" x14ac:dyDescent="0.25">
      <c r="A158" s="21" t="s">
        <v>182</v>
      </c>
      <c r="B158" s="20">
        <v>1157</v>
      </c>
      <c r="C158">
        <v>9212</v>
      </c>
      <c r="D158" t="s">
        <v>180</v>
      </c>
      <c r="E158" s="14">
        <v>4</v>
      </c>
      <c r="F158" s="14">
        <v>7</v>
      </c>
      <c r="G158" s="14">
        <f>F158-E158</f>
        <v>3</v>
      </c>
      <c r="H158" s="14">
        <f>IF(F158&lt;50,G158*0.1,G158*0.2)</f>
        <v>0.30000000000000004</v>
      </c>
      <c r="I158" t="s">
        <v>210</v>
      </c>
      <c r="J158" t="s">
        <v>211</v>
      </c>
      <c r="K158" t="s">
        <v>176</v>
      </c>
    </row>
    <row r="159" spans="1:11" x14ac:dyDescent="0.25">
      <c r="A159" s="21" t="s">
        <v>178</v>
      </c>
      <c r="B159" s="20">
        <v>1158</v>
      </c>
      <c r="C159">
        <v>8722</v>
      </c>
      <c r="D159" t="s">
        <v>174</v>
      </c>
      <c r="E159" s="14">
        <v>344</v>
      </c>
      <c r="F159" s="14">
        <v>502</v>
      </c>
      <c r="G159" s="14">
        <f>F159-E159</f>
        <v>158</v>
      </c>
      <c r="H159" s="14">
        <f>IF(F159&lt;50,G159*0.1,G159*0.2)</f>
        <v>31.6</v>
      </c>
      <c r="I159" t="s">
        <v>206</v>
      </c>
      <c r="J159" t="s">
        <v>207</v>
      </c>
      <c r="K159" t="s">
        <v>169</v>
      </c>
    </row>
    <row r="160" spans="1:11" x14ac:dyDescent="0.25">
      <c r="A160" s="21" t="s">
        <v>178</v>
      </c>
      <c r="B160" s="20">
        <v>1159</v>
      </c>
      <c r="C160">
        <v>6622</v>
      </c>
      <c r="D160" t="s">
        <v>181</v>
      </c>
      <c r="E160" s="14">
        <v>42</v>
      </c>
      <c r="F160" s="14">
        <v>77</v>
      </c>
      <c r="G160" s="14">
        <f>F160-E160</f>
        <v>35</v>
      </c>
      <c r="H160" s="14">
        <f>IF(F160&lt;50,G160*0.1,G160*0.2)</f>
        <v>7</v>
      </c>
      <c r="I160" t="s">
        <v>210</v>
      </c>
      <c r="J160" t="s">
        <v>211</v>
      </c>
      <c r="K160" t="s">
        <v>172</v>
      </c>
    </row>
    <row r="161" spans="1:11" x14ac:dyDescent="0.25">
      <c r="A161" s="21" t="s">
        <v>178</v>
      </c>
      <c r="B161" s="20">
        <v>1160</v>
      </c>
      <c r="C161">
        <v>9822</v>
      </c>
      <c r="D161" t="s">
        <v>175</v>
      </c>
      <c r="E161" s="14">
        <v>58.3</v>
      </c>
      <c r="F161" s="14">
        <v>98.4</v>
      </c>
      <c r="G161" s="14">
        <f>F161-E161</f>
        <v>40.100000000000009</v>
      </c>
      <c r="H161" s="14">
        <f>IF(F161&lt;50,G161*0.1,G161*0.2)</f>
        <v>8.0200000000000014</v>
      </c>
      <c r="I161" t="s">
        <v>212</v>
      </c>
      <c r="J161" t="s">
        <v>213</v>
      </c>
      <c r="K161" t="s">
        <v>169</v>
      </c>
    </row>
    <row r="162" spans="1:11" x14ac:dyDescent="0.25">
      <c r="A162" s="21" t="s">
        <v>178</v>
      </c>
      <c r="B162" s="20">
        <v>1161</v>
      </c>
      <c r="C162">
        <v>4421</v>
      </c>
      <c r="D162" t="s">
        <v>170</v>
      </c>
      <c r="E162" s="14">
        <v>45</v>
      </c>
      <c r="F162" s="14">
        <v>87</v>
      </c>
      <c r="G162" s="14">
        <f>F162-E162</f>
        <v>42</v>
      </c>
      <c r="H162" s="14">
        <f>IF(F162&lt;50,G162*0.1,G162*0.2)</f>
        <v>8.4</v>
      </c>
      <c r="I162" t="s">
        <v>208</v>
      </c>
      <c r="J162" t="s">
        <v>209</v>
      </c>
      <c r="K162" t="s">
        <v>172</v>
      </c>
    </row>
    <row r="163" spans="1:11" x14ac:dyDescent="0.25">
      <c r="A163" s="21" t="s">
        <v>178</v>
      </c>
      <c r="B163" s="20">
        <v>1162</v>
      </c>
      <c r="C163">
        <v>9212</v>
      </c>
      <c r="D163" t="s">
        <v>180</v>
      </c>
      <c r="E163" s="14">
        <v>4</v>
      </c>
      <c r="F163" s="14">
        <v>7</v>
      </c>
      <c r="G163" s="14">
        <f>F163-E163</f>
        <v>3</v>
      </c>
      <c r="H163" s="14">
        <f>IF(F163&lt;50,G163*0.1,G163*0.2)</f>
        <v>0.30000000000000004</v>
      </c>
      <c r="I163" t="s">
        <v>206</v>
      </c>
      <c r="J163" t="s">
        <v>207</v>
      </c>
      <c r="K163" t="s">
        <v>179</v>
      </c>
    </row>
    <row r="164" spans="1:11" x14ac:dyDescent="0.25">
      <c r="A164" s="21" t="s">
        <v>178</v>
      </c>
      <c r="B164" s="20">
        <v>1163</v>
      </c>
      <c r="C164">
        <v>9212</v>
      </c>
      <c r="D164" t="s">
        <v>180</v>
      </c>
      <c r="E164" s="14">
        <v>4</v>
      </c>
      <c r="F164" s="14">
        <v>7</v>
      </c>
      <c r="G164" s="14">
        <f>F164-E164</f>
        <v>3</v>
      </c>
      <c r="H164" s="14">
        <f>IF(F164&lt;50,G164*0.1,G164*0.2)</f>
        <v>0.30000000000000004</v>
      </c>
      <c r="I164" t="s">
        <v>210</v>
      </c>
      <c r="J164" t="s">
        <v>211</v>
      </c>
      <c r="K164" t="s">
        <v>172</v>
      </c>
    </row>
    <row r="165" spans="1:11" x14ac:dyDescent="0.25">
      <c r="A165" s="21" t="s">
        <v>178</v>
      </c>
      <c r="B165" s="20">
        <v>1164</v>
      </c>
      <c r="C165">
        <v>9822</v>
      </c>
      <c r="D165" t="s">
        <v>175</v>
      </c>
      <c r="E165" s="14">
        <v>58.3</v>
      </c>
      <c r="F165" s="14">
        <v>98.4</v>
      </c>
      <c r="G165" s="14">
        <f>F165-E165</f>
        <v>40.100000000000009</v>
      </c>
      <c r="H165" s="14">
        <f>IF(F165&lt;50,G165*0.1,G165*0.2)</f>
        <v>8.0200000000000014</v>
      </c>
      <c r="I165" t="s">
        <v>210</v>
      </c>
      <c r="J165" t="s">
        <v>211</v>
      </c>
      <c r="K165" t="s">
        <v>179</v>
      </c>
    </row>
    <row r="166" spans="1:11" x14ac:dyDescent="0.25">
      <c r="A166" s="21" t="s">
        <v>178</v>
      </c>
      <c r="B166" s="20">
        <v>1165</v>
      </c>
      <c r="C166">
        <v>9822</v>
      </c>
      <c r="D166" t="s">
        <v>175</v>
      </c>
      <c r="E166" s="14">
        <v>58.3</v>
      </c>
      <c r="F166" s="14">
        <v>98.4</v>
      </c>
      <c r="G166" s="14">
        <f>F166-E166</f>
        <v>40.100000000000009</v>
      </c>
      <c r="H166" s="14">
        <f>IF(F166&lt;50,G166*0.1,G166*0.2)</f>
        <v>8.0200000000000014</v>
      </c>
      <c r="I166" t="s">
        <v>210</v>
      </c>
      <c r="J166" t="s">
        <v>211</v>
      </c>
      <c r="K166" t="s">
        <v>179</v>
      </c>
    </row>
    <row r="167" spans="1:11" x14ac:dyDescent="0.25">
      <c r="A167" s="21" t="s">
        <v>178</v>
      </c>
      <c r="B167" s="20">
        <v>1166</v>
      </c>
      <c r="C167">
        <v>8722</v>
      </c>
      <c r="D167" t="s">
        <v>174</v>
      </c>
      <c r="E167" s="14">
        <v>344</v>
      </c>
      <c r="F167" s="14">
        <v>502</v>
      </c>
      <c r="G167" s="14">
        <f>F167-E167</f>
        <v>158</v>
      </c>
      <c r="H167" s="14">
        <f>IF(F167&lt;50,G167*0.1,G167*0.2)</f>
        <v>31.6</v>
      </c>
      <c r="I167" t="s">
        <v>210</v>
      </c>
      <c r="J167" t="s">
        <v>211</v>
      </c>
      <c r="K167" t="s">
        <v>169</v>
      </c>
    </row>
    <row r="168" spans="1:11" x14ac:dyDescent="0.25">
      <c r="A168" s="21" t="s">
        <v>171</v>
      </c>
      <c r="B168" s="20">
        <v>1167</v>
      </c>
      <c r="C168">
        <v>2242</v>
      </c>
      <c r="D168" t="s">
        <v>177</v>
      </c>
      <c r="E168" s="14">
        <v>60</v>
      </c>
      <c r="F168" s="14">
        <v>124</v>
      </c>
      <c r="G168" s="14">
        <f>F168-E168</f>
        <v>64</v>
      </c>
      <c r="H168" s="14">
        <f>IF(F168&lt;50,G168*0.1,G168*0.2)</f>
        <v>12.8</v>
      </c>
      <c r="I168" t="s">
        <v>210</v>
      </c>
      <c r="J168" t="s">
        <v>211</v>
      </c>
      <c r="K168" t="s">
        <v>176</v>
      </c>
    </row>
    <row r="169" spans="1:11" x14ac:dyDescent="0.25">
      <c r="A169" s="21" t="s">
        <v>171</v>
      </c>
      <c r="B169" s="20">
        <v>1168</v>
      </c>
      <c r="C169">
        <v>9822</v>
      </c>
      <c r="D169" t="s">
        <v>175</v>
      </c>
      <c r="E169" s="14">
        <v>58.3</v>
      </c>
      <c r="F169" s="14">
        <v>98.4</v>
      </c>
      <c r="G169" s="14">
        <f>F169-E169</f>
        <v>40.100000000000009</v>
      </c>
      <c r="H169" s="14">
        <f>IF(F169&lt;50,G169*0.1,G169*0.2)</f>
        <v>8.0200000000000014</v>
      </c>
      <c r="I169" t="s">
        <v>210</v>
      </c>
      <c r="J169" t="s">
        <v>211</v>
      </c>
      <c r="K169" t="s">
        <v>172</v>
      </c>
    </row>
    <row r="170" spans="1:11" x14ac:dyDescent="0.25">
      <c r="A170" s="21" t="s">
        <v>171</v>
      </c>
      <c r="B170" s="20">
        <v>1169</v>
      </c>
      <c r="C170">
        <v>8722</v>
      </c>
      <c r="D170" t="s">
        <v>174</v>
      </c>
      <c r="E170" s="14">
        <v>344</v>
      </c>
      <c r="F170" s="14">
        <v>502</v>
      </c>
      <c r="G170" s="14">
        <f>F170-E170</f>
        <v>158</v>
      </c>
      <c r="H170" s="14">
        <f>IF(F170&lt;50,G170*0.1,G170*0.2)</f>
        <v>31.6</v>
      </c>
      <c r="I170" t="s">
        <v>210</v>
      </c>
      <c r="J170" t="s">
        <v>211</v>
      </c>
      <c r="K170" t="s">
        <v>173</v>
      </c>
    </row>
    <row r="171" spans="1:11" x14ac:dyDescent="0.25">
      <c r="A171" s="21" t="s">
        <v>171</v>
      </c>
      <c r="B171" s="20">
        <v>1170</v>
      </c>
      <c r="C171">
        <v>4421</v>
      </c>
      <c r="D171" t="s">
        <v>170</v>
      </c>
      <c r="E171" s="14">
        <v>45</v>
      </c>
      <c r="F171" s="14">
        <v>87</v>
      </c>
      <c r="G171" s="14">
        <f>F171-E171</f>
        <v>42</v>
      </c>
      <c r="H171" s="14">
        <f>IF(F171&lt;50,G171*0.1,G171*0.2)</f>
        <v>8.4</v>
      </c>
      <c r="I171" t="s">
        <v>206</v>
      </c>
      <c r="J171" t="s">
        <v>207</v>
      </c>
      <c r="K171" t="s">
        <v>172</v>
      </c>
    </row>
    <row r="172" spans="1:11" x14ac:dyDescent="0.25">
      <c r="A172" s="21" t="s">
        <v>171</v>
      </c>
      <c r="B172" s="20">
        <v>1171</v>
      </c>
      <c r="C172">
        <v>4421</v>
      </c>
      <c r="D172" t="s">
        <v>170</v>
      </c>
      <c r="E172" s="14">
        <v>45</v>
      </c>
      <c r="F172" s="14">
        <v>87</v>
      </c>
      <c r="G172" s="14">
        <f>F172-E172</f>
        <v>42</v>
      </c>
      <c r="H172" s="14">
        <f>IF(F172&lt;50,G172*0.1,G172*0.2)</f>
        <v>8.4</v>
      </c>
      <c r="I172" t="s">
        <v>208</v>
      </c>
      <c r="J172" t="s">
        <v>209</v>
      </c>
      <c r="K172" t="s">
        <v>169</v>
      </c>
    </row>
  </sheetData>
  <sortState xmlns:xlrd2="http://schemas.microsoft.com/office/spreadsheetml/2017/richdata2" ref="A2:K172">
    <sortCondition ref="B2:B172"/>
  </sortState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1DF-476A-4D90-8B8E-906541196DE1}">
  <dimension ref="A3:B8"/>
  <sheetViews>
    <sheetView workbookViewId="0">
      <selection activeCell="L10" sqref="L10"/>
    </sheetView>
  </sheetViews>
  <sheetFormatPr defaultRowHeight="15" x14ac:dyDescent="0.25"/>
  <cols>
    <col min="1" max="1" width="13.42578125" bestFit="1" customWidth="1"/>
    <col min="2" max="2" width="16.7109375" bestFit="1" customWidth="1"/>
  </cols>
  <sheetData>
    <row r="3" spans="1:2" x14ac:dyDescent="0.25">
      <c r="A3" s="25" t="s">
        <v>167</v>
      </c>
      <c r="B3" t="s">
        <v>221</v>
      </c>
    </row>
    <row r="4" spans="1:2" x14ac:dyDescent="0.25">
      <c r="A4" s="15" t="s">
        <v>207</v>
      </c>
      <c r="B4" s="14">
        <v>6003.5</v>
      </c>
    </row>
    <row r="5" spans="1:2" x14ac:dyDescent="0.25">
      <c r="A5" s="15" t="s">
        <v>209</v>
      </c>
      <c r="B5" s="14">
        <v>2410.7000000000003</v>
      </c>
    </row>
    <row r="6" spans="1:2" x14ac:dyDescent="0.25">
      <c r="A6" s="15" t="s">
        <v>213</v>
      </c>
      <c r="B6" s="14">
        <v>3035.3</v>
      </c>
    </row>
    <row r="7" spans="1:2" x14ac:dyDescent="0.25">
      <c r="A7" s="15" t="s">
        <v>211</v>
      </c>
      <c r="B7" s="14">
        <v>5661.0999999999985</v>
      </c>
    </row>
    <row r="8" spans="1:2" x14ac:dyDescent="0.25">
      <c r="A8" s="15" t="s">
        <v>168</v>
      </c>
      <c r="B8" s="14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</vt:lpstr>
      <vt:lpstr>Gradebook</vt:lpstr>
      <vt:lpstr>Decision Factors</vt:lpstr>
      <vt:lpstr>Sales DB</vt:lpstr>
      <vt:lpstr>Sales DB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Shaikh</dc:creator>
  <cp:lastModifiedBy>Imran Shaikh</cp:lastModifiedBy>
  <dcterms:created xsi:type="dcterms:W3CDTF">2025-06-10T08:12:55Z</dcterms:created>
  <dcterms:modified xsi:type="dcterms:W3CDTF">2025-06-13T04:48:26Z</dcterms:modified>
</cp:coreProperties>
</file>