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ran\Documents\Excel\Payroll Project\Excel\"/>
    </mc:Choice>
  </mc:AlternateContent>
  <xr:revisionPtr revIDLastSave="0" documentId="13_ncr:1_{3CAFFA61-BCDB-46F2-BF4A-EE16AE5DCFB9}" xr6:coauthVersionLast="47" xr6:coauthVersionMax="47" xr10:uidLastSave="{00000000-0000-0000-0000-000000000000}"/>
  <bookViews>
    <workbookView xWindow="-120" yWindow="-120" windowWidth="29040" windowHeight="15840" activeTab="1" xr2:uid="{C462A709-70C1-4659-8053-9EDBE2CA0629}"/>
  </bookViews>
  <sheets>
    <sheet name="Payroll" sheetId="3" r:id="rId1"/>
    <sheet name="Gradebook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5" l="1"/>
  <c r="E26" i="5"/>
  <c r="D26" i="5"/>
  <c r="C26" i="5"/>
  <c r="F25" i="5"/>
  <c r="E25" i="5"/>
  <c r="D25" i="5"/>
  <c r="C25" i="5"/>
  <c r="F24" i="5"/>
  <c r="E24" i="5"/>
  <c r="D24" i="5"/>
  <c r="C24" i="5"/>
  <c r="K22" i="5"/>
  <c r="J22" i="5"/>
  <c r="I22" i="5"/>
  <c r="H22" i="5"/>
  <c r="M22" i="5" s="1"/>
  <c r="K21" i="5"/>
  <c r="J21" i="5"/>
  <c r="I21" i="5"/>
  <c r="H21" i="5"/>
  <c r="M21" i="5" s="1"/>
  <c r="K20" i="5"/>
  <c r="J20" i="5"/>
  <c r="I20" i="5"/>
  <c r="H20" i="5"/>
  <c r="M20" i="5" s="1"/>
  <c r="M19" i="5"/>
  <c r="K19" i="5"/>
  <c r="J19" i="5"/>
  <c r="I19" i="5"/>
  <c r="H19" i="5"/>
  <c r="M18" i="5"/>
  <c r="K18" i="5"/>
  <c r="J18" i="5"/>
  <c r="I18" i="5"/>
  <c r="H18" i="5"/>
  <c r="K17" i="5"/>
  <c r="J17" i="5"/>
  <c r="I17" i="5"/>
  <c r="M17" i="5" s="1"/>
  <c r="H17" i="5"/>
  <c r="K16" i="5"/>
  <c r="J16" i="5"/>
  <c r="I16" i="5"/>
  <c r="H16" i="5"/>
  <c r="M16" i="5" s="1"/>
  <c r="K15" i="5"/>
  <c r="J15" i="5"/>
  <c r="I15" i="5"/>
  <c r="H15" i="5"/>
  <c r="M15" i="5" s="1"/>
  <c r="K14" i="5"/>
  <c r="J14" i="5"/>
  <c r="I14" i="5"/>
  <c r="H14" i="5"/>
  <c r="M14" i="5" s="1"/>
  <c r="K13" i="5"/>
  <c r="J13" i="5"/>
  <c r="I13" i="5"/>
  <c r="H13" i="5"/>
  <c r="M13" i="5" s="1"/>
  <c r="K12" i="5"/>
  <c r="J12" i="5"/>
  <c r="M12" i="5" s="1"/>
  <c r="I12" i="5"/>
  <c r="H12" i="5"/>
  <c r="K11" i="5"/>
  <c r="J11" i="5"/>
  <c r="I11" i="5"/>
  <c r="H11" i="5"/>
  <c r="M11" i="5" s="1"/>
  <c r="K10" i="5"/>
  <c r="J10" i="5"/>
  <c r="I10" i="5"/>
  <c r="M10" i="5" s="1"/>
  <c r="H10" i="5"/>
  <c r="K9" i="5"/>
  <c r="J9" i="5"/>
  <c r="I9" i="5"/>
  <c r="H9" i="5"/>
  <c r="M9" i="5" s="1"/>
  <c r="K8" i="5"/>
  <c r="J8" i="5"/>
  <c r="I8" i="5"/>
  <c r="H8" i="5"/>
  <c r="M8" i="5" s="1"/>
  <c r="M7" i="5"/>
  <c r="K7" i="5"/>
  <c r="J7" i="5"/>
  <c r="I7" i="5"/>
  <c r="H7" i="5"/>
  <c r="M6" i="5"/>
  <c r="K6" i="5"/>
  <c r="J6" i="5"/>
  <c r="I6" i="5"/>
  <c r="H6" i="5"/>
  <c r="K5" i="5"/>
  <c r="J5" i="5"/>
  <c r="M5" i="5" s="1"/>
  <c r="I5" i="5"/>
  <c r="H5" i="5"/>
  <c r="K4" i="5"/>
  <c r="K26" i="5" s="1"/>
  <c r="J4" i="5"/>
  <c r="J26" i="5" s="1"/>
  <c r="I4" i="5"/>
  <c r="I26" i="5" s="1"/>
  <c r="H4" i="5"/>
  <c r="H26" i="5" s="1"/>
  <c r="X25" i="3"/>
  <c r="Y25" i="3"/>
  <c r="Z25" i="3"/>
  <c r="AA25" i="3"/>
  <c r="AB25" i="3"/>
  <c r="AC25" i="3"/>
  <c r="X26" i="3"/>
  <c r="Y26" i="3"/>
  <c r="Z26" i="3"/>
  <c r="AA26" i="3"/>
  <c r="AB26" i="3"/>
  <c r="AC26" i="3"/>
  <c r="X27" i="3"/>
  <c r="Y27" i="3"/>
  <c r="Z27" i="3"/>
  <c r="AA27" i="3"/>
  <c r="AB27" i="3"/>
  <c r="AC27" i="3"/>
  <c r="X28" i="3"/>
  <c r="Y28" i="3"/>
  <c r="Z28" i="3"/>
  <c r="AA28" i="3"/>
  <c r="AB28" i="3"/>
  <c r="AC28" i="3"/>
  <c r="V25" i="3"/>
  <c r="W25" i="3"/>
  <c r="V26" i="3"/>
  <c r="W26" i="3"/>
  <c r="V27" i="3"/>
  <c r="W27" i="3"/>
  <c r="V28" i="3"/>
  <c r="W28" i="3"/>
  <c r="T25" i="3"/>
  <c r="U25" i="3"/>
  <c r="T26" i="3"/>
  <c r="U26" i="3"/>
  <c r="T27" i="3"/>
  <c r="U27" i="3"/>
  <c r="T28" i="3"/>
  <c r="U28" i="3"/>
  <c r="S25" i="3"/>
  <c r="S26" i="3"/>
  <c r="S27" i="3"/>
  <c r="S28" i="3"/>
  <c r="Q25" i="3"/>
  <c r="P26" i="3"/>
  <c r="P25" i="3"/>
  <c r="R25" i="3"/>
  <c r="Q26" i="3"/>
  <c r="R26" i="3"/>
  <c r="P27" i="3"/>
  <c r="Q27" i="3"/>
  <c r="R27" i="3"/>
  <c r="P28" i="3"/>
  <c r="Q28" i="3"/>
  <c r="R28" i="3"/>
  <c r="O25" i="3"/>
  <c r="O26" i="3"/>
  <c r="O27" i="3"/>
  <c r="O28" i="3"/>
  <c r="N28" i="3"/>
  <c r="N27" i="3"/>
  <c r="N26" i="3"/>
  <c r="N25" i="3"/>
  <c r="H25" i="3"/>
  <c r="H26" i="3"/>
  <c r="H27" i="3"/>
  <c r="H28" i="3"/>
  <c r="G25" i="3"/>
  <c r="G26" i="3"/>
  <c r="G27" i="3"/>
  <c r="G28" i="3"/>
  <c r="F25" i="3"/>
  <c r="F27" i="3"/>
  <c r="E28" i="3"/>
  <c r="F28" i="3"/>
  <c r="F26" i="3"/>
  <c r="E25" i="3"/>
  <c r="E26" i="3"/>
  <c r="E27" i="3"/>
  <c r="D27" i="3"/>
  <c r="D25" i="3"/>
  <c r="D26" i="3"/>
  <c r="D28" i="3"/>
  <c r="C28" i="3"/>
  <c r="C27" i="3"/>
  <c r="C26" i="3"/>
  <c r="C25" i="3"/>
  <c r="Z5" i="3"/>
  <c r="Z6" i="3"/>
  <c r="W23" i="3"/>
  <c r="V23" i="3"/>
  <c r="R23" i="3"/>
  <c r="AB23" i="3" s="1"/>
  <c r="Q23" i="3"/>
  <c r="AA23" i="3" s="1"/>
  <c r="P23" i="3"/>
  <c r="Z23" i="3" s="1"/>
  <c r="O23" i="3"/>
  <c r="Y23" i="3" s="1"/>
  <c r="N23" i="3"/>
  <c r="X23" i="3" s="1"/>
  <c r="AC23" i="3" s="1"/>
  <c r="M23" i="3"/>
  <c r="L23" i="3"/>
  <c r="K23" i="3"/>
  <c r="U23" i="3" s="1"/>
  <c r="J23" i="3"/>
  <c r="T23" i="3" s="1"/>
  <c r="I23" i="3"/>
  <c r="S23" i="3" s="1"/>
  <c r="V22" i="3"/>
  <c r="T22" i="3"/>
  <c r="S22" i="3"/>
  <c r="R22" i="3"/>
  <c r="Q22" i="3"/>
  <c r="AA22" i="3" s="1"/>
  <c r="P22" i="3"/>
  <c r="Z22" i="3" s="1"/>
  <c r="O22" i="3"/>
  <c r="Y22" i="3" s="1"/>
  <c r="N22" i="3"/>
  <c r="X22" i="3" s="1"/>
  <c r="M22" i="3"/>
  <c r="W22" i="3" s="1"/>
  <c r="L22" i="3"/>
  <c r="K22" i="3"/>
  <c r="U22" i="3" s="1"/>
  <c r="J22" i="3"/>
  <c r="I22" i="3"/>
  <c r="S21" i="3"/>
  <c r="R21" i="3"/>
  <c r="Q21" i="3"/>
  <c r="P21" i="3"/>
  <c r="Z21" i="3" s="1"/>
  <c r="O21" i="3"/>
  <c r="Y21" i="3" s="1"/>
  <c r="N21" i="3"/>
  <c r="X21" i="3" s="1"/>
  <c r="M21" i="3"/>
  <c r="W21" i="3" s="1"/>
  <c r="AB21" i="3" s="1"/>
  <c r="L21" i="3"/>
  <c r="V21" i="3" s="1"/>
  <c r="K21" i="3"/>
  <c r="U21" i="3" s="1"/>
  <c r="J21" i="3"/>
  <c r="T21" i="3" s="1"/>
  <c r="I21" i="3"/>
  <c r="R20" i="3"/>
  <c r="Q20" i="3"/>
  <c r="P20" i="3"/>
  <c r="O20" i="3"/>
  <c r="N20" i="3"/>
  <c r="X20" i="3" s="1"/>
  <c r="M20" i="3"/>
  <c r="W20" i="3" s="1"/>
  <c r="AB20" i="3" s="1"/>
  <c r="L20" i="3"/>
  <c r="V20" i="3" s="1"/>
  <c r="K20" i="3"/>
  <c r="U20" i="3" s="1"/>
  <c r="Z20" i="3" s="1"/>
  <c r="J20" i="3"/>
  <c r="T20" i="3" s="1"/>
  <c r="Y20" i="3" s="1"/>
  <c r="I20" i="3"/>
  <c r="S20" i="3" s="1"/>
  <c r="W19" i="3"/>
  <c r="V19" i="3"/>
  <c r="R19" i="3"/>
  <c r="AB19" i="3" s="1"/>
  <c r="Q19" i="3"/>
  <c r="AA19" i="3" s="1"/>
  <c r="P19" i="3"/>
  <c r="O19" i="3"/>
  <c r="N19" i="3"/>
  <c r="X19" i="3" s="1"/>
  <c r="M19" i="3"/>
  <c r="L19" i="3"/>
  <c r="K19" i="3"/>
  <c r="U19" i="3" s="1"/>
  <c r="Z19" i="3" s="1"/>
  <c r="J19" i="3"/>
  <c r="T19" i="3" s="1"/>
  <c r="Y19" i="3" s="1"/>
  <c r="I19" i="3"/>
  <c r="S19" i="3" s="1"/>
  <c r="W18" i="3"/>
  <c r="V18" i="3"/>
  <c r="T18" i="3"/>
  <c r="S18" i="3"/>
  <c r="R18" i="3"/>
  <c r="AB18" i="3" s="1"/>
  <c r="Q18" i="3"/>
  <c r="AA18" i="3" s="1"/>
  <c r="P18" i="3"/>
  <c r="Z18" i="3" s="1"/>
  <c r="O18" i="3"/>
  <c r="Y18" i="3" s="1"/>
  <c r="N18" i="3"/>
  <c r="X18" i="3" s="1"/>
  <c r="AC18" i="3" s="1"/>
  <c r="M18" i="3"/>
  <c r="L18" i="3"/>
  <c r="K18" i="3"/>
  <c r="U18" i="3" s="1"/>
  <c r="J18" i="3"/>
  <c r="I18" i="3"/>
  <c r="T17" i="3"/>
  <c r="S17" i="3"/>
  <c r="R17" i="3"/>
  <c r="Q17" i="3"/>
  <c r="P17" i="3"/>
  <c r="Z17" i="3" s="1"/>
  <c r="O17" i="3"/>
  <c r="Y17" i="3" s="1"/>
  <c r="N17" i="3"/>
  <c r="X17" i="3" s="1"/>
  <c r="M17" i="3"/>
  <c r="W17" i="3" s="1"/>
  <c r="AB17" i="3" s="1"/>
  <c r="L17" i="3"/>
  <c r="V17" i="3" s="1"/>
  <c r="K17" i="3"/>
  <c r="U17" i="3" s="1"/>
  <c r="J17" i="3"/>
  <c r="I17" i="3"/>
  <c r="R16" i="3"/>
  <c r="Q16" i="3"/>
  <c r="P16" i="3"/>
  <c r="O16" i="3"/>
  <c r="N16" i="3"/>
  <c r="X16" i="3" s="1"/>
  <c r="M16" i="3"/>
  <c r="W16" i="3" s="1"/>
  <c r="AB16" i="3" s="1"/>
  <c r="L16" i="3"/>
  <c r="V16" i="3" s="1"/>
  <c r="K16" i="3"/>
  <c r="U16" i="3" s="1"/>
  <c r="Z16" i="3" s="1"/>
  <c r="J16" i="3"/>
  <c r="T16" i="3" s="1"/>
  <c r="Y16" i="3" s="1"/>
  <c r="I16" i="3"/>
  <c r="S16" i="3" s="1"/>
  <c r="W15" i="3"/>
  <c r="V15" i="3"/>
  <c r="R15" i="3"/>
  <c r="AB15" i="3" s="1"/>
  <c r="Q15" i="3"/>
  <c r="AA15" i="3" s="1"/>
  <c r="P15" i="3"/>
  <c r="O15" i="3"/>
  <c r="N15" i="3"/>
  <c r="X15" i="3" s="1"/>
  <c r="M15" i="3"/>
  <c r="L15" i="3"/>
  <c r="K15" i="3"/>
  <c r="U15" i="3" s="1"/>
  <c r="Z15" i="3" s="1"/>
  <c r="J15" i="3"/>
  <c r="T15" i="3" s="1"/>
  <c r="Y15" i="3" s="1"/>
  <c r="I15" i="3"/>
  <c r="S15" i="3" s="1"/>
  <c r="W14" i="3"/>
  <c r="V14" i="3"/>
  <c r="T14" i="3"/>
  <c r="S14" i="3"/>
  <c r="R14" i="3"/>
  <c r="AB14" i="3" s="1"/>
  <c r="Q14" i="3"/>
  <c r="AA14" i="3" s="1"/>
  <c r="P14" i="3"/>
  <c r="Z14" i="3" s="1"/>
  <c r="O14" i="3"/>
  <c r="Y14" i="3" s="1"/>
  <c r="N14" i="3"/>
  <c r="X14" i="3" s="1"/>
  <c r="AC14" i="3" s="1"/>
  <c r="M14" i="3"/>
  <c r="L14" i="3"/>
  <c r="K14" i="3"/>
  <c r="U14" i="3" s="1"/>
  <c r="J14" i="3"/>
  <c r="I14" i="3"/>
  <c r="T13" i="3"/>
  <c r="S13" i="3"/>
  <c r="R13" i="3"/>
  <c r="Q13" i="3"/>
  <c r="P13" i="3"/>
  <c r="Z13" i="3" s="1"/>
  <c r="O13" i="3"/>
  <c r="Y13" i="3" s="1"/>
  <c r="N13" i="3"/>
  <c r="X13" i="3" s="1"/>
  <c r="M13" i="3"/>
  <c r="W13" i="3" s="1"/>
  <c r="AB13" i="3" s="1"/>
  <c r="L13" i="3"/>
  <c r="V13" i="3" s="1"/>
  <c r="K13" i="3"/>
  <c r="U13" i="3" s="1"/>
  <c r="J13" i="3"/>
  <c r="I13" i="3"/>
  <c r="R12" i="3"/>
  <c r="Q12" i="3"/>
  <c r="P12" i="3"/>
  <c r="O12" i="3"/>
  <c r="N12" i="3"/>
  <c r="X12" i="3" s="1"/>
  <c r="M12" i="3"/>
  <c r="W12" i="3" s="1"/>
  <c r="AB12" i="3" s="1"/>
  <c r="L12" i="3"/>
  <c r="V12" i="3" s="1"/>
  <c r="K12" i="3"/>
  <c r="U12" i="3" s="1"/>
  <c r="Z12" i="3" s="1"/>
  <c r="J12" i="3"/>
  <c r="T12" i="3" s="1"/>
  <c r="Y12" i="3" s="1"/>
  <c r="I12" i="3"/>
  <c r="S12" i="3" s="1"/>
  <c r="W11" i="3"/>
  <c r="V11" i="3"/>
  <c r="R11" i="3"/>
  <c r="AB11" i="3" s="1"/>
  <c r="Q11" i="3"/>
  <c r="AA11" i="3" s="1"/>
  <c r="P11" i="3"/>
  <c r="O11" i="3"/>
  <c r="N11" i="3"/>
  <c r="X11" i="3" s="1"/>
  <c r="M11" i="3"/>
  <c r="L11" i="3"/>
  <c r="K11" i="3"/>
  <c r="U11" i="3" s="1"/>
  <c r="Z11" i="3" s="1"/>
  <c r="J11" i="3"/>
  <c r="T11" i="3" s="1"/>
  <c r="Y11" i="3" s="1"/>
  <c r="I11" i="3"/>
  <c r="S11" i="3" s="1"/>
  <c r="W10" i="3"/>
  <c r="V10" i="3"/>
  <c r="T10" i="3"/>
  <c r="S10" i="3"/>
  <c r="R10" i="3"/>
  <c r="AB10" i="3" s="1"/>
  <c r="Q10" i="3"/>
  <c r="AA10" i="3" s="1"/>
  <c r="P10" i="3"/>
  <c r="Z10" i="3" s="1"/>
  <c r="O10" i="3"/>
  <c r="Y10" i="3" s="1"/>
  <c r="N10" i="3"/>
  <c r="X10" i="3" s="1"/>
  <c r="AC10" i="3" s="1"/>
  <c r="M10" i="3"/>
  <c r="L10" i="3"/>
  <c r="K10" i="3"/>
  <c r="U10" i="3" s="1"/>
  <c r="J10" i="3"/>
  <c r="I10" i="3"/>
  <c r="T9" i="3"/>
  <c r="S9" i="3"/>
  <c r="R9" i="3"/>
  <c r="Q9" i="3"/>
  <c r="P9" i="3"/>
  <c r="Z9" i="3" s="1"/>
  <c r="O9" i="3"/>
  <c r="Y9" i="3" s="1"/>
  <c r="N9" i="3"/>
  <c r="X9" i="3" s="1"/>
  <c r="M9" i="3"/>
  <c r="W9" i="3" s="1"/>
  <c r="AB9" i="3" s="1"/>
  <c r="L9" i="3"/>
  <c r="V9" i="3" s="1"/>
  <c r="K9" i="3"/>
  <c r="U9" i="3" s="1"/>
  <c r="J9" i="3"/>
  <c r="I9" i="3"/>
  <c r="R8" i="3"/>
  <c r="Q8" i="3"/>
  <c r="P8" i="3"/>
  <c r="O8" i="3"/>
  <c r="N8" i="3"/>
  <c r="X8" i="3" s="1"/>
  <c r="M8" i="3"/>
  <c r="W8" i="3" s="1"/>
  <c r="AB8" i="3" s="1"/>
  <c r="L8" i="3"/>
  <c r="V8" i="3" s="1"/>
  <c r="K8" i="3"/>
  <c r="U8" i="3" s="1"/>
  <c r="Z8" i="3" s="1"/>
  <c r="J8" i="3"/>
  <c r="T8" i="3" s="1"/>
  <c r="Y8" i="3" s="1"/>
  <c r="I8" i="3"/>
  <c r="S8" i="3" s="1"/>
  <c r="W7" i="3"/>
  <c r="V7" i="3"/>
  <c r="R7" i="3"/>
  <c r="AB7" i="3" s="1"/>
  <c r="Q7" i="3"/>
  <c r="AA7" i="3" s="1"/>
  <c r="P7" i="3"/>
  <c r="O7" i="3"/>
  <c r="N7" i="3"/>
  <c r="X7" i="3" s="1"/>
  <c r="M7" i="3"/>
  <c r="L7" i="3"/>
  <c r="K7" i="3"/>
  <c r="U7" i="3" s="1"/>
  <c r="Z7" i="3" s="1"/>
  <c r="J7" i="3"/>
  <c r="T7" i="3" s="1"/>
  <c r="Y7" i="3" s="1"/>
  <c r="I7" i="3"/>
  <c r="S7" i="3" s="1"/>
  <c r="W6" i="3"/>
  <c r="V6" i="3"/>
  <c r="T6" i="3"/>
  <c r="S6" i="3"/>
  <c r="R6" i="3"/>
  <c r="AB6" i="3" s="1"/>
  <c r="Q6" i="3"/>
  <c r="AA6" i="3" s="1"/>
  <c r="P6" i="3"/>
  <c r="O6" i="3"/>
  <c r="Y6" i="3" s="1"/>
  <c r="N6" i="3"/>
  <c r="X6" i="3" s="1"/>
  <c r="AC6" i="3" s="1"/>
  <c r="M6" i="3"/>
  <c r="L6" i="3"/>
  <c r="K6" i="3"/>
  <c r="U6" i="3" s="1"/>
  <c r="J6" i="3"/>
  <c r="I6" i="3"/>
  <c r="T5" i="3"/>
  <c r="S5" i="3"/>
  <c r="R5" i="3"/>
  <c r="Q5" i="3"/>
  <c r="P5" i="3"/>
  <c r="O5" i="3"/>
  <c r="Y5" i="3" s="1"/>
  <c r="N5" i="3"/>
  <c r="X5" i="3" s="1"/>
  <c r="M5" i="3"/>
  <c r="W5" i="3" s="1"/>
  <c r="AB5" i="3" s="1"/>
  <c r="L5" i="3"/>
  <c r="V5" i="3" s="1"/>
  <c r="K5" i="3"/>
  <c r="U5" i="3" s="1"/>
  <c r="J5" i="3"/>
  <c r="I5" i="3"/>
  <c r="R4" i="3"/>
  <c r="Q4" i="3"/>
  <c r="P4" i="3"/>
  <c r="O4" i="3"/>
  <c r="N4" i="3"/>
  <c r="X4" i="3" s="1"/>
  <c r="M4" i="3"/>
  <c r="W4" i="3" s="1"/>
  <c r="L4" i="3"/>
  <c r="V4" i="3" s="1"/>
  <c r="K4" i="3"/>
  <c r="U4" i="3" s="1"/>
  <c r="J4" i="3"/>
  <c r="T4" i="3" s="1"/>
  <c r="I4" i="3"/>
  <c r="S4" i="3" s="1"/>
  <c r="H25" i="5" l="1"/>
  <c r="I25" i="5"/>
  <c r="J25" i="5"/>
  <c r="K25" i="5"/>
  <c r="H24" i="5"/>
  <c r="M4" i="5"/>
  <c r="I24" i="5"/>
  <c r="J24" i="5"/>
  <c r="K24" i="5"/>
  <c r="AB4" i="3"/>
  <c r="Z4" i="3"/>
  <c r="AC11" i="3"/>
  <c r="AC15" i="3"/>
  <c r="AC16" i="3"/>
  <c r="AC19" i="3"/>
  <c r="AC20" i="3"/>
  <c r="AC4" i="3"/>
  <c r="AA5" i="3"/>
  <c r="AC5" i="3" s="1"/>
  <c r="AA9" i="3"/>
  <c r="AA13" i="3"/>
  <c r="AC13" i="3" s="1"/>
  <c r="AA17" i="3"/>
  <c r="AC17" i="3" s="1"/>
  <c r="AA21" i="3"/>
  <c r="AC21" i="3" s="1"/>
  <c r="AB22" i="3"/>
  <c r="AC22" i="3" s="1"/>
  <c r="Y4" i="3"/>
  <c r="AC9" i="3"/>
  <c r="AA8" i="3"/>
  <c r="AC8" i="3" s="1"/>
  <c r="AA12" i="3"/>
  <c r="AC12" i="3" s="1"/>
  <c r="AA16" i="3"/>
  <c r="AA20" i="3"/>
  <c r="AC7" i="3"/>
  <c r="AA4" i="3"/>
</calcChain>
</file>

<file path=xl/sharedStrings.xml><?xml version="1.0" encoding="utf-8"?>
<sst xmlns="http://schemas.openxmlformats.org/spreadsheetml/2006/main" count="133" uniqueCount="122">
  <si>
    <t>Employee Payroll</t>
  </si>
  <si>
    <t>First Name</t>
  </si>
  <si>
    <t>Last Name</t>
  </si>
  <si>
    <t>Hourly Wage</t>
  </si>
  <si>
    <t>Hours Worked</t>
  </si>
  <si>
    <t>Emily</t>
  </si>
  <si>
    <t>Carter</t>
  </si>
  <si>
    <t>James</t>
  </si>
  <si>
    <t>Rivera</t>
  </si>
  <si>
    <t>Olivia</t>
  </si>
  <si>
    <t>Brooks</t>
  </si>
  <si>
    <t>Daniel</t>
  </si>
  <si>
    <t>Foster</t>
  </si>
  <si>
    <t>Sophia</t>
  </si>
  <si>
    <t>Hayes</t>
  </si>
  <si>
    <t>Liam</t>
  </si>
  <si>
    <t>Barnes</t>
  </si>
  <si>
    <t>Ava</t>
  </si>
  <si>
    <t>Powell</t>
  </si>
  <si>
    <t>Noah</t>
  </si>
  <si>
    <t>Stevens</t>
  </si>
  <si>
    <t>Mia</t>
  </si>
  <si>
    <t>Howard</t>
  </si>
  <si>
    <t>Lucas</t>
  </si>
  <si>
    <t>Graham</t>
  </si>
  <si>
    <t>Isabella</t>
  </si>
  <si>
    <t>Turner</t>
  </si>
  <si>
    <t>Ethan</t>
  </si>
  <si>
    <t>Perry</t>
  </si>
  <si>
    <t>Charlotte</t>
  </si>
  <si>
    <t>West</t>
  </si>
  <si>
    <t>Mason</t>
  </si>
  <si>
    <t>Simmons</t>
  </si>
  <si>
    <t>Amelia</t>
  </si>
  <si>
    <t>Jenkins</t>
  </si>
  <si>
    <t>Logan</t>
  </si>
  <si>
    <t>Bryant</t>
  </si>
  <si>
    <t>Harper</t>
  </si>
  <si>
    <t>Dixon</t>
  </si>
  <si>
    <t>Jacob</t>
  </si>
  <si>
    <t>Lane</t>
  </si>
  <si>
    <t>Ella</t>
  </si>
  <si>
    <t>Gardner</t>
  </si>
  <si>
    <t>Henry</t>
  </si>
  <si>
    <t>Porter</t>
  </si>
  <si>
    <t>Max</t>
  </si>
  <si>
    <t>Min</t>
  </si>
  <si>
    <t>Average</t>
  </si>
  <si>
    <t>Total</t>
  </si>
  <si>
    <t>Overtime Hours</t>
  </si>
  <si>
    <t>Base Pay</t>
  </si>
  <si>
    <t>January Pay</t>
  </si>
  <si>
    <t>01-Jan</t>
  </si>
  <si>
    <t>08-Jan</t>
  </si>
  <si>
    <t>15-Jan</t>
  </si>
  <si>
    <t>22-Jan</t>
  </si>
  <si>
    <t>29-Jan</t>
  </si>
  <si>
    <t>01-Jan2</t>
  </si>
  <si>
    <t>08-Jan3</t>
  </si>
  <si>
    <t>15-Jan4</t>
  </si>
  <si>
    <t>22-Jan5</t>
  </si>
  <si>
    <t>29-Jan6</t>
  </si>
  <si>
    <t>01-Jan7</t>
  </si>
  <si>
    <t>08-Jan8</t>
  </si>
  <si>
    <t>15-Jan9</t>
  </si>
  <si>
    <t>22-Jan10</t>
  </si>
  <si>
    <t>29-Jan11</t>
  </si>
  <si>
    <t>01-Jan12</t>
  </si>
  <si>
    <t>08-Jan13</t>
  </si>
  <si>
    <t>15-Jan14</t>
  </si>
  <si>
    <t>22-Jan15</t>
  </si>
  <si>
    <t>29-Jan16</t>
  </si>
  <si>
    <t>01-Jan17</t>
  </si>
  <si>
    <t>08-Jan18</t>
  </si>
  <si>
    <t>15-Jan19</t>
  </si>
  <si>
    <t>22-Jan20</t>
  </si>
  <si>
    <t>29-Jan21</t>
  </si>
  <si>
    <t>Gradebook</t>
  </si>
  <si>
    <t>LeBron</t>
  </si>
  <si>
    <t xml:space="preserve">        James</t>
  </si>
  <si>
    <t>Stephen</t>
  </si>
  <si>
    <t xml:space="preserve">        Curry</t>
  </si>
  <si>
    <t>Kevin</t>
  </si>
  <si>
    <t xml:space="preserve">        Durant</t>
  </si>
  <si>
    <t>Giannis</t>
  </si>
  <si>
    <t xml:space="preserve">        Antetokounmpo</t>
  </si>
  <si>
    <t>Luka</t>
  </si>
  <si>
    <t xml:space="preserve">        Dončić</t>
  </si>
  <si>
    <t>Jayson</t>
  </si>
  <si>
    <t xml:space="preserve">        Tatum</t>
  </si>
  <si>
    <t>Joel</t>
  </si>
  <si>
    <t xml:space="preserve">        Embiid</t>
  </si>
  <si>
    <t>Jimmy</t>
  </si>
  <si>
    <t xml:space="preserve">        Butler</t>
  </si>
  <si>
    <t>Devin</t>
  </si>
  <si>
    <t xml:space="preserve">        Booker</t>
  </si>
  <si>
    <t>Kawhi</t>
  </si>
  <si>
    <t xml:space="preserve">        Leonard</t>
  </si>
  <si>
    <t>Anthony</t>
  </si>
  <si>
    <t xml:space="preserve">        Davis</t>
  </si>
  <si>
    <t>Damian</t>
  </si>
  <si>
    <t xml:space="preserve">        Lillard</t>
  </si>
  <si>
    <t>Ja</t>
  </si>
  <si>
    <t xml:space="preserve">        Morant</t>
  </si>
  <si>
    <t>Zion</t>
  </si>
  <si>
    <t xml:space="preserve">        Williamson</t>
  </si>
  <si>
    <t>Kyrie</t>
  </si>
  <si>
    <t xml:space="preserve">        Irving</t>
  </si>
  <si>
    <t>Nikola</t>
  </si>
  <si>
    <t xml:space="preserve">        Jokić</t>
  </si>
  <si>
    <t>Trae</t>
  </si>
  <si>
    <t xml:space="preserve">        Young</t>
  </si>
  <si>
    <t>Karl-Anthony</t>
  </si>
  <si>
    <t>Towns</t>
  </si>
  <si>
    <t>Donovan</t>
  </si>
  <si>
    <t xml:space="preserve">        Mitchell</t>
  </si>
  <si>
    <t>Safety Test</t>
  </si>
  <si>
    <t>Drug Test</t>
  </si>
  <si>
    <t>Company Philosophy Test</t>
  </si>
  <si>
    <t>Financial Skills Test</t>
  </si>
  <si>
    <t>Points Possible</t>
  </si>
  <si>
    <t>Fire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</si>
</sst>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&quot;£&quot;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164" fontId="0" fillId="3" borderId="0" xfId="0" applyNumberFormat="1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16" fontId="0" fillId="6" borderId="0" xfId="0" applyNumberFormat="1" applyFill="1"/>
    <xf numFmtId="0" fontId="0" fillId="6" borderId="0" xfId="0" applyFill="1"/>
    <xf numFmtId="0" fontId="0" fillId="7" borderId="0" xfId="0" applyFill="1"/>
    <xf numFmtId="164" fontId="0" fillId="7" borderId="0" xfId="0" applyNumberFormat="1" applyFill="1"/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textRotation="90"/>
    </xf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 cent" xfId="1" builtinId="5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6" tint="0.39997558519241921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5" tint="0.59999389629810485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5" tint="0.59999389629810485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5" tint="0.59999389629810485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5" tint="0.59999389629810485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5" tint="0.59999389629810485"/>
        </patternFill>
      </fill>
    </dxf>
    <dxf>
      <numFmt numFmtId="0" formatCode="General"/>
      <fill>
        <patternFill patternType="solid">
          <fgColor indexed="64"/>
          <bgColor rgb="FF00B0F0"/>
        </patternFill>
      </fill>
    </dxf>
    <dxf>
      <numFmt numFmtId="0" formatCode="General"/>
      <fill>
        <patternFill patternType="solid">
          <fgColor indexed="64"/>
          <bgColor rgb="FF00B0F0"/>
        </patternFill>
      </fill>
    </dxf>
    <dxf>
      <numFmt numFmtId="0" formatCode="General"/>
      <fill>
        <patternFill patternType="solid">
          <fgColor indexed="64"/>
          <bgColor rgb="FF00B0F0"/>
        </patternFill>
      </fill>
    </dxf>
    <dxf>
      <numFmt numFmtId="0" formatCode="General"/>
      <fill>
        <patternFill patternType="solid">
          <fgColor indexed="64"/>
          <bgColor rgb="FF00B0F0"/>
        </patternFill>
      </fill>
    </dxf>
    <dxf>
      <numFmt numFmtId="0" formatCode="General"/>
      <fill>
        <patternFill patternType="solid">
          <fgColor indexed="64"/>
          <bgColor rgb="FF00B0F0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9" tint="0.39997558519241921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9" tint="0.39997558519241921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9" tint="0.39997558519241921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9" tint="0.39997558519241921"/>
        </patternFill>
      </fill>
    </dxf>
    <dxf>
      <numFmt numFmtId="164" formatCode="_-[$£-809]* #,##0.00_-;\-[$£-809]* #,##0.00_-;_-[$£-809]* &quot;-&quot;??_-;_-@_-"/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_-[$£-809]* #,##0.00_-;\-[$£-809]* #,##0.00_-;_-[$£-809]* &quot;-&quot;??_-;_-@_-"/>
    </dxf>
    <dxf>
      <fill>
        <patternFill patternType="solid">
          <fgColor indexed="64"/>
          <bgColor theme="5" tint="0.59999389629810485"/>
        </patternFill>
      </fill>
    </dxf>
    <dxf>
      <numFmt numFmtId="21" formatCode="dd\-mmm"/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Gradebook!$B$4:$B$22</c:f>
              <c:strCache>
                <c:ptCount val="19"/>
                <c:pt idx="0">
                  <c:v>        James</c:v>
                </c:pt>
                <c:pt idx="1">
                  <c:v>        Curry</c:v>
                </c:pt>
                <c:pt idx="2">
                  <c:v>        Durant</c:v>
                </c:pt>
                <c:pt idx="3">
                  <c:v>        Antetokounmpo</c:v>
                </c:pt>
                <c:pt idx="4">
                  <c:v>        Dončić</c:v>
                </c:pt>
                <c:pt idx="5">
                  <c:v>        Tatum</c:v>
                </c:pt>
                <c:pt idx="6">
                  <c:v>        Embiid</c:v>
                </c:pt>
                <c:pt idx="7">
                  <c:v>        Butler</c:v>
                </c:pt>
                <c:pt idx="8">
                  <c:v>        Booker</c:v>
                </c:pt>
                <c:pt idx="9">
                  <c:v>        Leonard</c:v>
                </c:pt>
                <c:pt idx="10">
                  <c:v>        Davis</c:v>
                </c:pt>
                <c:pt idx="11">
                  <c:v>        Lillard</c:v>
                </c:pt>
                <c:pt idx="12">
                  <c:v>        Morant</c:v>
                </c:pt>
                <c:pt idx="13">
                  <c:v>        Williamson</c:v>
                </c:pt>
                <c:pt idx="14">
                  <c:v>        Irving</c:v>
                </c:pt>
                <c:pt idx="15">
                  <c:v>        Jokić</c:v>
                </c:pt>
                <c:pt idx="16">
                  <c:v>        Young</c:v>
                </c:pt>
                <c:pt idx="17">
                  <c:v>Towns</c:v>
                </c:pt>
                <c:pt idx="18">
                  <c:v>        Mitchell</c:v>
                </c:pt>
              </c:strCache>
            </c:strRef>
          </c:cat>
          <c:val>
            <c:numRef>
              <c:f>Gradebook!$C$4:$C$22</c:f>
              <c:numCache>
                <c:formatCode>General</c:formatCode>
                <c:ptCount val="19"/>
                <c:pt idx="0">
                  <c:v>10</c:v>
                </c:pt>
                <c:pt idx="1">
                  <c:v>10</c:v>
                </c:pt>
                <c:pt idx="2">
                  <c:v>2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5</c:v>
                </c:pt>
                <c:pt idx="11">
                  <c:v>10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C-4331-90E5-4E1EB5E9D3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1258014047"/>
        <c:axId val="1258015487"/>
        <c:axId val="0"/>
      </c:bar3DChart>
      <c:catAx>
        <c:axId val="125801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15487"/>
        <c:crosses val="autoZero"/>
        <c:auto val="1"/>
        <c:lblAlgn val="ctr"/>
        <c:lblOffset val="100"/>
        <c:noMultiLvlLbl val="0"/>
      </c:catAx>
      <c:valAx>
        <c:axId val="1258015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1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Company Philosophy Test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Gradebook!$B$4:$B$22</c:f>
              <c:strCache>
                <c:ptCount val="19"/>
                <c:pt idx="0">
                  <c:v>        James</c:v>
                </c:pt>
                <c:pt idx="1">
                  <c:v>        Curry</c:v>
                </c:pt>
                <c:pt idx="2">
                  <c:v>        Durant</c:v>
                </c:pt>
                <c:pt idx="3">
                  <c:v>        Antetokounmpo</c:v>
                </c:pt>
                <c:pt idx="4">
                  <c:v>        Dončić</c:v>
                </c:pt>
                <c:pt idx="5">
                  <c:v>        Tatum</c:v>
                </c:pt>
                <c:pt idx="6">
                  <c:v>        Embiid</c:v>
                </c:pt>
                <c:pt idx="7">
                  <c:v>        Butler</c:v>
                </c:pt>
                <c:pt idx="8">
                  <c:v>        Booker</c:v>
                </c:pt>
                <c:pt idx="9">
                  <c:v>        Leonard</c:v>
                </c:pt>
                <c:pt idx="10">
                  <c:v>        Davis</c:v>
                </c:pt>
                <c:pt idx="11">
                  <c:v>        Lillard</c:v>
                </c:pt>
                <c:pt idx="12">
                  <c:v>        Morant</c:v>
                </c:pt>
                <c:pt idx="13">
                  <c:v>        Williamson</c:v>
                </c:pt>
                <c:pt idx="14">
                  <c:v>        Irving</c:v>
                </c:pt>
                <c:pt idx="15">
                  <c:v>        Jokić</c:v>
                </c:pt>
                <c:pt idx="16">
                  <c:v>        Young</c:v>
                </c:pt>
                <c:pt idx="17">
                  <c:v>Towns</c:v>
                </c:pt>
                <c:pt idx="18">
                  <c:v>        Mitchell</c:v>
                </c:pt>
              </c:strCache>
            </c:strRef>
          </c:cat>
          <c:val>
            <c:numRef>
              <c:f>Gradebook!$D$4:$D$22</c:f>
              <c:numCache>
                <c:formatCode>General</c:formatCode>
                <c:ptCount val="19"/>
                <c:pt idx="0">
                  <c:v>19</c:v>
                </c:pt>
                <c:pt idx="1">
                  <c:v>20</c:v>
                </c:pt>
                <c:pt idx="2">
                  <c:v>5</c:v>
                </c:pt>
                <c:pt idx="3">
                  <c:v>18</c:v>
                </c:pt>
                <c:pt idx="4">
                  <c:v>6</c:v>
                </c:pt>
                <c:pt idx="5">
                  <c:v>14</c:v>
                </c:pt>
                <c:pt idx="6">
                  <c:v>13</c:v>
                </c:pt>
                <c:pt idx="7">
                  <c:v>4</c:v>
                </c:pt>
                <c:pt idx="8">
                  <c:v>18</c:v>
                </c:pt>
                <c:pt idx="9">
                  <c:v>3</c:v>
                </c:pt>
                <c:pt idx="10">
                  <c:v>10</c:v>
                </c:pt>
                <c:pt idx="11">
                  <c:v>20</c:v>
                </c:pt>
                <c:pt idx="12">
                  <c:v>8</c:v>
                </c:pt>
                <c:pt idx="13">
                  <c:v>6</c:v>
                </c:pt>
                <c:pt idx="14">
                  <c:v>15</c:v>
                </c:pt>
                <c:pt idx="15">
                  <c:v>20</c:v>
                </c:pt>
                <c:pt idx="16">
                  <c:v>5</c:v>
                </c:pt>
                <c:pt idx="17">
                  <c:v>12</c:v>
                </c:pt>
                <c:pt idx="1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5-4D24-9C4E-E1A5F7AB23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67381071"/>
        <c:axId val="1318021663"/>
        <c:axId val="0"/>
      </c:bar3DChart>
      <c:catAx>
        <c:axId val="56738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21663"/>
        <c:crosses val="autoZero"/>
        <c:auto val="1"/>
        <c:lblAlgn val="ctr"/>
        <c:lblOffset val="100"/>
        <c:noMultiLvlLbl val="0"/>
      </c:catAx>
      <c:valAx>
        <c:axId val="131802166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56738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 Skills Test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Gradebook!$B$4:$B$22</c:f>
              <c:strCache>
                <c:ptCount val="19"/>
                <c:pt idx="0">
                  <c:v>        James</c:v>
                </c:pt>
                <c:pt idx="1">
                  <c:v>        Curry</c:v>
                </c:pt>
                <c:pt idx="2">
                  <c:v>        Durant</c:v>
                </c:pt>
                <c:pt idx="3">
                  <c:v>        Antetokounmpo</c:v>
                </c:pt>
                <c:pt idx="4">
                  <c:v>        Dončić</c:v>
                </c:pt>
                <c:pt idx="5">
                  <c:v>        Tatum</c:v>
                </c:pt>
                <c:pt idx="6">
                  <c:v>        Embiid</c:v>
                </c:pt>
                <c:pt idx="7">
                  <c:v>        Butler</c:v>
                </c:pt>
                <c:pt idx="8">
                  <c:v>        Booker</c:v>
                </c:pt>
                <c:pt idx="9">
                  <c:v>        Leonard</c:v>
                </c:pt>
                <c:pt idx="10">
                  <c:v>        Davis</c:v>
                </c:pt>
                <c:pt idx="11">
                  <c:v>        Lillard</c:v>
                </c:pt>
                <c:pt idx="12">
                  <c:v>        Morant</c:v>
                </c:pt>
                <c:pt idx="13">
                  <c:v>        Williamson</c:v>
                </c:pt>
                <c:pt idx="14">
                  <c:v>        Irving</c:v>
                </c:pt>
                <c:pt idx="15">
                  <c:v>        Jokić</c:v>
                </c:pt>
                <c:pt idx="16">
                  <c:v>        Young</c:v>
                </c:pt>
                <c:pt idx="17">
                  <c:v>Towns</c:v>
                </c:pt>
                <c:pt idx="18">
                  <c:v>        Mitchell</c:v>
                </c:pt>
              </c:strCache>
            </c:strRef>
          </c:cat>
          <c:val>
            <c:numRef>
              <c:f>Gradebook!$E$4:$E$22</c:f>
              <c:numCache>
                <c:formatCode>General</c:formatCode>
                <c:ptCount val="19"/>
                <c:pt idx="0">
                  <c:v>96</c:v>
                </c:pt>
                <c:pt idx="1">
                  <c:v>98</c:v>
                </c:pt>
                <c:pt idx="2">
                  <c:v>15</c:v>
                </c:pt>
                <c:pt idx="3">
                  <c:v>92</c:v>
                </c:pt>
                <c:pt idx="4">
                  <c:v>22</c:v>
                </c:pt>
                <c:pt idx="5">
                  <c:v>81</c:v>
                </c:pt>
                <c:pt idx="6">
                  <c:v>73</c:v>
                </c:pt>
                <c:pt idx="7">
                  <c:v>10</c:v>
                </c:pt>
                <c:pt idx="8">
                  <c:v>90</c:v>
                </c:pt>
                <c:pt idx="9">
                  <c:v>12</c:v>
                </c:pt>
                <c:pt idx="10">
                  <c:v>52</c:v>
                </c:pt>
                <c:pt idx="11">
                  <c:v>100</c:v>
                </c:pt>
                <c:pt idx="12">
                  <c:v>35</c:v>
                </c:pt>
                <c:pt idx="13">
                  <c:v>28</c:v>
                </c:pt>
                <c:pt idx="14">
                  <c:v>84</c:v>
                </c:pt>
                <c:pt idx="15">
                  <c:v>99</c:v>
                </c:pt>
                <c:pt idx="16">
                  <c:v>18</c:v>
                </c:pt>
                <c:pt idx="17">
                  <c:v>63</c:v>
                </c:pt>
                <c:pt idx="1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8-4BFE-BF1E-9C496C4012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145752895"/>
        <c:axId val="1316615743"/>
        <c:axId val="0"/>
      </c:bar3DChart>
      <c:catAx>
        <c:axId val="114575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Last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615743"/>
        <c:crosses val="autoZero"/>
        <c:auto val="1"/>
        <c:lblAlgn val="ctr"/>
        <c:lblOffset val="100"/>
        <c:noMultiLvlLbl val="0"/>
      </c:catAx>
      <c:valAx>
        <c:axId val="1316615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5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90487</xdr:rowOff>
    </xdr:from>
    <xdr:to>
      <xdr:col>24</xdr:col>
      <xdr:colOff>219075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52C55-9EA1-4CBE-AB75-764AEC0EE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95249</xdr:colOff>
      <xdr:row>18</xdr:row>
      <xdr:rowOff>100011</xdr:rowOff>
    </xdr:from>
    <xdr:to>
      <xdr:col>24</xdr:col>
      <xdr:colOff>219074</xdr:colOff>
      <xdr:row>34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9C0FC-5DB3-4CA5-A849-A87BF3349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309563</xdr:colOff>
      <xdr:row>0</xdr:row>
      <xdr:rowOff>85724</xdr:rowOff>
    </xdr:from>
    <xdr:to>
      <xdr:col>34</xdr:col>
      <xdr:colOff>500062</xdr:colOff>
      <xdr:row>13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A25B1A-8AC4-4FC4-BDA0-68B315693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CE960-D641-4056-A9F7-77793523D516}" name="Table1" displayName="Table1" ref="A3:AC23" totalsRowShown="0" headerRowDxfId="31" dataDxfId="30">
  <autoFilter ref="A3:AC23" xr:uid="{19ECE960-D641-4056-A9F7-77793523D516}"/>
  <tableColumns count="29">
    <tableColumn id="1" xr3:uid="{46AA57D7-54B3-4613-9813-E0ACC9C411D6}" name="First Name"/>
    <tableColumn id="2" xr3:uid="{405ACE49-CE22-4930-8800-4F755C8F7D45}" name="Last Name"/>
    <tableColumn id="3" xr3:uid="{11026232-4DEE-4994-94C7-79898DFA0292}" name="Hourly Wage" dataDxfId="29"/>
    <tableColumn id="4" xr3:uid="{65821BB5-5FD5-43E7-802A-3A1477F742E8}" name="01-Jan" dataDxfId="28"/>
    <tableColumn id="5" xr3:uid="{68707BB6-9B0E-4821-B8CB-5919FB649FC9}" name="08-Jan" dataDxfId="27"/>
    <tableColumn id="6" xr3:uid="{F0B95BCC-4CD6-4C2C-A266-761E7B04E73C}" name="15-Jan" dataDxfId="26"/>
    <tableColumn id="7" xr3:uid="{932FDB46-1C2E-4B68-B3C4-C419CB532D0A}" name="22-Jan" dataDxfId="25"/>
    <tableColumn id="8" xr3:uid="{D76904A0-D00A-49CC-AF60-3CB6A8A29317}" name="29-Jan" dataDxfId="24"/>
    <tableColumn id="9" xr3:uid="{712BA18F-9B8D-40C7-B499-493A23C78965}" name="01-Jan2" dataDxfId="23">
      <calculatedColumnFormula>IF(D4&gt;40,D4-40,0)</calculatedColumnFormula>
    </tableColumn>
    <tableColumn id="10" xr3:uid="{CFF5B4BC-5C34-47D5-958B-3DFC4911183A}" name="08-Jan3" dataDxfId="22">
      <calculatedColumnFormula>IF(E4&gt;40,E4-40,0)</calculatedColumnFormula>
    </tableColumn>
    <tableColumn id="11" xr3:uid="{CEB16D5D-2E22-4ACA-ABFF-B37E031F5311}" name="15-Jan4" dataDxfId="21">
      <calculatedColumnFormula>IF(F4&gt;40,F4-40,0)</calculatedColumnFormula>
    </tableColumn>
    <tableColumn id="12" xr3:uid="{AE43DD50-BF1C-4CFB-BD46-73F62B7889F6}" name="22-Jan5" dataDxfId="20">
      <calculatedColumnFormula>IF(G4&gt;40,G4-40,0)</calculatedColumnFormula>
    </tableColumn>
    <tableColumn id="13" xr3:uid="{E51A7991-608A-47A1-B85A-37E95E34A993}" name="29-Jan6" dataDxfId="19">
      <calculatedColumnFormula>IF(H4&gt;40,H4-40,0)</calculatedColumnFormula>
    </tableColumn>
    <tableColumn id="14" xr3:uid="{B8E0A056-14B7-41C6-98B1-FC3676885921}" name="01-Jan7" dataDxfId="18">
      <calculatedColumnFormula>$C4*D4</calculatedColumnFormula>
    </tableColumn>
    <tableColumn id="15" xr3:uid="{945449EF-E0C2-4B80-89D0-2A6A0805FB14}" name="08-Jan8" dataDxfId="17">
      <calculatedColumnFormula>$C4*E4</calculatedColumnFormula>
    </tableColumn>
    <tableColumn id="16" xr3:uid="{427C61BF-7663-4DFE-BFDA-B391EE448AD0}" name="15-Jan9" dataDxfId="16">
      <calculatedColumnFormula>$C4*F4</calculatedColumnFormula>
    </tableColumn>
    <tableColumn id="17" xr3:uid="{536E8C68-E31E-4976-8924-E5F4149117B2}" name="22-Jan10" dataDxfId="15">
      <calculatedColumnFormula>$C4*G4</calculatedColumnFormula>
    </tableColumn>
    <tableColumn id="18" xr3:uid="{F7B8FA2A-53D9-4AA2-8D30-ABA89A3DFCD9}" name="29-Jan11" dataDxfId="14">
      <calculatedColumnFormula>$C4*H4</calculatedColumnFormula>
    </tableColumn>
    <tableColumn id="19" xr3:uid="{E0D6802B-F07C-4EB0-BE9E-97BB7B1D6108}" name="01-Jan12" dataDxfId="13">
      <calculatedColumnFormula>0.5*$C4*I4</calculatedColumnFormula>
    </tableColumn>
    <tableColumn id="20" xr3:uid="{C8452407-4BDE-4ACD-B7B9-8DBC9A30C4BD}" name="08-Jan13" dataDxfId="12">
      <calculatedColumnFormula>0.5*$C4*J4</calculatedColumnFormula>
    </tableColumn>
    <tableColumn id="21" xr3:uid="{FB25184D-CE37-4149-848A-16D2E0AC8206}" name="15-Jan14" dataDxfId="11">
      <calculatedColumnFormula>0.5*$C4*K4</calculatedColumnFormula>
    </tableColumn>
    <tableColumn id="22" xr3:uid="{2E1DAAA0-7F64-44BC-A46A-529EA7C71D4D}" name="22-Jan15" dataDxfId="10">
      <calculatedColumnFormula>0.5*$C4*L4</calculatedColumnFormula>
    </tableColumn>
    <tableColumn id="23" xr3:uid="{BD31CBB4-DB55-4F84-BE48-786130A57662}" name="29-Jan16" dataDxfId="9">
      <calculatedColumnFormula>0.5*$C4*M4</calculatedColumnFormula>
    </tableColumn>
    <tableColumn id="24" xr3:uid="{F61E3D73-37D8-4EA3-A24D-9741629C4243}" name="01-Jan17" dataDxfId="8">
      <calculatedColumnFormula>N4+S4</calculatedColumnFormula>
    </tableColumn>
    <tableColumn id="25" xr3:uid="{07255C0B-2667-4305-886A-373D74049C30}" name="08-Jan18" dataDxfId="7">
      <calculatedColumnFormula>O4+T4</calculatedColumnFormula>
    </tableColumn>
    <tableColumn id="26" xr3:uid="{408DD7BD-23A4-42DA-8FB4-BE97E1F8C8F3}" name="15-Jan19" dataDxfId="6">
      <calculatedColumnFormula>P4+U4</calculatedColumnFormula>
    </tableColumn>
    <tableColumn id="27" xr3:uid="{3C635D34-AC9F-460C-9735-083006ECA314}" name="22-Jan20" dataDxfId="5">
      <calculatedColumnFormula>Q4+V4</calculatedColumnFormula>
    </tableColumn>
    <tableColumn id="28" xr3:uid="{46D10152-FEA6-461A-9862-B847DD04C4C4}" name="29-Jan21" dataDxfId="4">
      <calculatedColumnFormula>R4+W4</calculatedColumnFormula>
    </tableColumn>
    <tableColumn id="29" xr3:uid="{CBB8016B-FDDB-4C5B-B426-B375FD4CF40A}" name="January Pay" dataDxfId="3">
      <calculatedColumnFormula>SUM(X4:AB4)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8444-CCA8-4AC8-9D58-CC5B6D636414}">
  <dimension ref="A1:AC28"/>
  <sheetViews>
    <sheetView zoomScale="86" zoomScaleNormal="86" workbookViewId="0">
      <selection activeCell="C30" sqref="C30"/>
    </sheetView>
  </sheetViews>
  <sheetFormatPr defaultRowHeight="15" x14ac:dyDescent="0.25"/>
  <cols>
    <col min="1" max="1" width="12.42578125" customWidth="1"/>
    <col min="2" max="2" width="13.28515625" customWidth="1"/>
    <col min="3" max="3" width="14.42578125" customWidth="1"/>
    <col min="4" max="8" width="13.5703125" customWidth="1"/>
    <col min="9" max="13" width="14.7109375" customWidth="1"/>
    <col min="14" max="18" width="12.85546875" customWidth="1"/>
    <col min="19" max="23" width="16" customWidth="1"/>
    <col min="24" max="24" width="15.5703125" customWidth="1"/>
    <col min="25" max="25" width="13.7109375" customWidth="1"/>
    <col min="26" max="26" width="13" customWidth="1"/>
    <col min="27" max="27" width="13.28515625" customWidth="1"/>
    <col min="28" max="28" width="13.5703125" customWidth="1"/>
    <col min="29" max="29" width="12.7109375" customWidth="1"/>
  </cols>
  <sheetData>
    <row r="1" spans="1:29" x14ac:dyDescent="0.25">
      <c r="A1" t="s">
        <v>0</v>
      </c>
    </row>
    <row r="2" spans="1:29" x14ac:dyDescent="0.25">
      <c r="D2" t="s">
        <v>4</v>
      </c>
      <c r="I2" t="s">
        <v>49</v>
      </c>
      <c r="N2" t="s">
        <v>50</v>
      </c>
      <c r="S2" t="s">
        <v>49</v>
      </c>
      <c r="X2" t="s">
        <v>48</v>
      </c>
    </row>
    <row r="3" spans="1:29" x14ac:dyDescent="0.25">
      <c r="A3" t="s">
        <v>1</v>
      </c>
      <c r="B3" t="s">
        <v>2</v>
      </c>
      <c r="C3" t="s">
        <v>3</v>
      </c>
      <c r="D3" s="2" t="s">
        <v>52</v>
      </c>
      <c r="E3" s="2" t="s">
        <v>53</v>
      </c>
      <c r="F3" s="2" t="s">
        <v>54</v>
      </c>
      <c r="G3" s="2" t="s">
        <v>55</v>
      </c>
      <c r="H3" s="2" t="s">
        <v>56</v>
      </c>
      <c r="I3" s="8" t="s">
        <v>57</v>
      </c>
      <c r="J3" s="8" t="s">
        <v>58</v>
      </c>
      <c r="K3" s="8" t="s">
        <v>59</v>
      </c>
      <c r="L3" s="8" t="s">
        <v>60</v>
      </c>
      <c r="M3" s="8" t="s">
        <v>61</v>
      </c>
      <c r="N3" s="6" t="s">
        <v>62</v>
      </c>
      <c r="O3" s="6" t="s">
        <v>63</v>
      </c>
      <c r="P3" s="6" t="s">
        <v>64</v>
      </c>
      <c r="Q3" s="6" t="s">
        <v>65</v>
      </c>
      <c r="R3" s="6" t="s">
        <v>66</v>
      </c>
      <c r="S3" s="10" t="s">
        <v>67</v>
      </c>
      <c r="T3" s="10" t="s">
        <v>68</v>
      </c>
      <c r="U3" s="10" t="s">
        <v>69</v>
      </c>
      <c r="V3" s="10" t="s">
        <v>70</v>
      </c>
      <c r="W3" s="10" t="s">
        <v>71</v>
      </c>
      <c r="X3" s="4" t="s">
        <v>72</v>
      </c>
      <c r="Y3" s="4" t="s">
        <v>73</v>
      </c>
      <c r="Z3" s="4" t="s">
        <v>74</v>
      </c>
      <c r="AA3" s="4" t="s">
        <v>75</v>
      </c>
      <c r="AB3" s="4" t="s">
        <v>76</v>
      </c>
      <c r="AC3" s="12" t="s">
        <v>51</v>
      </c>
    </row>
    <row r="4" spans="1:29" x14ac:dyDescent="0.25">
      <c r="A4" t="s">
        <v>5</v>
      </c>
      <c r="B4" t="s">
        <v>6</v>
      </c>
      <c r="C4" s="1">
        <v>17.25</v>
      </c>
      <c r="D4" s="3">
        <v>38</v>
      </c>
      <c r="E4" s="3">
        <v>40</v>
      </c>
      <c r="F4" s="3">
        <v>36</v>
      </c>
      <c r="G4" s="3">
        <v>39</v>
      </c>
      <c r="H4" s="3">
        <v>38</v>
      </c>
      <c r="I4" s="9">
        <f>IF(D4&gt;40,D4-40,0)</f>
        <v>0</v>
      </c>
      <c r="J4" s="9">
        <f t="shared" ref="J4:M19" si="0">IF(E4&gt;40,E4-40,0)</f>
        <v>0</v>
      </c>
      <c r="K4" s="9">
        <f t="shared" si="0"/>
        <v>0</v>
      </c>
      <c r="L4" s="9">
        <f t="shared" si="0"/>
        <v>0</v>
      </c>
      <c r="M4" s="9">
        <f t="shared" si="0"/>
        <v>0</v>
      </c>
      <c r="N4" s="7">
        <f>$C4*D4</f>
        <v>655.5</v>
      </c>
      <c r="O4" s="7">
        <f t="shared" ref="O4:R19" si="1">$C4*E4</f>
        <v>690</v>
      </c>
      <c r="P4" s="7">
        <f t="shared" si="1"/>
        <v>621</v>
      </c>
      <c r="Q4" s="7">
        <f t="shared" si="1"/>
        <v>672.75</v>
      </c>
      <c r="R4" s="7">
        <f t="shared" si="1"/>
        <v>655.5</v>
      </c>
      <c r="S4" s="11">
        <f>0.5*$C4*I4</f>
        <v>0</v>
      </c>
      <c r="T4" s="11">
        <f t="shared" ref="T4:W19" si="2">0.5*$C4*J4</f>
        <v>0</v>
      </c>
      <c r="U4" s="11">
        <f t="shared" si="2"/>
        <v>0</v>
      </c>
      <c r="V4" s="11">
        <f t="shared" si="2"/>
        <v>0</v>
      </c>
      <c r="W4" s="11">
        <f t="shared" si="2"/>
        <v>0</v>
      </c>
      <c r="X4" s="5">
        <f>N4+S4</f>
        <v>655.5</v>
      </c>
      <c r="Y4" s="5">
        <f>O4+T4</f>
        <v>690</v>
      </c>
      <c r="Z4" s="5">
        <f t="shared" ref="Z4:AB19" si="3">P4+U4</f>
        <v>621</v>
      </c>
      <c r="AA4" s="5">
        <f t="shared" si="3"/>
        <v>672.75</v>
      </c>
      <c r="AB4" s="5">
        <f t="shared" si="3"/>
        <v>655.5</v>
      </c>
      <c r="AC4" s="13">
        <f>SUM(X4:AB4)</f>
        <v>3294.75</v>
      </c>
    </row>
    <row r="5" spans="1:29" x14ac:dyDescent="0.25">
      <c r="A5" t="s">
        <v>7</v>
      </c>
      <c r="B5" t="s">
        <v>8</v>
      </c>
      <c r="C5" s="1">
        <v>19.8</v>
      </c>
      <c r="D5" s="3">
        <v>42</v>
      </c>
      <c r="E5" s="3">
        <v>41</v>
      </c>
      <c r="F5" s="3">
        <v>43</v>
      </c>
      <c r="G5" s="3">
        <v>40</v>
      </c>
      <c r="H5" s="3">
        <v>44</v>
      </c>
      <c r="I5" s="9">
        <f t="shared" ref="I5:M23" si="4">IF(D5&gt;40,D5-40,0)</f>
        <v>2</v>
      </c>
      <c r="J5" s="9">
        <f t="shared" si="0"/>
        <v>1</v>
      </c>
      <c r="K5" s="9">
        <f t="shared" si="0"/>
        <v>3</v>
      </c>
      <c r="L5" s="9">
        <f t="shared" si="0"/>
        <v>0</v>
      </c>
      <c r="M5" s="9">
        <f t="shared" si="0"/>
        <v>4</v>
      </c>
      <c r="N5" s="7">
        <f t="shared" ref="N5:R23" si="5">$C5*D5</f>
        <v>831.6</v>
      </c>
      <c r="O5" s="7">
        <f t="shared" si="1"/>
        <v>811.80000000000007</v>
      </c>
      <c r="P5" s="7">
        <f t="shared" si="1"/>
        <v>851.4</v>
      </c>
      <c r="Q5" s="7">
        <f t="shared" si="1"/>
        <v>792</v>
      </c>
      <c r="R5" s="7">
        <f t="shared" si="1"/>
        <v>871.2</v>
      </c>
      <c r="S5" s="11">
        <f>0.5*$C5*I5</f>
        <v>19.8</v>
      </c>
      <c r="T5" s="11">
        <f t="shared" si="2"/>
        <v>9.9</v>
      </c>
      <c r="U5" s="11">
        <f t="shared" si="2"/>
        <v>29.700000000000003</v>
      </c>
      <c r="V5" s="11">
        <f t="shared" si="2"/>
        <v>0</v>
      </c>
      <c r="W5" s="11">
        <f t="shared" si="2"/>
        <v>39.6</v>
      </c>
      <c r="X5" s="5">
        <f t="shared" ref="X5:AB23" si="6">N5+S5</f>
        <v>851.4</v>
      </c>
      <c r="Y5" s="5">
        <f t="shared" si="6"/>
        <v>821.7</v>
      </c>
      <c r="Z5" s="5">
        <f>P5+U5</f>
        <v>881.1</v>
      </c>
      <c r="AA5" s="5">
        <f t="shared" si="3"/>
        <v>792</v>
      </c>
      <c r="AB5" s="5">
        <f t="shared" si="3"/>
        <v>910.80000000000007</v>
      </c>
      <c r="AC5" s="13">
        <f t="shared" ref="AC5:AC23" si="7">SUM(X5:AB5)</f>
        <v>4257</v>
      </c>
    </row>
    <row r="6" spans="1:29" x14ac:dyDescent="0.25">
      <c r="A6" t="s">
        <v>9</v>
      </c>
      <c r="B6" t="s">
        <v>10</v>
      </c>
      <c r="C6" s="1">
        <v>15.5</v>
      </c>
      <c r="D6" s="3">
        <v>35</v>
      </c>
      <c r="E6" s="3">
        <v>34</v>
      </c>
      <c r="F6" s="3">
        <v>36</v>
      </c>
      <c r="G6" s="3">
        <v>35</v>
      </c>
      <c r="H6" s="3">
        <v>37</v>
      </c>
      <c r="I6" s="9">
        <f t="shared" si="4"/>
        <v>0</v>
      </c>
      <c r="J6" s="9">
        <f t="shared" si="0"/>
        <v>0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7">
        <f t="shared" si="5"/>
        <v>542.5</v>
      </c>
      <c r="O6" s="7">
        <f t="shared" si="1"/>
        <v>527</v>
      </c>
      <c r="P6" s="7">
        <f t="shared" si="1"/>
        <v>558</v>
      </c>
      <c r="Q6" s="7">
        <f t="shared" si="1"/>
        <v>542.5</v>
      </c>
      <c r="R6" s="7">
        <f t="shared" si="1"/>
        <v>573.5</v>
      </c>
      <c r="S6" s="11">
        <f t="shared" ref="S6:W23" si="8">0.5*$C6*I6</f>
        <v>0</v>
      </c>
      <c r="T6" s="11">
        <f t="shared" si="2"/>
        <v>0</v>
      </c>
      <c r="U6" s="11">
        <f t="shared" si="2"/>
        <v>0</v>
      </c>
      <c r="V6" s="11">
        <f t="shared" si="2"/>
        <v>0</v>
      </c>
      <c r="W6" s="11">
        <f t="shared" si="2"/>
        <v>0</v>
      </c>
      <c r="X6" s="5">
        <f t="shared" si="6"/>
        <v>542.5</v>
      </c>
      <c r="Y6" s="5">
        <f t="shared" si="6"/>
        <v>527</v>
      </c>
      <c r="Z6" s="5">
        <f>P6+U6</f>
        <v>558</v>
      </c>
      <c r="AA6" s="5">
        <f t="shared" si="3"/>
        <v>542.5</v>
      </c>
      <c r="AB6" s="5">
        <f t="shared" si="3"/>
        <v>573.5</v>
      </c>
      <c r="AC6" s="13">
        <f t="shared" si="7"/>
        <v>2743.5</v>
      </c>
    </row>
    <row r="7" spans="1:29" x14ac:dyDescent="0.25">
      <c r="A7" t="s">
        <v>11</v>
      </c>
      <c r="B7" t="s">
        <v>12</v>
      </c>
      <c r="C7" s="1">
        <v>18.75</v>
      </c>
      <c r="D7" s="3">
        <v>40</v>
      </c>
      <c r="E7" s="3">
        <v>40</v>
      </c>
      <c r="F7" s="3">
        <v>40</v>
      </c>
      <c r="G7" s="3">
        <v>41</v>
      </c>
      <c r="H7" s="3">
        <v>39</v>
      </c>
      <c r="I7" s="9">
        <f t="shared" si="4"/>
        <v>0</v>
      </c>
      <c r="J7" s="9">
        <f t="shared" si="0"/>
        <v>0</v>
      </c>
      <c r="K7" s="9">
        <f t="shared" si="0"/>
        <v>0</v>
      </c>
      <c r="L7" s="9">
        <f t="shared" si="0"/>
        <v>1</v>
      </c>
      <c r="M7" s="9">
        <f t="shared" si="0"/>
        <v>0</v>
      </c>
      <c r="N7" s="7">
        <f t="shared" si="5"/>
        <v>750</v>
      </c>
      <c r="O7" s="7">
        <f t="shared" si="1"/>
        <v>750</v>
      </c>
      <c r="P7" s="7">
        <f t="shared" si="1"/>
        <v>750</v>
      </c>
      <c r="Q7" s="7">
        <f t="shared" si="1"/>
        <v>768.75</v>
      </c>
      <c r="R7" s="7">
        <f t="shared" si="1"/>
        <v>731.25</v>
      </c>
      <c r="S7" s="11">
        <f t="shared" si="8"/>
        <v>0</v>
      </c>
      <c r="T7" s="11">
        <f t="shared" si="2"/>
        <v>0</v>
      </c>
      <c r="U7" s="11">
        <f t="shared" si="2"/>
        <v>0</v>
      </c>
      <c r="V7" s="11">
        <f t="shared" si="2"/>
        <v>9.375</v>
      </c>
      <c r="W7" s="11">
        <f t="shared" si="2"/>
        <v>0</v>
      </c>
      <c r="X7" s="5">
        <f t="shared" si="6"/>
        <v>750</v>
      </c>
      <c r="Y7" s="5">
        <f t="shared" si="6"/>
        <v>750</v>
      </c>
      <c r="Z7" s="5">
        <f t="shared" si="3"/>
        <v>750</v>
      </c>
      <c r="AA7" s="5">
        <f t="shared" si="3"/>
        <v>778.125</v>
      </c>
      <c r="AB7" s="5">
        <f t="shared" si="3"/>
        <v>731.25</v>
      </c>
      <c r="AC7" s="13">
        <f t="shared" si="7"/>
        <v>3759.375</v>
      </c>
    </row>
    <row r="8" spans="1:29" x14ac:dyDescent="0.25">
      <c r="A8" t="s">
        <v>13</v>
      </c>
      <c r="B8" t="s">
        <v>14</v>
      </c>
      <c r="C8" s="1">
        <v>16.3</v>
      </c>
      <c r="D8" s="3">
        <v>37</v>
      </c>
      <c r="E8" s="3">
        <v>38</v>
      </c>
      <c r="F8" s="3">
        <v>36</v>
      </c>
      <c r="G8" s="3">
        <v>37</v>
      </c>
      <c r="H8" s="3">
        <v>35</v>
      </c>
      <c r="I8" s="9">
        <f t="shared" si="4"/>
        <v>0</v>
      </c>
      <c r="J8" s="9">
        <f t="shared" si="0"/>
        <v>0</v>
      </c>
      <c r="K8" s="9">
        <f t="shared" si="0"/>
        <v>0</v>
      </c>
      <c r="L8" s="9">
        <f t="shared" si="0"/>
        <v>0</v>
      </c>
      <c r="M8" s="9">
        <f t="shared" si="0"/>
        <v>0</v>
      </c>
      <c r="N8" s="7">
        <f t="shared" si="5"/>
        <v>603.1</v>
      </c>
      <c r="O8" s="7">
        <f t="shared" si="1"/>
        <v>619.4</v>
      </c>
      <c r="P8" s="7">
        <f t="shared" si="1"/>
        <v>586.80000000000007</v>
      </c>
      <c r="Q8" s="7">
        <f t="shared" si="1"/>
        <v>603.1</v>
      </c>
      <c r="R8" s="7">
        <f t="shared" si="1"/>
        <v>570.5</v>
      </c>
      <c r="S8" s="11">
        <f t="shared" si="8"/>
        <v>0</v>
      </c>
      <c r="T8" s="11">
        <f t="shared" si="2"/>
        <v>0</v>
      </c>
      <c r="U8" s="11">
        <f t="shared" si="2"/>
        <v>0</v>
      </c>
      <c r="V8" s="11">
        <f t="shared" si="2"/>
        <v>0</v>
      </c>
      <c r="W8" s="11">
        <f t="shared" si="2"/>
        <v>0</v>
      </c>
      <c r="X8" s="5">
        <f t="shared" si="6"/>
        <v>603.1</v>
      </c>
      <c r="Y8" s="5">
        <f t="shared" si="6"/>
        <v>619.4</v>
      </c>
      <c r="Z8" s="5">
        <f t="shared" si="3"/>
        <v>586.80000000000007</v>
      </c>
      <c r="AA8" s="5">
        <f t="shared" si="3"/>
        <v>603.1</v>
      </c>
      <c r="AB8" s="5">
        <f t="shared" si="3"/>
        <v>570.5</v>
      </c>
      <c r="AC8" s="13">
        <f t="shared" si="7"/>
        <v>2982.9</v>
      </c>
    </row>
    <row r="9" spans="1:29" x14ac:dyDescent="0.25">
      <c r="A9" t="s">
        <v>15</v>
      </c>
      <c r="B9" t="s">
        <v>16</v>
      </c>
      <c r="C9" s="1">
        <v>20</v>
      </c>
      <c r="D9" s="3">
        <v>44</v>
      </c>
      <c r="E9" s="3">
        <v>45</v>
      </c>
      <c r="F9" s="3">
        <v>43</v>
      </c>
      <c r="G9" s="3">
        <v>42</v>
      </c>
      <c r="H9" s="3">
        <v>44</v>
      </c>
      <c r="I9" s="9">
        <f t="shared" si="4"/>
        <v>4</v>
      </c>
      <c r="J9" s="9">
        <f t="shared" si="0"/>
        <v>5</v>
      </c>
      <c r="K9" s="9">
        <f t="shared" si="0"/>
        <v>3</v>
      </c>
      <c r="L9" s="9">
        <f t="shared" si="0"/>
        <v>2</v>
      </c>
      <c r="M9" s="9">
        <f t="shared" si="0"/>
        <v>4</v>
      </c>
      <c r="N9" s="7">
        <f t="shared" si="5"/>
        <v>880</v>
      </c>
      <c r="O9" s="7">
        <f t="shared" si="1"/>
        <v>900</v>
      </c>
      <c r="P9" s="7">
        <f t="shared" si="1"/>
        <v>860</v>
      </c>
      <c r="Q9" s="7">
        <f t="shared" si="1"/>
        <v>840</v>
      </c>
      <c r="R9" s="7">
        <f t="shared" si="1"/>
        <v>880</v>
      </c>
      <c r="S9" s="11">
        <f t="shared" si="8"/>
        <v>40</v>
      </c>
      <c r="T9" s="11">
        <f t="shared" si="2"/>
        <v>50</v>
      </c>
      <c r="U9" s="11">
        <f t="shared" si="2"/>
        <v>30</v>
      </c>
      <c r="V9" s="11">
        <f t="shared" si="2"/>
        <v>20</v>
      </c>
      <c r="W9" s="11">
        <f t="shared" si="2"/>
        <v>40</v>
      </c>
      <c r="X9" s="5">
        <f t="shared" si="6"/>
        <v>920</v>
      </c>
      <c r="Y9" s="5">
        <f t="shared" si="6"/>
        <v>950</v>
      </c>
      <c r="Z9" s="5">
        <f t="shared" si="3"/>
        <v>890</v>
      </c>
      <c r="AA9" s="5">
        <f t="shared" si="3"/>
        <v>860</v>
      </c>
      <c r="AB9" s="5">
        <f t="shared" si="3"/>
        <v>920</v>
      </c>
      <c r="AC9" s="13">
        <f t="shared" si="7"/>
        <v>4540</v>
      </c>
    </row>
    <row r="10" spans="1:29" x14ac:dyDescent="0.25">
      <c r="A10" t="s">
        <v>17</v>
      </c>
      <c r="B10" t="s">
        <v>18</v>
      </c>
      <c r="C10" s="1">
        <v>15.95</v>
      </c>
      <c r="D10" s="3">
        <v>39</v>
      </c>
      <c r="E10" s="3">
        <v>38</v>
      </c>
      <c r="F10" s="3">
        <v>40</v>
      </c>
      <c r="G10" s="3">
        <v>37</v>
      </c>
      <c r="H10" s="3">
        <v>39</v>
      </c>
      <c r="I10" s="9">
        <f>IF(D10&gt;40,D10-40,0)</f>
        <v>0</v>
      </c>
      <c r="J10" s="9">
        <f t="shared" si="0"/>
        <v>0</v>
      </c>
      <c r="K10" s="9">
        <f t="shared" si="0"/>
        <v>0</v>
      </c>
      <c r="L10" s="9">
        <f t="shared" si="0"/>
        <v>0</v>
      </c>
      <c r="M10" s="9">
        <f t="shared" si="0"/>
        <v>0</v>
      </c>
      <c r="N10" s="7">
        <f t="shared" si="5"/>
        <v>622.04999999999995</v>
      </c>
      <c r="O10" s="7">
        <f t="shared" si="1"/>
        <v>606.1</v>
      </c>
      <c r="P10" s="7">
        <f t="shared" si="1"/>
        <v>638</v>
      </c>
      <c r="Q10" s="7">
        <f t="shared" si="1"/>
        <v>590.15</v>
      </c>
      <c r="R10" s="7">
        <f t="shared" si="1"/>
        <v>622.04999999999995</v>
      </c>
      <c r="S10" s="11">
        <f t="shared" si="8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5">
        <f t="shared" si="6"/>
        <v>622.04999999999995</v>
      </c>
      <c r="Y10" s="5">
        <f t="shared" si="6"/>
        <v>606.1</v>
      </c>
      <c r="Z10" s="5">
        <f t="shared" si="3"/>
        <v>638</v>
      </c>
      <c r="AA10" s="5">
        <f t="shared" si="3"/>
        <v>590.15</v>
      </c>
      <c r="AB10" s="5">
        <f t="shared" si="3"/>
        <v>622.04999999999995</v>
      </c>
      <c r="AC10" s="13">
        <f t="shared" si="7"/>
        <v>3078.3500000000004</v>
      </c>
    </row>
    <row r="11" spans="1:29" x14ac:dyDescent="0.25">
      <c r="A11" t="s">
        <v>19</v>
      </c>
      <c r="B11" t="s">
        <v>20</v>
      </c>
      <c r="C11" s="1">
        <v>17.600000000000001</v>
      </c>
      <c r="D11" s="3">
        <v>41</v>
      </c>
      <c r="E11" s="3">
        <v>40</v>
      </c>
      <c r="F11" s="3">
        <v>42</v>
      </c>
      <c r="G11" s="3">
        <v>41</v>
      </c>
      <c r="H11" s="3">
        <v>40</v>
      </c>
      <c r="I11" s="9">
        <f t="shared" si="4"/>
        <v>1</v>
      </c>
      <c r="J11" s="9">
        <f t="shared" si="0"/>
        <v>0</v>
      </c>
      <c r="K11" s="9">
        <f t="shared" si="0"/>
        <v>2</v>
      </c>
      <c r="L11" s="9">
        <f t="shared" si="0"/>
        <v>1</v>
      </c>
      <c r="M11" s="9">
        <f t="shared" si="0"/>
        <v>0</v>
      </c>
      <c r="N11" s="7">
        <f t="shared" si="5"/>
        <v>721.6</v>
      </c>
      <c r="O11" s="7">
        <f t="shared" si="1"/>
        <v>704</v>
      </c>
      <c r="P11" s="7">
        <f t="shared" si="1"/>
        <v>739.2</v>
      </c>
      <c r="Q11" s="7">
        <f t="shared" si="1"/>
        <v>721.6</v>
      </c>
      <c r="R11" s="7">
        <f t="shared" si="1"/>
        <v>704</v>
      </c>
      <c r="S11" s="11">
        <f t="shared" si="8"/>
        <v>8.8000000000000007</v>
      </c>
      <c r="T11" s="11">
        <f t="shared" si="2"/>
        <v>0</v>
      </c>
      <c r="U11" s="11">
        <f t="shared" si="2"/>
        <v>17.600000000000001</v>
      </c>
      <c r="V11" s="11">
        <f t="shared" si="2"/>
        <v>8.8000000000000007</v>
      </c>
      <c r="W11" s="11">
        <f t="shared" si="2"/>
        <v>0</v>
      </c>
      <c r="X11" s="5">
        <f t="shared" si="6"/>
        <v>730.4</v>
      </c>
      <c r="Y11" s="5">
        <f t="shared" si="6"/>
        <v>704</v>
      </c>
      <c r="Z11" s="5">
        <f t="shared" si="3"/>
        <v>756.80000000000007</v>
      </c>
      <c r="AA11" s="5">
        <f t="shared" si="3"/>
        <v>730.4</v>
      </c>
      <c r="AB11" s="5">
        <f t="shared" si="3"/>
        <v>704</v>
      </c>
      <c r="AC11" s="13">
        <f t="shared" si="7"/>
        <v>3625.6000000000004</v>
      </c>
    </row>
    <row r="12" spans="1:29" x14ac:dyDescent="0.25">
      <c r="A12" t="s">
        <v>21</v>
      </c>
      <c r="B12" t="s">
        <v>22</v>
      </c>
      <c r="C12" s="1">
        <v>19.2</v>
      </c>
      <c r="D12" s="3">
        <v>36</v>
      </c>
      <c r="E12" s="3">
        <v>37</v>
      </c>
      <c r="F12" s="3">
        <v>35</v>
      </c>
      <c r="G12" s="3">
        <v>36</v>
      </c>
      <c r="H12" s="3">
        <v>38</v>
      </c>
      <c r="I12" s="9">
        <f t="shared" si="4"/>
        <v>0</v>
      </c>
      <c r="J12" s="9">
        <f t="shared" si="0"/>
        <v>0</v>
      </c>
      <c r="K12" s="9">
        <f t="shared" si="0"/>
        <v>0</v>
      </c>
      <c r="L12" s="9">
        <f t="shared" si="0"/>
        <v>0</v>
      </c>
      <c r="M12" s="9">
        <f t="shared" si="0"/>
        <v>0</v>
      </c>
      <c r="N12" s="7">
        <f t="shared" si="5"/>
        <v>691.19999999999993</v>
      </c>
      <c r="O12" s="7">
        <f t="shared" si="1"/>
        <v>710.4</v>
      </c>
      <c r="P12" s="7">
        <f t="shared" si="1"/>
        <v>672</v>
      </c>
      <c r="Q12" s="7">
        <f t="shared" si="1"/>
        <v>691.19999999999993</v>
      </c>
      <c r="R12" s="7">
        <f t="shared" si="1"/>
        <v>729.6</v>
      </c>
      <c r="S12" s="11">
        <f t="shared" si="8"/>
        <v>0</v>
      </c>
      <c r="T12" s="11">
        <f t="shared" si="2"/>
        <v>0</v>
      </c>
      <c r="U12" s="11">
        <f t="shared" si="2"/>
        <v>0</v>
      </c>
      <c r="V12" s="11">
        <f t="shared" si="2"/>
        <v>0</v>
      </c>
      <c r="W12" s="11">
        <f t="shared" si="2"/>
        <v>0</v>
      </c>
      <c r="X12" s="5">
        <f t="shared" si="6"/>
        <v>691.19999999999993</v>
      </c>
      <c r="Y12" s="5">
        <f t="shared" si="6"/>
        <v>710.4</v>
      </c>
      <c r="Z12" s="5">
        <f t="shared" si="3"/>
        <v>672</v>
      </c>
      <c r="AA12" s="5">
        <f t="shared" si="3"/>
        <v>691.19999999999993</v>
      </c>
      <c r="AB12" s="5">
        <f t="shared" si="3"/>
        <v>729.6</v>
      </c>
      <c r="AC12" s="13">
        <f t="shared" si="7"/>
        <v>3494.3999999999996</v>
      </c>
    </row>
    <row r="13" spans="1:29" x14ac:dyDescent="0.25">
      <c r="A13" t="s">
        <v>23</v>
      </c>
      <c r="B13" t="s">
        <v>24</v>
      </c>
      <c r="C13" s="1">
        <v>16.850000000000001</v>
      </c>
      <c r="D13" s="3">
        <v>40</v>
      </c>
      <c r="E13" s="3">
        <v>40</v>
      </c>
      <c r="F13" s="3">
        <v>40</v>
      </c>
      <c r="G13" s="3">
        <v>40</v>
      </c>
      <c r="H13" s="3">
        <v>40</v>
      </c>
      <c r="I13" s="9">
        <f t="shared" si="4"/>
        <v>0</v>
      </c>
      <c r="J13" s="9">
        <f t="shared" si="0"/>
        <v>0</v>
      </c>
      <c r="K13" s="9">
        <f t="shared" si="0"/>
        <v>0</v>
      </c>
      <c r="L13" s="9">
        <f t="shared" si="0"/>
        <v>0</v>
      </c>
      <c r="M13" s="9">
        <f t="shared" si="0"/>
        <v>0</v>
      </c>
      <c r="N13" s="7">
        <f t="shared" si="5"/>
        <v>674</v>
      </c>
      <c r="O13" s="7">
        <f t="shared" si="1"/>
        <v>674</v>
      </c>
      <c r="P13" s="7">
        <f t="shared" si="1"/>
        <v>674</v>
      </c>
      <c r="Q13" s="7">
        <f t="shared" si="1"/>
        <v>674</v>
      </c>
      <c r="R13" s="7">
        <f t="shared" si="1"/>
        <v>674</v>
      </c>
      <c r="S13" s="11">
        <f t="shared" si="8"/>
        <v>0</v>
      </c>
      <c r="T13" s="11">
        <f t="shared" si="2"/>
        <v>0</v>
      </c>
      <c r="U13" s="11">
        <f t="shared" si="2"/>
        <v>0</v>
      </c>
      <c r="V13" s="11">
        <f t="shared" si="2"/>
        <v>0</v>
      </c>
      <c r="W13" s="11">
        <f t="shared" si="2"/>
        <v>0</v>
      </c>
      <c r="X13" s="5">
        <f t="shared" si="6"/>
        <v>674</v>
      </c>
      <c r="Y13" s="5">
        <f t="shared" si="6"/>
        <v>674</v>
      </c>
      <c r="Z13" s="5">
        <f t="shared" si="3"/>
        <v>674</v>
      </c>
      <c r="AA13" s="5">
        <f t="shared" si="3"/>
        <v>674</v>
      </c>
      <c r="AB13" s="5">
        <f t="shared" si="3"/>
        <v>674</v>
      </c>
      <c r="AC13" s="13">
        <f t="shared" si="7"/>
        <v>3370</v>
      </c>
    </row>
    <row r="14" spans="1:29" x14ac:dyDescent="0.25">
      <c r="A14" t="s">
        <v>25</v>
      </c>
      <c r="B14" t="s">
        <v>26</v>
      </c>
      <c r="C14" s="1">
        <v>18.100000000000001</v>
      </c>
      <c r="D14" s="3">
        <v>38</v>
      </c>
      <c r="E14" s="3">
        <v>37</v>
      </c>
      <c r="F14" s="3">
        <v>39</v>
      </c>
      <c r="G14" s="3">
        <v>38</v>
      </c>
      <c r="H14" s="3">
        <v>37</v>
      </c>
      <c r="I14" s="9">
        <f t="shared" si="4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7">
        <f t="shared" si="5"/>
        <v>687.80000000000007</v>
      </c>
      <c r="O14" s="7">
        <f t="shared" si="1"/>
        <v>669.7</v>
      </c>
      <c r="P14" s="7">
        <f t="shared" si="1"/>
        <v>705.90000000000009</v>
      </c>
      <c r="Q14" s="7">
        <f t="shared" si="1"/>
        <v>687.80000000000007</v>
      </c>
      <c r="R14" s="7">
        <f t="shared" si="1"/>
        <v>669.7</v>
      </c>
      <c r="S14" s="11">
        <f t="shared" si="8"/>
        <v>0</v>
      </c>
      <c r="T14" s="11">
        <f t="shared" si="2"/>
        <v>0</v>
      </c>
      <c r="U14" s="11">
        <f t="shared" si="2"/>
        <v>0</v>
      </c>
      <c r="V14" s="11">
        <f t="shared" si="2"/>
        <v>0</v>
      </c>
      <c r="W14" s="11">
        <f t="shared" si="2"/>
        <v>0</v>
      </c>
      <c r="X14" s="5">
        <f t="shared" si="6"/>
        <v>687.80000000000007</v>
      </c>
      <c r="Y14" s="5">
        <f t="shared" si="6"/>
        <v>669.7</v>
      </c>
      <c r="Z14" s="5">
        <f t="shared" si="3"/>
        <v>705.90000000000009</v>
      </c>
      <c r="AA14" s="5">
        <f t="shared" si="3"/>
        <v>687.80000000000007</v>
      </c>
      <c r="AB14" s="5">
        <f t="shared" si="3"/>
        <v>669.7</v>
      </c>
      <c r="AC14" s="13">
        <f t="shared" si="7"/>
        <v>3420.9000000000005</v>
      </c>
    </row>
    <row r="15" spans="1:29" x14ac:dyDescent="0.25">
      <c r="A15" t="s">
        <v>27</v>
      </c>
      <c r="B15" t="s">
        <v>28</v>
      </c>
      <c r="C15" s="1">
        <v>19.45</v>
      </c>
      <c r="D15" s="3">
        <v>43</v>
      </c>
      <c r="E15" s="3">
        <v>42</v>
      </c>
      <c r="F15" s="3">
        <v>44</v>
      </c>
      <c r="G15" s="3">
        <v>43</v>
      </c>
      <c r="H15" s="3">
        <v>41</v>
      </c>
      <c r="I15" s="9">
        <f t="shared" si="4"/>
        <v>3</v>
      </c>
      <c r="J15" s="9">
        <f t="shared" si="0"/>
        <v>2</v>
      </c>
      <c r="K15" s="9">
        <f t="shared" si="0"/>
        <v>4</v>
      </c>
      <c r="L15" s="9">
        <f t="shared" si="0"/>
        <v>3</v>
      </c>
      <c r="M15" s="9">
        <f t="shared" si="0"/>
        <v>1</v>
      </c>
      <c r="N15" s="7">
        <f t="shared" si="5"/>
        <v>836.35</v>
      </c>
      <c r="O15" s="7">
        <f t="shared" si="1"/>
        <v>816.9</v>
      </c>
      <c r="P15" s="7">
        <f t="shared" si="1"/>
        <v>855.8</v>
      </c>
      <c r="Q15" s="7">
        <f t="shared" si="1"/>
        <v>836.35</v>
      </c>
      <c r="R15" s="7">
        <f t="shared" si="1"/>
        <v>797.44999999999993</v>
      </c>
      <c r="S15" s="11">
        <f t="shared" si="8"/>
        <v>29.174999999999997</v>
      </c>
      <c r="T15" s="11">
        <f t="shared" si="2"/>
        <v>19.45</v>
      </c>
      <c r="U15" s="11">
        <f t="shared" si="2"/>
        <v>38.9</v>
      </c>
      <c r="V15" s="11">
        <f t="shared" si="2"/>
        <v>29.174999999999997</v>
      </c>
      <c r="W15" s="11">
        <f t="shared" si="2"/>
        <v>9.7249999999999996</v>
      </c>
      <c r="X15" s="5">
        <f t="shared" si="6"/>
        <v>865.52499999999998</v>
      </c>
      <c r="Y15" s="5">
        <f t="shared" si="6"/>
        <v>836.35</v>
      </c>
      <c r="Z15" s="5">
        <f t="shared" si="3"/>
        <v>894.69999999999993</v>
      </c>
      <c r="AA15" s="5">
        <f t="shared" si="3"/>
        <v>865.52499999999998</v>
      </c>
      <c r="AB15" s="5">
        <f t="shared" si="3"/>
        <v>807.17499999999995</v>
      </c>
      <c r="AC15" s="13">
        <f t="shared" si="7"/>
        <v>4269.2749999999996</v>
      </c>
    </row>
    <row r="16" spans="1:29" x14ac:dyDescent="0.25">
      <c r="A16" t="s">
        <v>29</v>
      </c>
      <c r="B16" t="s">
        <v>30</v>
      </c>
      <c r="C16" s="1">
        <v>15.75</v>
      </c>
      <c r="D16" s="3">
        <v>34</v>
      </c>
      <c r="E16" s="3">
        <v>35</v>
      </c>
      <c r="F16" s="3">
        <v>33</v>
      </c>
      <c r="G16" s="3">
        <v>34</v>
      </c>
      <c r="H16" s="3">
        <v>36</v>
      </c>
      <c r="I16" s="9">
        <f t="shared" si="4"/>
        <v>0</v>
      </c>
      <c r="J16" s="9">
        <f t="shared" si="0"/>
        <v>0</v>
      </c>
      <c r="K16" s="9">
        <f t="shared" si="0"/>
        <v>0</v>
      </c>
      <c r="L16" s="9">
        <f t="shared" si="0"/>
        <v>0</v>
      </c>
      <c r="M16" s="9">
        <f t="shared" si="0"/>
        <v>0</v>
      </c>
      <c r="N16" s="7">
        <f t="shared" si="5"/>
        <v>535.5</v>
      </c>
      <c r="O16" s="7">
        <f t="shared" si="1"/>
        <v>551.25</v>
      </c>
      <c r="P16" s="7">
        <f t="shared" si="1"/>
        <v>519.75</v>
      </c>
      <c r="Q16" s="7">
        <f t="shared" si="1"/>
        <v>535.5</v>
      </c>
      <c r="R16" s="7">
        <f t="shared" si="1"/>
        <v>567</v>
      </c>
      <c r="S16" s="11">
        <f t="shared" si="8"/>
        <v>0</v>
      </c>
      <c r="T16" s="11">
        <f t="shared" si="2"/>
        <v>0</v>
      </c>
      <c r="U16" s="11">
        <f t="shared" si="2"/>
        <v>0</v>
      </c>
      <c r="V16" s="11">
        <f t="shared" si="2"/>
        <v>0</v>
      </c>
      <c r="W16" s="11">
        <f t="shared" si="2"/>
        <v>0</v>
      </c>
      <c r="X16" s="5">
        <f t="shared" si="6"/>
        <v>535.5</v>
      </c>
      <c r="Y16" s="5">
        <f t="shared" si="6"/>
        <v>551.25</v>
      </c>
      <c r="Z16" s="5">
        <f t="shared" si="3"/>
        <v>519.75</v>
      </c>
      <c r="AA16" s="5">
        <f t="shared" si="3"/>
        <v>535.5</v>
      </c>
      <c r="AB16" s="5">
        <f t="shared" si="3"/>
        <v>567</v>
      </c>
      <c r="AC16" s="13">
        <f t="shared" si="7"/>
        <v>2709</v>
      </c>
    </row>
    <row r="17" spans="1:29" x14ac:dyDescent="0.25">
      <c r="A17" t="s">
        <v>31</v>
      </c>
      <c r="B17" t="s">
        <v>32</v>
      </c>
      <c r="C17" s="1">
        <v>16.95</v>
      </c>
      <c r="D17" s="3">
        <v>40</v>
      </c>
      <c r="E17" s="3">
        <v>39</v>
      </c>
      <c r="F17" s="3">
        <v>41</v>
      </c>
      <c r="G17" s="3">
        <v>40</v>
      </c>
      <c r="H17" s="3">
        <v>40</v>
      </c>
      <c r="I17" s="9">
        <f t="shared" si="4"/>
        <v>0</v>
      </c>
      <c r="J17" s="9">
        <f t="shared" si="0"/>
        <v>0</v>
      </c>
      <c r="K17" s="9">
        <f t="shared" si="0"/>
        <v>1</v>
      </c>
      <c r="L17" s="9">
        <f t="shared" si="0"/>
        <v>0</v>
      </c>
      <c r="M17" s="9">
        <f t="shared" si="0"/>
        <v>0</v>
      </c>
      <c r="N17" s="7">
        <f t="shared" si="5"/>
        <v>678</v>
      </c>
      <c r="O17" s="7">
        <f t="shared" si="1"/>
        <v>661.05</v>
      </c>
      <c r="P17" s="7">
        <f t="shared" si="1"/>
        <v>694.94999999999993</v>
      </c>
      <c r="Q17" s="7">
        <f t="shared" si="1"/>
        <v>678</v>
      </c>
      <c r="R17" s="7">
        <f t="shared" si="1"/>
        <v>678</v>
      </c>
      <c r="S17" s="11">
        <f t="shared" si="8"/>
        <v>0</v>
      </c>
      <c r="T17" s="11">
        <f t="shared" si="2"/>
        <v>0</v>
      </c>
      <c r="U17" s="11">
        <f t="shared" si="2"/>
        <v>8.4749999999999996</v>
      </c>
      <c r="V17" s="11">
        <f t="shared" si="2"/>
        <v>0</v>
      </c>
      <c r="W17" s="11">
        <f t="shared" si="2"/>
        <v>0</v>
      </c>
      <c r="X17" s="5">
        <f t="shared" si="6"/>
        <v>678</v>
      </c>
      <c r="Y17" s="5">
        <f t="shared" si="6"/>
        <v>661.05</v>
      </c>
      <c r="Z17" s="5">
        <f t="shared" si="3"/>
        <v>703.42499999999995</v>
      </c>
      <c r="AA17" s="5">
        <f t="shared" si="3"/>
        <v>678</v>
      </c>
      <c r="AB17" s="5">
        <f t="shared" si="3"/>
        <v>678</v>
      </c>
      <c r="AC17" s="13">
        <f t="shared" si="7"/>
        <v>3398.4749999999999</v>
      </c>
    </row>
    <row r="18" spans="1:29" x14ac:dyDescent="0.25">
      <c r="A18" t="s">
        <v>33</v>
      </c>
      <c r="B18" t="s">
        <v>34</v>
      </c>
      <c r="C18" s="1">
        <v>17.899999999999999</v>
      </c>
      <c r="D18" s="3">
        <v>39</v>
      </c>
      <c r="E18" s="3">
        <v>38</v>
      </c>
      <c r="F18" s="3">
        <v>40</v>
      </c>
      <c r="G18" s="3">
        <v>39</v>
      </c>
      <c r="H18" s="3">
        <v>38</v>
      </c>
      <c r="I18" s="9">
        <f t="shared" si="4"/>
        <v>0</v>
      </c>
      <c r="J18" s="9">
        <f t="shared" si="0"/>
        <v>0</v>
      </c>
      <c r="K18" s="9">
        <f t="shared" si="0"/>
        <v>0</v>
      </c>
      <c r="L18" s="9">
        <f t="shared" si="0"/>
        <v>0</v>
      </c>
      <c r="M18" s="9">
        <f t="shared" si="0"/>
        <v>0</v>
      </c>
      <c r="N18" s="7">
        <f t="shared" si="5"/>
        <v>698.09999999999991</v>
      </c>
      <c r="O18" s="7">
        <f t="shared" si="1"/>
        <v>680.19999999999993</v>
      </c>
      <c r="P18" s="7">
        <f t="shared" si="1"/>
        <v>716</v>
      </c>
      <c r="Q18" s="7">
        <f t="shared" si="1"/>
        <v>698.09999999999991</v>
      </c>
      <c r="R18" s="7">
        <f t="shared" si="1"/>
        <v>680.19999999999993</v>
      </c>
      <c r="S18" s="11">
        <f t="shared" si="8"/>
        <v>0</v>
      </c>
      <c r="T18" s="11">
        <f t="shared" si="2"/>
        <v>0</v>
      </c>
      <c r="U18" s="11">
        <f t="shared" si="2"/>
        <v>0</v>
      </c>
      <c r="V18" s="11">
        <f t="shared" si="2"/>
        <v>0</v>
      </c>
      <c r="W18" s="11">
        <f t="shared" si="2"/>
        <v>0</v>
      </c>
      <c r="X18" s="5">
        <f t="shared" si="6"/>
        <v>698.09999999999991</v>
      </c>
      <c r="Y18" s="5">
        <f t="shared" si="6"/>
        <v>680.19999999999993</v>
      </c>
      <c r="Z18" s="5">
        <f t="shared" si="3"/>
        <v>716</v>
      </c>
      <c r="AA18" s="5">
        <f t="shared" si="3"/>
        <v>698.09999999999991</v>
      </c>
      <c r="AB18" s="5">
        <f t="shared" si="3"/>
        <v>680.19999999999993</v>
      </c>
      <c r="AC18" s="13">
        <f t="shared" si="7"/>
        <v>3472.5999999999995</v>
      </c>
    </row>
    <row r="19" spans="1:29" x14ac:dyDescent="0.25">
      <c r="A19" t="s">
        <v>35</v>
      </c>
      <c r="B19" t="s">
        <v>36</v>
      </c>
      <c r="C19" s="1">
        <v>18.5</v>
      </c>
      <c r="D19" s="3">
        <v>45</v>
      </c>
      <c r="E19" s="3">
        <v>44</v>
      </c>
      <c r="F19" s="3">
        <v>46</v>
      </c>
      <c r="G19" s="3">
        <v>45</v>
      </c>
      <c r="H19" s="3">
        <v>43</v>
      </c>
      <c r="I19" s="9">
        <f t="shared" si="4"/>
        <v>5</v>
      </c>
      <c r="J19" s="9">
        <f t="shared" si="0"/>
        <v>4</v>
      </c>
      <c r="K19" s="9">
        <f t="shared" si="0"/>
        <v>6</v>
      </c>
      <c r="L19" s="9">
        <f t="shared" si="0"/>
        <v>5</v>
      </c>
      <c r="M19" s="9">
        <f t="shared" si="0"/>
        <v>3</v>
      </c>
      <c r="N19" s="7">
        <f t="shared" si="5"/>
        <v>832.5</v>
      </c>
      <c r="O19" s="7">
        <f t="shared" si="1"/>
        <v>814</v>
      </c>
      <c r="P19" s="7">
        <f t="shared" si="1"/>
        <v>851</v>
      </c>
      <c r="Q19" s="7">
        <f t="shared" si="1"/>
        <v>832.5</v>
      </c>
      <c r="R19" s="7">
        <f t="shared" si="1"/>
        <v>795.5</v>
      </c>
      <c r="S19" s="11">
        <f t="shared" si="8"/>
        <v>46.25</v>
      </c>
      <c r="T19" s="11">
        <f t="shared" si="2"/>
        <v>37</v>
      </c>
      <c r="U19" s="11">
        <f t="shared" si="2"/>
        <v>55.5</v>
      </c>
      <c r="V19" s="11">
        <f t="shared" si="2"/>
        <v>46.25</v>
      </c>
      <c r="W19" s="11">
        <f t="shared" si="2"/>
        <v>27.75</v>
      </c>
      <c r="X19" s="5">
        <f t="shared" si="6"/>
        <v>878.75</v>
      </c>
      <c r="Y19" s="5">
        <f t="shared" si="6"/>
        <v>851</v>
      </c>
      <c r="Z19" s="5">
        <f t="shared" si="3"/>
        <v>906.5</v>
      </c>
      <c r="AA19" s="5">
        <f t="shared" si="3"/>
        <v>878.75</v>
      </c>
      <c r="AB19" s="5">
        <f t="shared" si="3"/>
        <v>823.25</v>
      </c>
      <c r="AC19" s="13">
        <f t="shared" si="7"/>
        <v>4338.25</v>
      </c>
    </row>
    <row r="20" spans="1:29" x14ac:dyDescent="0.25">
      <c r="A20" t="s">
        <v>37</v>
      </c>
      <c r="B20" t="s">
        <v>38</v>
      </c>
      <c r="C20" s="1">
        <v>19.100000000000001</v>
      </c>
      <c r="D20" s="3">
        <v>37</v>
      </c>
      <c r="E20" s="3">
        <v>36</v>
      </c>
      <c r="F20" s="3">
        <v>38</v>
      </c>
      <c r="G20" s="3">
        <v>37</v>
      </c>
      <c r="H20" s="3">
        <v>36</v>
      </c>
      <c r="I20" s="9">
        <f t="shared" si="4"/>
        <v>0</v>
      </c>
      <c r="J20" s="9">
        <f t="shared" si="4"/>
        <v>0</v>
      </c>
      <c r="K20" s="9">
        <f t="shared" si="4"/>
        <v>0</v>
      </c>
      <c r="L20" s="9">
        <f t="shared" si="4"/>
        <v>0</v>
      </c>
      <c r="M20" s="9">
        <f t="shared" si="4"/>
        <v>0</v>
      </c>
      <c r="N20" s="7">
        <f t="shared" si="5"/>
        <v>706.7</v>
      </c>
      <c r="O20" s="7">
        <f t="shared" si="5"/>
        <v>687.6</v>
      </c>
      <c r="P20" s="7">
        <f t="shared" si="5"/>
        <v>725.80000000000007</v>
      </c>
      <c r="Q20" s="7">
        <f t="shared" si="5"/>
        <v>706.7</v>
      </c>
      <c r="R20" s="7">
        <f t="shared" si="5"/>
        <v>687.6</v>
      </c>
      <c r="S20" s="11">
        <f t="shared" si="8"/>
        <v>0</v>
      </c>
      <c r="T20" s="11">
        <f t="shared" si="8"/>
        <v>0</v>
      </c>
      <c r="U20" s="11">
        <f t="shared" si="8"/>
        <v>0</v>
      </c>
      <c r="V20" s="11">
        <f t="shared" si="8"/>
        <v>0</v>
      </c>
      <c r="W20" s="11">
        <f t="shared" si="8"/>
        <v>0</v>
      </c>
      <c r="X20" s="5">
        <f t="shared" si="6"/>
        <v>706.7</v>
      </c>
      <c r="Y20" s="5">
        <f t="shared" si="6"/>
        <v>687.6</v>
      </c>
      <c r="Z20" s="5">
        <f t="shared" si="6"/>
        <v>725.80000000000007</v>
      </c>
      <c r="AA20" s="5">
        <f t="shared" si="6"/>
        <v>706.7</v>
      </c>
      <c r="AB20" s="5">
        <f t="shared" si="6"/>
        <v>687.6</v>
      </c>
      <c r="AC20" s="13">
        <f t="shared" si="7"/>
        <v>3514.4</v>
      </c>
    </row>
    <row r="21" spans="1:29" x14ac:dyDescent="0.25">
      <c r="A21" t="s">
        <v>39</v>
      </c>
      <c r="B21" t="s">
        <v>40</v>
      </c>
      <c r="C21" s="1">
        <v>15.65</v>
      </c>
      <c r="D21" s="3">
        <v>36</v>
      </c>
      <c r="E21" s="3">
        <v>35</v>
      </c>
      <c r="F21" s="3">
        <v>37</v>
      </c>
      <c r="G21" s="3">
        <v>36</v>
      </c>
      <c r="H21" s="3">
        <v>34</v>
      </c>
      <c r="I21" s="9">
        <f t="shared" si="4"/>
        <v>0</v>
      </c>
      <c r="J21" s="9">
        <f t="shared" si="4"/>
        <v>0</v>
      </c>
      <c r="K21" s="9">
        <f t="shared" si="4"/>
        <v>0</v>
      </c>
      <c r="L21" s="9">
        <f t="shared" si="4"/>
        <v>0</v>
      </c>
      <c r="M21" s="9">
        <f t="shared" si="4"/>
        <v>0</v>
      </c>
      <c r="N21" s="7">
        <f t="shared" si="5"/>
        <v>563.4</v>
      </c>
      <c r="O21" s="7">
        <f t="shared" si="5"/>
        <v>547.75</v>
      </c>
      <c r="P21" s="7">
        <f t="shared" si="5"/>
        <v>579.05000000000007</v>
      </c>
      <c r="Q21" s="7">
        <f t="shared" si="5"/>
        <v>563.4</v>
      </c>
      <c r="R21" s="7">
        <f t="shared" si="5"/>
        <v>532.1</v>
      </c>
      <c r="S21" s="11">
        <f t="shared" si="8"/>
        <v>0</v>
      </c>
      <c r="T21" s="11">
        <f t="shared" si="8"/>
        <v>0</v>
      </c>
      <c r="U21" s="11">
        <f t="shared" si="8"/>
        <v>0</v>
      </c>
      <c r="V21" s="11">
        <f t="shared" si="8"/>
        <v>0</v>
      </c>
      <c r="W21" s="11">
        <f t="shared" si="8"/>
        <v>0</v>
      </c>
      <c r="X21" s="5">
        <f t="shared" si="6"/>
        <v>563.4</v>
      </c>
      <c r="Y21" s="5">
        <f t="shared" si="6"/>
        <v>547.75</v>
      </c>
      <c r="Z21" s="5">
        <f t="shared" si="6"/>
        <v>579.05000000000007</v>
      </c>
      <c r="AA21" s="5">
        <f t="shared" si="6"/>
        <v>563.4</v>
      </c>
      <c r="AB21" s="5">
        <f t="shared" si="6"/>
        <v>532.1</v>
      </c>
      <c r="AC21" s="13">
        <f t="shared" si="7"/>
        <v>2785.7000000000003</v>
      </c>
    </row>
    <row r="22" spans="1:29" x14ac:dyDescent="0.25">
      <c r="A22" t="s">
        <v>41</v>
      </c>
      <c r="B22" t="s">
        <v>42</v>
      </c>
      <c r="C22" s="1">
        <v>20</v>
      </c>
      <c r="D22" s="3">
        <v>42</v>
      </c>
      <c r="E22" s="3">
        <v>43</v>
      </c>
      <c r="F22" s="3">
        <v>41</v>
      </c>
      <c r="G22" s="3">
        <v>42</v>
      </c>
      <c r="H22" s="3">
        <v>44</v>
      </c>
      <c r="I22" s="9">
        <f t="shared" si="4"/>
        <v>2</v>
      </c>
      <c r="J22" s="9">
        <f t="shared" si="4"/>
        <v>3</v>
      </c>
      <c r="K22" s="9">
        <f t="shared" si="4"/>
        <v>1</v>
      </c>
      <c r="L22" s="9">
        <f t="shared" si="4"/>
        <v>2</v>
      </c>
      <c r="M22" s="9">
        <f t="shared" si="4"/>
        <v>4</v>
      </c>
      <c r="N22" s="7">
        <f t="shared" si="5"/>
        <v>840</v>
      </c>
      <c r="O22" s="7">
        <f t="shared" si="5"/>
        <v>860</v>
      </c>
      <c r="P22" s="7">
        <f t="shared" si="5"/>
        <v>820</v>
      </c>
      <c r="Q22" s="7">
        <f t="shared" si="5"/>
        <v>840</v>
      </c>
      <c r="R22" s="7">
        <f t="shared" si="5"/>
        <v>880</v>
      </c>
      <c r="S22" s="11">
        <f t="shared" si="8"/>
        <v>20</v>
      </c>
      <c r="T22" s="11">
        <f t="shared" si="8"/>
        <v>30</v>
      </c>
      <c r="U22" s="11">
        <f t="shared" si="8"/>
        <v>10</v>
      </c>
      <c r="V22" s="11">
        <f t="shared" si="8"/>
        <v>20</v>
      </c>
      <c r="W22" s="11">
        <f t="shared" si="8"/>
        <v>40</v>
      </c>
      <c r="X22" s="5">
        <f t="shared" si="6"/>
        <v>860</v>
      </c>
      <c r="Y22" s="5">
        <f t="shared" si="6"/>
        <v>890</v>
      </c>
      <c r="Z22" s="5">
        <f t="shared" si="6"/>
        <v>830</v>
      </c>
      <c r="AA22" s="5">
        <f t="shared" si="6"/>
        <v>860</v>
      </c>
      <c r="AB22" s="5">
        <f t="shared" si="6"/>
        <v>920</v>
      </c>
      <c r="AC22" s="13">
        <f t="shared" si="7"/>
        <v>4360</v>
      </c>
    </row>
    <row r="23" spans="1:29" x14ac:dyDescent="0.25">
      <c r="A23" t="s">
        <v>43</v>
      </c>
      <c r="B23" t="s">
        <v>44</v>
      </c>
      <c r="C23" s="1">
        <v>16.399999999999999</v>
      </c>
      <c r="D23" s="3">
        <v>35</v>
      </c>
      <c r="E23" s="3">
        <v>34</v>
      </c>
      <c r="F23" s="3">
        <v>36</v>
      </c>
      <c r="G23" s="3">
        <v>35</v>
      </c>
      <c r="H23" s="3">
        <v>33</v>
      </c>
      <c r="I23" s="9">
        <f t="shared" si="4"/>
        <v>0</v>
      </c>
      <c r="J23" s="9">
        <f t="shared" si="4"/>
        <v>0</v>
      </c>
      <c r="K23" s="9">
        <f t="shared" si="4"/>
        <v>0</v>
      </c>
      <c r="L23" s="9">
        <f t="shared" si="4"/>
        <v>0</v>
      </c>
      <c r="M23" s="9">
        <f t="shared" si="4"/>
        <v>0</v>
      </c>
      <c r="N23" s="7">
        <f t="shared" si="5"/>
        <v>574</v>
      </c>
      <c r="O23" s="7">
        <f t="shared" si="5"/>
        <v>557.59999999999991</v>
      </c>
      <c r="P23" s="7">
        <f t="shared" si="5"/>
        <v>590.4</v>
      </c>
      <c r="Q23" s="7">
        <f t="shared" si="5"/>
        <v>574</v>
      </c>
      <c r="R23" s="7">
        <f t="shared" si="5"/>
        <v>541.19999999999993</v>
      </c>
      <c r="S23" s="11">
        <f t="shared" si="8"/>
        <v>0</v>
      </c>
      <c r="T23" s="11">
        <f t="shared" si="8"/>
        <v>0</v>
      </c>
      <c r="U23" s="11">
        <f t="shared" si="8"/>
        <v>0</v>
      </c>
      <c r="V23" s="11">
        <f t="shared" si="8"/>
        <v>0</v>
      </c>
      <c r="W23" s="11">
        <f t="shared" si="8"/>
        <v>0</v>
      </c>
      <c r="X23" s="5">
        <f t="shared" si="6"/>
        <v>574</v>
      </c>
      <c r="Y23" s="5">
        <f t="shared" si="6"/>
        <v>557.59999999999991</v>
      </c>
      <c r="Z23" s="5">
        <f t="shared" si="6"/>
        <v>590.4</v>
      </c>
      <c r="AA23" s="5">
        <f t="shared" si="6"/>
        <v>574</v>
      </c>
      <c r="AB23" s="5">
        <f t="shared" si="6"/>
        <v>541.19999999999993</v>
      </c>
      <c r="AC23" s="13">
        <f t="shared" si="7"/>
        <v>2837.2</v>
      </c>
    </row>
    <row r="25" spans="1:29" x14ac:dyDescent="0.25">
      <c r="A25" t="s">
        <v>45</v>
      </c>
      <c r="C25" s="1">
        <f>MAX(Table1[Hourly Wage])</f>
        <v>20</v>
      </c>
      <c r="D25">
        <f>MAX(Table1[01-Jan])</f>
        <v>45</v>
      </c>
      <c r="E25">
        <f>MAX(Table1[08-Jan])</f>
        <v>45</v>
      </c>
      <c r="F25">
        <f>MAX(Table1[15-Jan])</f>
        <v>46</v>
      </c>
      <c r="G25">
        <f>MAX(Table1[22-Jan])</f>
        <v>45</v>
      </c>
      <c r="H25">
        <f>MAX(Table1[29-Jan])</f>
        <v>44</v>
      </c>
      <c r="N25" s="1">
        <f>MAX(Table1[01-Jan7])</f>
        <v>880</v>
      </c>
      <c r="O25" s="1">
        <f>MAX(Table1[08-Jan8])</f>
        <v>900</v>
      </c>
      <c r="P25" s="1">
        <f>MAX(Table1[15-Jan9])</f>
        <v>860</v>
      </c>
      <c r="Q25" s="1">
        <f>MAX(Table1[22-Jan10])</f>
        <v>840</v>
      </c>
      <c r="R25" s="1">
        <f>MAX(Table1[29-Jan11])</f>
        <v>880</v>
      </c>
      <c r="S25" s="14">
        <f>MAX(Table1[01-Jan12])</f>
        <v>46.25</v>
      </c>
      <c r="T25" s="14">
        <f>MAX(Table1[08-Jan13])</f>
        <v>50</v>
      </c>
      <c r="U25" s="14">
        <f>MAX(Table1[15-Jan14])</f>
        <v>55.5</v>
      </c>
      <c r="V25" s="14">
        <f>MAX(Table1[22-Jan15])</f>
        <v>46.25</v>
      </c>
      <c r="W25" s="14">
        <f>MAX(Table1[29-Jan16])</f>
        <v>40</v>
      </c>
      <c r="X25" s="1">
        <f>MAX(Table1[01-Jan17])</f>
        <v>920</v>
      </c>
      <c r="Y25" s="1">
        <f>MAX(Table1[08-Jan18])</f>
        <v>950</v>
      </c>
      <c r="Z25" s="1">
        <f>MAX(Table1[15-Jan19])</f>
        <v>906.5</v>
      </c>
      <c r="AA25" s="1">
        <f>MAX(Table1[22-Jan20])</f>
        <v>878.75</v>
      </c>
      <c r="AB25" s="1">
        <f>MAX(Table1[29-Jan21])</f>
        <v>920</v>
      </c>
      <c r="AC25" s="1">
        <f>MAX(Table1[January Pay])</f>
        <v>4540</v>
      </c>
    </row>
    <row r="26" spans="1:29" x14ac:dyDescent="0.25">
      <c r="A26" t="s">
        <v>46</v>
      </c>
      <c r="C26" s="1">
        <f>MIN(Table1[Hourly Wage])</f>
        <v>15.5</v>
      </c>
      <c r="D26">
        <f>MIN(Table1[01-Jan])</f>
        <v>34</v>
      </c>
      <c r="E26">
        <f>MIN(Table1[08-Jan])</f>
        <v>34</v>
      </c>
      <c r="F26">
        <f>MIN(Table1[15-Jan])</f>
        <v>33</v>
      </c>
      <c r="G26">
        <f>MIN(Table1[22-Jan])</f>
        <v>34</v>
      </c>
      <c r="H26">
        <f>MIN(Table1[29-Jan])</f>
        <v>33</v>
      </c>
      <c r="N26" s="1">
        <f>MIN(Table1[01-Jan7])</f>
        <v>535.5</v>
      </c>
      <c r="O26" s="1">
        <f>MIN(Table1[08-Jan8])</f>
        <v>527</v>
      </c>
      <c r="P26" s="1">
        <f>MIN(Table1[15-Jan9])</f>
        <v>519.75</v>
      </c>
      <c r="Q26" s="1">
        <f>MIN(Table1[22-Jan10])</f>
        <v>535.5</v>
      </c>
      <c r="R26" s="1">
        <f>MIN(Table1[29-Jan11])</f>
        <v>532.1</v>
      </c>
      <c r="S26" s="14">
        <f>MIN(Table1[01-Jan12])</f>
        <v>0</v>
      </c>
      <c r="T26" s="14">
        <f>MIN(Table1[08-Jan13])</f>
        <v>0</v>
      </c>
      <c r="U26" s="14">
        <f>MIN(Table1[15-Jan14])</f>
        <v>0</v>
      </c>
      <c r="V26" s="14">
        <f>MIN(Table1[22-Jan15])</f>
        <v>0</v>
      </c>
      <c r="W26" s="14">
        <f>MIN(Table1[29-Jan16])</f>
        <v>0</v>
      </c>
      <c r="X26" s="1">
        <f>MIN(Table1[01-Jan17])</f>
        <v>535.5</v>
      </c>
      <c r="Y26" s="1">
        <f>MIN(Table1[08-Jan18])</f>
        <v>527</v>
      </c>
      <c r="Z26" s="1">
        <f>MIN(Table1[15-Jan19])</f>
        <v>519.75</v>
      </c>
      <c r="AA26" s="1">
        <f>MIN(Table1[22-Jan20])</f>
        <v>535.5</v>
      </c>
      <c r="AB26" s="1">
        <f>MIN(Table1[29-Jan21])</f>
        <v>532.1</v>
      </c>
      <c r="AC26" s="1">
        <f>MIN(Table1[January Pay])</f>
        <v>2709</v>
      </c>
    </row>
    <row r="27" spans="1:29" x14ac:dyDescent="0.25">
      <c r="A27" t="s">
        <v>47</v>
      </c>
      <c r="C27" s="1">
        <f>AVERAGE(Table1[Hourly Wage])</f>
        <v>17.749999999999996</v>
      </c>
      <c r="D27">
        <f>AVERAGE(Table1[01-Jan])</f>
        <v>39.049999999999997</v>
      </c>
      <c r="E27">
        <f>AVERAGE(Table1[08-Jan])</f>
        <v>38.799999999999997</v>
      </c>
      <c r="F27">
        <f>AVERAGE(Table1[15-Jan])</f>
        <v>39.299999999999997</v>
      </c>
      <c r="G27">
        <f>AVERAGE(Table1[22-Jan])</f>
        <v>38.85</v>
      </c>
      <c r="H27">
        <f>AVERAGE(Table1[29-Jan])</f>
        <v>38.799999999999997</v>
      </c>
      <c r="N27" s="1">
        <f>AVERAGE(Table1[01-Jan7])</f>
        <v>696.19500000000005</v>
      </c>
      <c r="O27" s="1">
        <f>AVERAGE(Table1[08-Jan8])</f>
        <v>691.93750000000011</v>
      </c>
      <c r="P27" s="1">
        <f>AVERAGE(Table1[15-Jan9])</f>
        <v>700.45249999999999</v>
      </c>
      <c r="Q27" s="1">
        <f>AVERAGE(Table1[22-Jan10])</f>
        <v>692.42000000000007</v>
      </c>
      <c r="R27" s="1">
        <f>AVERAGE(Table1[29-Jan11])</f>
        <v>692.01750000000015</v>
      </c>
      <c r="S27" s="14">
        <f>AVERAGE(Table1[01-Jan12])</f>
        <v>8.2012499999999982</v>
      </c>
      <c r="T27" s="14">
        <f>AVERAGE(Table1[08-Jan13])</f>
        <v>7.3174999999999999</v>
      </c>
      <c r="U27" s="14">
        <f>AVERAGE(Table1[15-Jan14])</f>
        <v>9.5087500000000009</v>
      </c>
      <c r="V27" s="14">
        <f>AVERAGE(Table1[22-Jan15])</f>
        <v>6.68</v>
      </c>
      <c r="W27" s="14">
        <f>AVERAGE(Table1[29-Jan16])</f>
        <v>7.8537499999999998</v>
      </c>
      <c r="X27" s="1">
        <f>AVERAGE(Table1[01-Jan17])</f>
        <v>704.39625000000001</v>
      </c>
      <c r="Y27" s="1">
        <f>AVERAGE(Table1[08-Jan18])</f>
        <v>699.255</v>
      </c>
      <c r="Z27" s="1">
        <f>AVERAGE(Table1[15-Jan19])</f>
        <v>709.96124999999995</v>
      </c>
      <c r="AA27" s="1">
        <f>AVERAGE(Table1[22-Jan20])</f>
        <v>699.1</v>
      </c>
      <c r="AB27" s="1">
        <f>AVERAGE(Table1[29-Jan21])</f>
        <v>699.87125000000015</v>
      </c>
      <c r="AC27" s="1">
        <f>AVERAGE(Table1[January Pay])</f>
        <v>3512.5837500000002</v>
      </c>
    </row>
    <row r="28" spans="1:29" x14ac:dyDescent="0.25">
      <c r="A28" t="s">
        <v>48</v>
      </c>
      <c r="C28" s="1">
        <f>SUM(Table1[Hourly Wage])</f>
        <v>354.99999999999994</v>
      </c>
      <c r="D28">
        <f>SUM(Table1[01-Jan])</f>
        <v>781</v>
      </c>
      <c r="E28">
        <f>SUM(Table1[08-Jan])</f>
        <v>776</v>
      </c>
      <c r="F28">
        <f>SUM(Table1[15-Jan])</f>
        <v>786</v>
      </c>
      <c r="G28">
        <f>SUM(Table1[22-Jan])</f>
        <v>777</v>
      </c>
      <c r="H28">
        <f>SUM(Table1[29-Jan])</f>
        <v>776</v>
      </c>
      <c r="N28" s="1">
        <f>SUM(Table1[01-Jan7])</f>
        <v>13923.900000000001</v>
      </c>
      <c r="O28" s="1">
        <f>SUM(Table1[08-Jan8])</f>
        <v>13838.750000000002</v>
      </c>
      <c r="P28" s="1">
        <f>SUM(Table1[15-Jan9])</f>
        <v>14009.05</v>
      </c>
      <c r="Q28" s="1">
        <f>SUM(Table1[22-Jan10])</f>
        <v>13848.400000000001</v>
      </c>
      <c r="R28" s="1">
        <f>SUM(Table1[29-Jan11])</f>
        <v>13840.350000000002</v>
      </c>
      <c r="S28" s="14">
        <f>SUM(Table1[01-Jan12])</f>
        <v>164.02499999999998</v>
      </c>
      <c r="T28" s="14">
        <f>SUM(Table1[08-Jan13])</f>
        <v>146.35</v>
      </c>
      <c r="U28" s="14">
        <f>SUM(Table1[15-Jan14])</f>
        <v>190.17500000000001</v>
      </c>
      <c r="V28" s="14">
        <f>SUM(Table1[22-Jan15])</f>
        <v>133.6</v>
      </c>
      <c r="W28" s="14">
        <f>SUM(Table1[29-Jan16])</f>
        <v>157.07499999999999</v>
      </c>
      <c r="X28" s="1">
        <f>SUM(Table1[01-Jan17])</f>
        <v>14087.925000000001</v>
      </c>
      <c r="Y28" s="1">
        <f>SUM(Table1[08-Jan18])</f>
        <v>13985.1</v>
      </c>
      <c r="Z28" s="1">
        <f>SUM(Table1[15-Jan19])</f>
        <v>14199.224999999999</v>
      </c>
      <c r="AA28" s="1">
        <f>SUM(Table1[22-Jan20])</f>
        <v>13982</v>
      </c>
      <c r="AB28" s="1">
        <f>SUM(Table1[29-Jan21])</f>
        <v>13997.425000000003</v>
      </c>
      <c r="AC28" s="1">
        <f>SUM(Table1[January Pay])</f>
        <v>70251.675000000003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F963-01C7-4D0A-A756-F4AD3D7011D4}">
  <dimension ref="A1:M26"/>
  <sheetViews>
    <sheetView tabSelected="1" zoomScale="80" zoomScaleNormal="80" workbookViewId="0">
      <selection activeCell="AA17" sqref="AA17"/>
    </sheetView>
  </sheetViews>
  <sheetFormatPr defaultRowHeight="15" x14ac:dyDescent="0.25"/>
  <cols>
    <col min="1" max="1" width="14.28515625" customWidth="1"/>
    <col min="2" max="2" width="18.140625" customWidth="1"/>
    <col min="3" max="4" width="10.5703125" bestFit="1" customWidth="1"/>
    <col min="5" max="5" width="11.5703125" bestFit="1" customWidth="1"/>
    <col min="6" max="6" width="9.5703125" bestFit="1" customWidth="1"/>
  </cols>
  <sheetData>
    <row r="1" spans="1:13" ht="126" x14ac:dyDescent="0.25">
      <c r="A1" t="s">
        <v>77</v>
      </c>
      <c r="C1" s="16" t="s">
        <v>116</v>
      </c>
      <c r="D1" s="16" t="s">
        <v>118</v>
      </c>
      <c r="E1" s="16" t="s">
        <v>119</v>
      </c>
      <c r="F1" s="16" t="s">
        <v>117</v>
      </c>
      <c r="H1" s="16" t="s">
        <v>116</v>
      </c>
      <c r="I1" s="16" t="s">
        <v>118</v>
      </c>
      <c r="J1" s="16" t="s">
        <v>119</v>
      </c>
      <c r="K1" s="16" t="s">
        <v>117</v>
      </c>
      <c r="M1" s="16" t="s">
        <v>121</v>
      </c>
    </row>
    <row r="2" spans="1:13" x14ac:dyDescent="0.25">
      <c r="B2" t="s">
        <v>120</v>
      </c>
      <c r="C2">
        <v>10</v>
      </c>
      <c r="D2">
        <v>20</v>
      </c>
      <c r="E2">
        <v>100</v>
      </c>
      <c r="F2">
        <v>1</v>
      </c>
    </row>
    <row r="3" spans="1:13" x14ac:dyDescent="0.25">
      <c r="A3" s="15" t="s">
        <v>1</v>
      </c>
      <c r="B3" s="15" t="s">
        <v>2</v>
      </c>
    </row>
    <row r="4" spans="1:13" x14ac:dyDescent="0.25">
      <c r="A4" s="15" t="s">
        <v>78</v>
      </c>
      <c r="B4" s="15" t="s">
        <v>79</v>
      </c>
      <c r="C4">
        <v>10</v>
      </c>
      <c r="D4">
        <v>19</v>
      </c>
      <c r="E4">
        <v>96</v>
      </c>
      <c r="F4">
        <v>1</v>
      </c>
      <c r="H4" s="17">
        <f>C4/$C$2</f>
        <v>1</v>
      </c>
      <c r="I4" s="17">
        <f>D4/$D$2</f>
        <v>0.95</v>
      </c>
      <c r="J4" s="17">
        <f>E4/$E$2</f>
        <v>0.96</v>
      </c>
      <c r="K4" s="17">
        <f>F4/$F$2</f>
        <v>1</v>
      </c>
      <c r="M4" t="b">
        <f>OR(H4&lt;0.5,I4&lt;0.5,J4&lt;0.5,K4&lt;0.5)</f>
        <v>0</v>
      </c>
    </row>
    <row r="5" spans="1:13" x14ac:dyDescent="0.25">
      <c r="A5" s="15" t="s">
        <v>80</v>
      </c>
      <c r="B5" s="15" t="s">
        <v>81</v>
      </c>
      <c r="C5">
        <v>10</v>
      </c>
      <c r="D5">
        <v>20</v>
      </c>
      <c r="E5">
        <v>98</v>
      </c>
      <c r="F5">
        <v>1</v>
      </c>
      <c r="H5" s="17">
        <f t="shared" ref="H5:H22" si="0">C5/$C$2</f>
        <v>1</v>
      </c>
      <c r="I5" s="17">
        <f t="shared" ref="I5:I22" si="1">D5/$D$2</f>
        <v>1</v>
      </c>
      <c r="J5" s="17">
        <f t="shared" ref="J5:J22" si="2">E5/$E$2</f>
        <v>0.98</v>
      </c>
      <c r="K5" s="17">
        <f t="shared" ref="K5:K22" si="3">F5/$F$2</f>
        <v>1</v>
      </c>
      <c r="M5" t="b">
        <f t="shared" ref="M5:M22" si="4">OR(H5&lt;0.5,I5&lt;0.5,J5&lt;0.5,K5&lt;0.5)</f>
        <v>0</v>
      </c>
    </row>
    <row r="6" spans="1:13" x14ac:dyDescent="0.25">
      <c r="A6" s="15" t="s">
        <v>82</v>
      </c>
      <c r="B6" s="15" t="s">
        <v>83</v>
      </c>
      <c r="C6">
        <v>2</v>
      </c>
      <c r="D6">
        <v>5</v>
      </c>
      <c r="E6">
        <v>15</v>
      </c>
      <c r="F6">
        <v>1</v>
      </c>
      <c r="H6" s="17">
        <f t="shared" si="0"/>
        <v>0.2</v>
      </c>
      <c r="I6" s="17">
        <f t="shared" si="1"/>
        <v>0.25</v>
      </c>
      <c r="J6" s="17">
        <f t="shared" si="2"/>
        <v>0.15</v>
      </c>
      <c r="K6" s="17">
        <f t="shared" si="3"/>
        <v>1</v>
      </c>
      <c r="M6" t="b">
        <f t="shared" si="4"/>
        <v>1</v>
      </c>
    </row>
    <row r="7" spans="1:13" x14ac:dyDescent="0.25">
      <c r="A7" s="15" t="s">
        <v>84</v>
      </c>
      <c r="B7" s="15" t="s">
        <v>85</v>
      </c>
      <c r="C7">
        <v>9</v>
      </c>
      <c r="D7">
        <v>18</v>
      </c>
      <c r="E7">
        <v>92</v>
      </c>
      <c r="F7">
        <v>1</v>
      </c>
      <c r="H7" s="17">
        <f t="shared" si="0"/>
        <v>0.9</v>
      </c>
      <c r="I7" s="17">
        <f t="shared" si="1"/>
        <v>0.9</v>
      </c>
      <c r="J7" s="17">
        <f t="shared" si="2"/>
        <v>0.92</v>
      </c>
      <c r="K7" s="17">
        <f t="shared" si="3"/>
        <v>1</v>
      </c>
      <c r="M7" t="b">
        <f t="shared" si="4"/>
        <v>0</v>
      </c>
    </row>
    <row r="8" spans="1:13" x14ac:dyDescent="0.25">
      <c r="A8" s="15" t="s">
        <v>86</v>
      </c>
      <c r="B8" s="15" t="s">
        <v>87</v>
      </c>
      <c r="C8">
        <v>3</v>
      </c>
      <c r="D8">
        <v>6</v>
      </c>
      <c r="E8">
        <v>22</v>
      </c>
      <c r="F8">
        <v>1</v>
      </c>
      <c r="H8" s="17">
        <f t="shared" si="0"/>
        <v>0.3</v>
      </c>
      <c r="I8" s="17">
        <f t="shared" si="1"/>
        <v>0.3</v>
      </c>
      <c r="J8" s="17">
        <f t="shared" si="2"/>
        <v>0.22</v>
      </c>
      <c r="K8" s="17">
        <f t="shared" si="3"/>
        <v>1</v>
      </c>
      <c r="M8" t="b">
        <f t="shared" si="4"/>
        <v>1</v>
      </c>
    </row>
    <row r="9" spans="1:13" x14ac:dyDescent="0.25">
      <c r="A9" s="15" t="s">
        <v>88</v>
      </c>
      <c r="B9" s="15" t="s">
        <v>89</v>
      </c>
      <c r="C9">
        <v>7</v>
      </c>
      <c r="D9">
        <v>14</v>
      </c>
      <c r="E9">
        <v>81</v>
      </c>
      <c r="F9">
        <v>1</v>
      </c>
      <c r="H9" s="17">
        <f t="shared" si="0"/>
        <v>0.7</v>
      </c>
      <c r="I9" s="17">
        <f t="shared" si="1"/>
        <v>0.7</v>
      </c>
      <c r="J9" s="17">
        <f t="shared" si="2"/>
        <v>0.81</v>
      </c>
      <c r="K9" s="17">
        <f t="shared" si="3"/>
        <v>1</v>
      </c>
      <c r="M9" t="b">
        <f t="shared" si="4"/>
        <v>0</v>
      </c>
    </row>
    <row r="10" spans="1:13" x14ac:dyDescent="0.25">
      <c r="A10" s="15" t="s">
        <v>90</v>
      </c>
      <c r="B10" s="15" t="s">
        <v>91</v>
      </c>
      <c r="C10">
        <v>6</v>
      </c>
      <c r="D10">
        <v>13</v>
      </c>
      <c r="E10">
        <v>73</v>
      </c>
      <c r="F10">
        <v>1</v>
      </c>
      <c r="H10" s="17">
        <f t="shared" si="0"/>
        <v>0.6</v>
      </c>
      <c r="I10" s="17">
        <f t="shared" si="1"/>
        <v>0.65</v>
      </c>
      <c r="J10" s="17">
        <f t="shared" si="2"/>
        <v>0.73</v>
      </c>
      <c r="K10" s="17">
        <f t="shared" si="3"/>
        <v>1</v>
      </c>
      <c r="M10" t="b">
        <f t="shared" si="4"/>
        <v>0</v>
      </c>
    </row>
    <row r="11" spans="1:13" x14ac:dyDescent="0.25">
      <c r="A11" s="15" t="s">
        <v>92</v>
      </c>
      <c r="B11" s="15" t="s">
        <v>93</v>
      </c>
      <c r="C11">
        <v>1</v>
      </c>
      <c r="D11">
        <v>4</v>
      </c>
      <c r="E11">
        <v>10</v>
      </c>
      <c r="F11">
        <v>0</v>
      </c>
      <c r="H11" s="17">
        <f t="shared" si="0"/>
        <v>0.1</v>
      </c>
      <c r="I11" s="17">
        <f t="shared" si="1"/>
        <v>0.2</v>
      </c>
      <c r="J11" s="17">
        <f t="shared" si="2"/>
        <v>0.1</v>
      </c>
      <c r="K11" s="17">
        <f t="shared" si="3"/>
        <v>0</v>
      </c>
      <c r="M11" t="b">
        <f t="shared" si="4"/>
        <v>1</v>
      </c>
    </row>
    <row r="12" spans="1:13" x14ac:dyDescent="0.25">
      <c r="A12" s="15" t="s">
        <v>94</v>
      </c>
      <c r="B12" s="15" t="s">
        <v>95</v>
      </c>
      <c r="C12">
        <v>9</v>
      </c>
      <c r="D12">
        <v>18</v>
      </c>
      <c r="E12">
        <v>90</v>
      </c>
      <c r="F12">
        <v>1</v>
      </c>
      <c r="H12" s="17">
        <f t="shared" si="0"/>
        <v>0.9</v>
      </c>
      <c r="I12" s="17">
        <f t="shared" si="1"/>
        <v>0.9</v>
      </c>
      <c r="J12" s="17">
        <f t="shared" si="2"/>
        <v>0.9</v>
      </c>
      <c r="K12" s="17">
        <f t="shared" si="3"/>
        <v>1</v>
      </c>
      <c r="M12" t="b">
        <f t="shared" si="4"/>
        <v>0</v>
      </c>
    </row>
    <row r="13" spans="1:13" x14ac:dyDescent="0.25">
      <c r="A13" s="15" t="s">
        <v>96</v>
      </c>
      <c r="B13" s="15" t="s">
        <v>97</v>
      </c>
      <c r="C13">
        <v>2</v>
      </c>
      <c r="D13">
        <v>3</v>
      </c>
      <c r="E13">
        <v>12</v>
      </c>
      <c r="F13">
        <v>0</v>
      </c>
      <c r="H13" s="17">
        <f t="shared" si="0"/>
        <v>0.2</v>
      </c>
      <c r="I13" s="17">
        <f t="shared" si="1"/>
        <v>0.15</v>
      </c>
      <c r="J13" s="17">
        <f t="shared" si="2"/>
        <v>0.12</v>
      </c>
      <c r="K13" s="17">
        <f t="shared" si="3"/>
        <v>0</v>
      </c>
      <c r="M13" t="b">
        <f t="shared" si="4"/>
        <v>1</v>
      </c>
    </row>
    <row r="14" spans="1:13" x14ac:dyDescent="0.25">
      <c r="A14" s="15" t="s">
        <v>98</v>
      </c>
      <c r="B14" s="15" t="s">
        <v>99</v>
      </c>
      <c r="C14">
        <v>5</v>
      </c>
      <c r="D14">
        <v>10</v>
      </c>
      <c r="E14">
        <v>52</v>
      </c>
      <c r="F14">
        <v>1</v>
      </c>
      <c r="H14" s="17">
        <f t="shared" si="0"/>
        <v>0.5</v>
      </c>
      <c r="I14" s="17">
        <f t="shared" si="1"/>
        <v>0.5</v>
      </c>
      <c r="J14" s="17">
        <f t="shared" si="2"/>
        <v>0.52</v>
      </c>
      <c r="K14" s="17">
        <f t="shared" si="3"/>
        <v>1</v>
      </c>
      <c r="M14" t="b">
        <f t="shared" si="4"/>
        <v>0</v>
      </c>
    </row>
    <row r="15" spans="1:13" x14ac:dyDescent="0.25">
      <c r="A15" s="15" t="s">
        <v>100</v>
      </c>
      <c r="B15" s="15" t="s">
        <v>101</v>
      </c>
      <c r="C15">
        <v>10</v>
      </c>
      <c r="D15">
        <v>20</v>
      </c>
      <c r="E15">
        <v>100</v>
      </c>
      <c r="F15">
        <v>1</v>
      </c>
      <c r="H15" s="17">
        <f t="shared" si="0"/>
        <v>1</v>
      </c>
      <c r="I15" s="17">
        <f t="shared" si="1"/>
        <v>1</v>
      </c>
      <c r="J15" s="17">
        <f t="shared" si="2"/>
        <v>1</v>
      </c>
      <c r="K15" s="17">
        <f t="shared" si="3"/>
        <v>1</v>
      </c>
      <c r="M15" t="b">
        <f t="shared" si="4"/>
        <v>0</v>
      </c>
    </row>
    <row r="16" spans="1:13" x14ac:dyDescent="0.25">
      <c r="A16" s="15" t="s">
        <v>102</v>
      </c>
      <c r="B16" s="15" t="s">
        <v>103</v>
      </c>
      <c r="C16">
        <v>4</v>
      </c>
      <c r="D16">
        <v>8</v>
      </c>
      <c r="E16">
        <v>35</v>
      </c>
      <c r="F16">
        <v>0</v>
      </c>
      <c r="H16" s="17">
        <f t="shared" si="0"/>
        <v>0.4</v>
      </c>
      <c r="I16" s="17">
        <f t="shared" si="1"/>
        <v>0.4</v>
      </c>
      <c r="J16" s="17">
        <f t="shared" si="2"/>
        <v>0.35</v>
      </c>
      <c r="K16" s="17">
        <f t="shared" si="3"/>
        <v>0</v>
      </c>
      <c r="M16" t="b">
        <f t="shared" si="4"/>
        <v>1</v>
      </c>
    </row>
    <row r="17" spans="1:13" x14ac:dyDescent="0.25">
      <c r="A17" s="15" t="s">
        <v>104</v>
      </c>
      <c r="B17" s="15" t="s">
        <v>105</v>
      </c>
      <c r="C17">
        <v>3</v>
      </c>
      <c r="D17">
        <v>6</v>
      </c>
      <c r="E17">
        <v>28</v>
      </c>
      <c r="F17">
        <v>1</v>
      </c>
      <c r="H17" s="17">
        <f t="shared" si="0"/>
        <v>0.3</v>
      </c>
      <c r="I17" s="17">
        <f t="shared" si="1"/>
        <v>0.3</v>
      </c>
      <c r="J17" s="17">
        <f t="shared" si="2"/>
        <v>0.28000000000000003</v>
      </c>
      <c r="K17" s="17">
        <f t="shared" si="3"/>
        <v>1</v>
      </c>
      <c r="M17" t="b">
        <f t="shared" si="4"/>
        <v>1</v>
      </c>
    </row>
    <row r="18" spans="1:13" x14ac:dyDescent="0.25">
      <c r="A18" s="15" t="s">
        <v>106</v>
      </c>
      <c r="B18" s="15" t="s">
        <v>107</v>
      </c>
      <c r="C18">
        <v>7</v>
      </c>
      <c r="D18">
        <v>15</v>
      </c>
      <c r="E18">
        <v>84</v>
      </c>
      <c r="F18">
        <v>0</v>
      </c>
      <c r="H18" s="17">
        <f t="shared" si="0"/>
        <v>0.7</v>
      </c>
      <c r="I18" s="17">
        <f t="shared" si="1"/>
        <v>0.75</v>
      </c>
      <c r="J18" s="17">
        <f t="shared" si="2"/>
        <v>0.84</v>
      </c>
      <c r="K18" s="17">
        <f t="shared" si="3"/>
        <v>0</v>
      </c>
      <c r="M18" t="b">
        <f t="shared" si="4"/>
        <v>1</v>
      </c>
    </row>
    <row r="19" spans="1:13" x14ac:dyDescent="0.25">
      <c r="A19" s="15" t="s">
        <v>108</v>
      </c>
      <c r="B19" s="15" t="s">
        <v>109</v>
      </c>
      <c r="C19">
        <v>10</v>
      </c>
      <c r="D19">
        <v>20</v>
      </c>
      <c r="E19">
        <v>99</v>
      </c>
      <c r="F19">
        <v>1</v>
      </c>
      <c r="H19" s="17">
        <f t="shared" si="0"/>
        <v>1</v>
      </c>
      <c r="I19" s="17">
        <f t="shared" si="1"/>
        <v>1</v>
      </c>
      <c r="J19" s="17">
        <f t="shared" si="2"/>
        <v>0.99</v>
      </c>
      <c r="K19" s="17">
        <f t="shared" si="3"/>
        <v>1</v>
      </c>
      <c r="M19" t="b">
        <f t="shared" si="4"/>
        <v>0</v>
      </c>
    </row>
    <row r="20" spans="1:13" x14ac:dyDescent="0.25">
      <c r="A20" s="15" t="s">
        <v>110</v>
      </c>
      <c r="B20" s="15" t="s">
        <v>111</v>
      </c>
      <c r="C20">
        <v>2</v>
      </c>
      <c r="D20">
        <v>5</v>
      </c>
      <c r="E20">
        <v>18</v>
      </c>
      <c r="F20">
        <v>0</v>
      </c>
      <c r="H20" s="17">
        <f t="shared" si="0"/>
        <v>0.2</v>
      </c>
      <c r="I20" s="17">
        <f t="shared" si="1"/>
        <v>0.25</v>
      </c>
      <c r="J20" s="17">
        <f t="shared" si="2"/>
        <v>0.18</v>
      </c>
      <c r="K20" s="17">
        <f t="shared" si="3"/>
        <v>0</v>
      </c>
      <c r="M20" t="b">
        <f t="shared" si="4"/>
        <v>1</v>
      </c>
    </row>
    <row r="21" spans="1:13" x14ac:dyDescent="0.25">
      <c r="A21" s="15" t="s">
        <v>112</v>
      </c>
      <c r="B21" s="15" t="s">
        <v>113</v>
      </c>
      <c r="C21">
        <v>6</v>
      </c>
      <c r="D21">
        <v>12</v>
      </c>
      <c r="E21">
        <v>63</v>
      </c>
      <c r="F21">
        <v>1</v>
      </c>
      <c r="H21" s="17">
        <f t="shared" si="0"/>
        <v>0.6</v>
      </c>
      <c r="I21" s="17">
        <f t="shared" si="1"/>
        <v>0.6</v>
      </c>
      <c r="J21" s="17">
        <f t="shared" si="2"/>
        <v>0.63</v>
      </c>
      <c r="K21" s="17">
        <f t="shared" si="3"/>
        <v>1</v>
      </c>
      <c r="M21" t="b">
        <f t="shared" si="4"/>
        <v>0</v>
      </c>
    </row>
    <row r="22" spans="1:13" x14ac:dyDescent="0.25">
      <c r="A22" s="15" t="s">
        <v>114</v>
      </c>
      <c r="B22" s="15" t="s">
        <v>115</v>
      </c>
      <c r="C22">
        <v>8</v>
      </c>
      <c r="D22">
        <v>17</v>
      </c>
      <c r="E22">
        <v>88</v>
      </c>
      <c r="F22">
        <v>1</v>
      </c>
      <c r="H22" s="17">
        <f t="shared" si="0"/>
        <v>0.8</v>
      </c>
      <c r="I22" s="17">
        <f t="shared" si="1"/>
        <v>0.85</v>
      </c>
      <c r="J22" s="17">
        <f t="shared" si="2"/>
        <v>0.88</v>
      </c>
      <c r="K22" s="17">
        <f t="shared" si="3"/>
        <v>1</v>
      </c>
      <c r="M22" t="b">
        <f t="shared" si="4"/>
        <v>0</v>
      </c>
    </row>
    <row r="24" spans="1:13" x14ac:dyDescent="0.25">
      <c r="A24" s="15" t="s">
        <v>45</v>
      </c>
      <c r="C24" s="18">
        <f>MAX(C4:C22)</f>
        <v>10</v>
      </c>
      <c r="D24" s="18">
        <f t="shared" ref="D24:E24" si="5">MAX(D4:D22)</f>
        <v>20</v>
      </c>
      <c r="E24" s="18">
        <f t="shared" si="5"/>
        <v>100</v>
      </c>
      <c r="F24" s="18">
        <f>MAX(F4:F22)</f>
        <v>1</v>
      </c>
      <c r="H24" s="17">
        <f>MAX(H4:H22)</f>
        <v>1</v>
      </c>
      <c r="I24" s="17">
        <f t="shared" ref="I24:K24" si="6">MAX(I4:I22)</f>
        <v>1</v>
      </c>
      <c r="J24" s="17">
        <f t="shared" si="6"/>
        <v>1</v>
      </c>
      <c r="K24" s="17">
        <f t="shared" si="6"/>
        <v>1</v>
      </c>
    </row>
    <row r="25" spans="1:13" x14ac:dyDescent="0.25">
      <c r="A25" s="15" t="s">
        <v>46</v>
      </c>
      <c r="C25" s="18">
        <f>MIN(C4:C22)</f>
        <v>1</v>
      </c>
      <c r="D25" s="18">
        <f t="shared" ref="D25:E25" si="7">MIN(D4:D22)</f>
        <v>3</v>
      </c>
      <c r="E25" s="18">
        <f t="shared" si="7"/>
        <v>10</v>
      </c>
      <c r="F25" s="18">
        <f>MIN(F4:F22)</f>
        <v>0</v>
      </c>
      <c r="H25" s="17">
        <f>MIN(H4:H22)</f>
        <v>0.1</v>
      </c>
      <c r="I25" s="17">
        <f t="shared" ref="I25:K25" si="8">MIN(I4:I22)</f>
        <v>0.15</v>
      </c>
      <c r="J25" s="17">
        <f t="shared" si="8"/>
        <v>0.1</v>
      </c>
      <c r="K25" s="17">
        <f t="shared" si="8"/>
        <v>0</v>
      </c>
    </row>
    <row r="26" spans="1:13" x14ac:dyDescent="0.25">
      <c r="A26" s="15" t="s">
        <v>47</v>
      </c>
      <c r="C26" s="18">
        <f>AVERAGE(C4:C22)</f>
        <v>6</v>
      </c>
      <c r="D26" s="18">
        <f t="shared" ref="D26:E26" si="9">AVERAGE(D4:D22)</f>
        <v>12.263157894736842</v>
      </c>
      <c r="E26" s="18">
        <f t="shared" si="9"/>
        <v>60.842105263157897</v>
      </c>
      <c r="F26" s="18">
        <f>AVERAGE(F4:F22)</f>
        <v>0.73684210526315785</v>
      </c>
      <c r="H26" s="17">
        <f>AVERAGE(H4:H22)</f>
        <v>0.6</v>
      </c>
      <c r="I26" s="17">
        <f t="shared" ref="I26:K26" si="10">AVERAGE(I4:I22)</f>
        <v>0.61315789473684212</v>
      </c>
      <c r="J26" s="17">
        <f t="shared" si="10"/>
        <v>0.60842105263157897</v>
      </c>
      <c r="K26" s="17">
        <f t="shared" si="10"/>
        <v>0.73684210526315785</v>
      </c>
    </row>
  </sheetData>
  <conditionalFormatting sqref="C4:C22">
    <cfRule type="iconSet" priority="8">
      <iconSet>
        <cfvo type="percent" val="0"/>
        <cfvo type="percent" val="33"/>
        <cfvo type="percent" val="67"/>
      </iconSet>
    </cfRule>
  </conditionalFormatting>
  <conditionalFormatting sqref="D4:D22">
    <cfRule type="iconSet" priority="7">
      <iconSet>
        <cfvo type="percent" val="0"/>
        <cfvo type="percent" val="33"/>
        <cfvo type="percent" val="67"/>
      </iconSet>
    </cfRule>
  </conditionalFormatting>
  <conditionalFormatting sqref="E4:E22">
    <cfRule type="iconSet" priority="6">
      <iconSet>
        <cfvo type="percent" val="0"/>
        <cfvo type="percent" val="33"/>
        <cfvo type="percent" val="67"/>
      </iconSet>
    </cfRule>
  </conditionalFormatting>
  <conditionalFormatting sqref="F4:F22">
    <cfRule type="iconSet" priority="4">
      <iconSet>
        <cfvo type="percent" val="0"/>
        <cfvo type="percent" val="33"/>
        <cfvo type="percent" val="67"/>
      </iconSet>
    </cfRule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2">
    <cfRule type="cellIs" dxfId="2" priority="3" operator="lessThan">
      <formula>0.5</formula>
    </cfRule>
  </conditionalFormatting>
  <conditionalFormatting sqref="M4:M22">
    <cfRule type="cellIs" dxfId="1" priority="1" operator="equal">
      <formula>TRUE</formula>
    </cfRule>
    <cfRule type="cellIs" dxfId="0" priority="2" operator="equal">
      <formula>"TURE"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Shaikh</dc:creator>
  <cp:lastModifiedBy>Imran Shaikh</cp:lastModifiedBy>
  <dcterms:created xsi:type="dcterms:W3CDTF">2025-06-10T08:12:55Z</dcterms:created>
  <dcterms:modified xsi:type="dcterms:W3CDTF">2025-06-10T22:49:21Z</dcterms:modified>
</cp:coreProperties>
</file>