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i\Downloads\"/>
    </mc:Choice>
  </mc:AlternateContent>
  <xr:revisionPtr revIDLastSave="0" documentId="13_ncr:1_{CD133E5F-850E-48F4-A1AE-785F6CE64548}" xr6:coauthVersionLast="47" xr6:coauthVersionMax="47" xr10:uidLastSave="{00000000-0000-0000-0000-000000000000}"/>
  <bookViews>
    <workbookView xWindow="-98" yWindow="-98" windowWidth="19396" windowHeight="11475" activeTab="3" xr2:uid="{529F7DD5-9C65-42C0-8E9A-C3927C80AA02}"/>
  </bookViews>
  <sheets>
    <sheet name="Staircase design" sheetId="1" r:id="rId1"/>
    <sheet name="Frame Design" sheetId="2" r:id="rId2"/>
    <sheet name="Column design" sheetId="3" r:id="rId3"/>
    <sheet name="Foundation des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3" l="1"/>
  <c r="F90" i="3"/>
  <c r="G43" i="1"/>
  <c r="J43" i="1"/>
  <c r="F23" i="1"/>
  <c r="E22" i="1"/>
  <c r="E21" i="1"/>
  <c r="J20" i="1"/>
  <c r="C79" i="4"/>
  <c r="C78" i="4"/>
  <c r="C70" i="4"/>
  <c r="C68" i="4"/>
  <c r="G66" i="4"/>
  <c r="C61" i="4"/>
  <c r="B52" i="4"/>
  <c r="C47" i="4"/>
  <c r="F46" i="4"/>
  <c r="F45" i="4"/>
  <c r="F44" i="4"/>
  <c r="C43" i="4"/>
  <c r="C42" i="4"/>
  <c r="I14" i="4"/>
  <c r="D40" i="4"/>
  <c r="C40" i="4"/>
  <c r="I12" i="4"/>
  <c r="K29" i="4" s="1"/>
  <c r="C21" i="4"/>
  <c r="F9" i="4"/>
  <c r="F6" i="4"/>
  <c r="P117" i="3"/>
  <c r="P115" i="3"/>
  <c r="P114" i="3"/>
  <c r="P112" i="3"/>
  <c r="P110" i="3"/>
  <c r="P109" i="3"/>
  <c r="J84" i="3"/>
  <c r="H113" i="3"/>
  <c r="D113" i="3"/>
  <c r="D111" i="3"/>
  <c r="D108" i="3"/>
  <c r="K105" i="3"/>
  <c r="K103" i="3"/>
  <c r="N103" i="3"/>
  <c r="J97" i="3"/>
  <c r="J96" i="3"/>
  <c r="G96" i="3"/>
  <c r="D96" i="3"/>
  <c r="G87" i="3"/>
  <c r="E74" i="3"/>
  <c r="E62" i="3"/>
  <c r="E49" i="3"/>
  <c r="E37" i="3"/>
  <c r="E24" i="3"/>
  <c r="E12" i="3"/>
  <c r="M68" i="3"/>
  <c r="M70" i="3" s="1"/>
  <c r="M71" i="3" s="1"/>
  <c r="I68" i="3"/>
  <c r="I70" i="3" s="1"/>
  <c r="E68" i="3"/>
  <c r="E70" i="3" s="1"/>
  <c r="P67" i="3"/>
  <c r="E58" i="3"/>
  <c r="M56" i="3"/>
  <c r="M58" i="3" s="1"/>
  <c r="M59" i="3" s="1"/>
  <c r="I56" i="3"/>
  <c r="I58" i="3" s="1"/>
  <c r="E56" i="3"/>
  <c r="P55" i="3"/>
  <c r="M43" i="3"/>
  <c r="M45" i="3" s="1"/>
  <c r="M46" i="3" s="1"/>
  <c r="I43" i="3"/>
  <c r="I45" i="3" s="1"/>
  <c r="E43" i="3"/>
  <c r="E45" i="3" s="1"/>
  <c r="P42" i="3"/>
  <c r="I33" i="3"/>
  <c r="I31" i="3"/>
  <c r="M31" i="3"/>
  <c r="M33" i="3" s="1"/>
  <c r="M34" i="3" s="1"/>
  <c r="E31" i="3"/>
  <c r="E33" i="3" s="1"/>
  <c r="P30" i="3"/>
  <c r="I21" i="3"/>
  <c r="I22" i="3" s="1"/>
  <c r="E21" i="3"/>
  <c r="I19" i="3"/>
  <c r="E19" i="3"/>
  <c r="L18" i="3"/>
  <c r="L6" i="3"/>
  <c r="I7" i="3"/>
  <c r="I9" i="3" s="1"/>
  <c r="I10" i="3" s="1"/>
  <c r="E11" i="3" s="1"/>
  <c r="E9" i="3"/>
  <c r="E7" i="3"/>
  <c r="X100" i="2"/>
  <c r="X101" i="2" s="1"/>
  <c r="U102" i="2" s="1"/>
  <c r="U100" i="2"/>
  <c r="U101" i="2" s="1"/>
  <c r="X102" i="2" s="1"/>
  <c r="AE63" i="2"/>
  <c r="L63" i="2"/>
  <c r="AE62" i="2"/>
  <c r="AE57" i="2"/>
  <c r="AH57" i="2" s="1"/>
  <c r="AH59" i="2" s="1"/>
  <c r="AE49" i="2"/>
  <c r="AE51" i="2" s="1"/>
  <c r="AE52" i="2" s="1"/>
  <c r="AE58" i="2"/>
  <c r="AE50" i="2"/>
  <c r="Y99" i="2"/>
  <c r="X99" i="2"/>
  <c r="U99" i="2"/>
  <c r="T99" i="2"/>
  <c r="Y98" i="2"/>
  <c r="T98" i="2"/>
  <c r="T97" i="2"/>
  <c r="O98" i="2"/>
  <c r="O99" i="2"/>
  <c r="N99" i="2"/>
  <c r="K99" i="2"/>
  <c r="J99" i="2"/>
  <c r="J98" i="2"/>
  <c r="M74" i="2"/>
  <c r="J82" i="2"/>
  <c r="J83" i="2" s="1"/>
  <c r="J79" i="2"/>
  <c r="J76" i="2"/>
  <c r="J77" i="2" s="1"/>
  <c r="J73" i="2"/>
  <c r="M73" i="2"/>
  <c r="J80" i="2"/>
  <c r="J74" i="2"/>
  <c r="L58" i="2"/>
  <c r="T43" i="2"/>
  <c r="L62" i="2" s="1"/>
  <c r="T37" i="2"/>
  <c r="L37" i="2"/>
  <c r="T36" i="2"/>
  <c r="L36" i="2"/>
  <c r="L50" i="2"/>
  <c r="V3" i="2"/>
  <c r="V2" i="2"/>
  <c r="T32" i="2"/>
  <c r="W31" i="2"/>
  <c r="W32" i="2" s="1"/>
  <c r="W38" i="2" s="1"/>
  <c r="T40" i="2" s="1"/>
  <c r="U27" i="2"/>
  <c r="T31" i="2" s="1"/>
  <c r="U26" i="2"/>
  <c r="T24" i="2"/>
  <c r="U24" i="2" s="1"/>
  <c r="O31" i="2"/>
  <c r="O32" i="2" s="1"/>
  <c r="O38" i="2" s="1"/>
  <c r="L40" i="2" s="1"/>
  <c r="L32" i="2"/>
  <c r="M27" i="2"/>
  <c r="L31" i="2" s="1"/>
  <c r="M26" i="2"/>
  <c r="L24" i="2"/>
  <c r="M24" i="2" s="1"/>
  <c r="O18" i="1"/>
  <c r="J18" i="1"/>
  <c r="O16" i="1"/>
  <c r="J16" i="1"/>
  <c r="O15" i="1"/>
  <c r="J15" i="1"/>
  <c r="F75" i="1"/>
  <c r="F69" i="1"/>
  <c r="D65" i="1"/>
  <c r="D73" i="1" s="1"/>
  <c r="F74" i="1" s="1"/>
  <c r="J57" i="1"/>
  <c r="D54" i="1"/>
  <c r="K35" i="1"/>
  <c r="E26" i="1"/>
  <c r="D60" i="1" s="1"/>
  <c r="E18" i="1"/>
  <c r="E16" i="1"/>
  <c r="D11" i="1"/>
  <c r="D12" i="1" s="1"/>
  <c r="E15" i="1" s="1"/>
  <c r="D77" i="3" l="1"/>
  <c r="K101" i="3" s="1"/>
  <c r="P113" i="3" s="1"/>
  <c r="I29" i="4"/>
  <c r="J29" i="4" s="1"/>
  <c r="C20" i="4"/>
  <c r="G29" i="4"/>
  <c r="G30" i="4" s="1"/>
  <c r="C34" i="4" s="1"/>
  <c r="E36" i="3"/>
  <c r="E35" i="3"/>
  <c r="E60" i="3"/>
  <c r="G84" i="3" s="1"/>
  <c r="D86" i="3" s="1"/>
  <c r="E61" i="3"/>
  <c r="E72" i="3"/>
  <c r="E73" i="3"/>
  <c r="E47" i="3"/>
  <c r="E48" i="3"/>
  <c r="E23" i="3"/>
  <c r="Y97" i="2"/>
  <c r="AH62" i="2"/>
  <c r="AH64" i="2" s="1"/>
  <c r="AH51" i="2"/>
  <c r="AH49" i="2"/>
  <c r="Y101" i="2"/>
  <c r="Y103" i="2"/>
  <c r="X103" i="2"/>
  <c r="U104" i="2" s="1"/>
  <c r="Y96" i="2"/>
  <c r="U103" i="2"/>
  <c r="X104" i="2" s="1"/>
  <c r="T96" i="2"/>
  <c r="T103" i="2"/>
  <c r="T101" i="2"/>
  <c r="L45" i="2"/>
  <c r="T45" i="2"/>
  <c r="L43" i="2"/>
  <c r="T34" i="2"/>
  <c r="T38" i="2" s="1"/>
  <c r="T39" i="2" s="1"/>
  <c r="L34" i="2"/>
  <c r="L38" i="2" s="1"/>
  <c r="L39" i="2" s="1"/>
  <c r="O17" i="1"/>
  <c r="O20" i="1" s="1"/>
  <c r="J17" i="1"/>
  <c r="I46" i="1"/>
  <c r="I47" i="1" s="1"/>
  <c r="E47" i="1" s="1"/>
  <c r="E17" i="1"/>
  <c r="E20" i="1" s="1"/>
  <c r="L46" i="1"/>
  <c r="L47" i="1" s="1"/>
  <c r="K34" i="1"/>
  <c r="F65" i="1"/>
  <c r="D67" i="1"/>
  <c r="F68" i="1" s="1"/>
  <c r="F70" i="1" s="1"/>
  <c r="F76" i="1"/>
  <c r="D99" i="3" l="1"/>
  <c r="T83" i="3"/>
  <c r="C2" i="4"/>
  <c r="C3" i="4" s="1"/>
  <c r="P118" i="3"/>
  <c r="D88" i="3"/>
  <c r="D90" i="3" s="1"/>
  <c r="N101" i="3"/>
  <c r="P84" i="3"/>
  <c r="P83" i="3"/>
  <c r="AK63" i="2"/>
  <c r="AK64" i="2"/>
  <c r="Y105" i="2"/>
  <c r="X105" i="2"/>
  <c r="Y95" i="2"/>
  <c r="T95" i="2"/>
  <c r="T105" i="2"/>
  <c r="U105" i="2"/>
  <c r="L57" i="2"/>
  <c r="O57" i="2" s="1"/>
  <c r="O59" i="2" s="1"/>
  <c r="L49" i="2"/>
  <c r="E46" i="1"/>
  <c r="C49" i="1" s="1"/>
  <c r="D12" i="4" l="1"/>
  <c r="C54" i="4"/>
  <c r="C55" i="4" s="1"/>
  <c r="G97" i="3"/>
  <c r="P86" i="3"/>
  <c r="S86" i="3" s="1"/>
  <c r="R118" i="3"/>
  <c r="C49" i="4"/>
  <c r="D13" i="4"/>
  <c r="C15" i="4" s="1"/>
  <c r="C16" i="4" s="1"/>
  <c r="C17" i="4" s="1"/>
  <c r="C18" i="4" s="1"/>
  <c r="C23" i="4" s="1"/>
  <c r="C62" i="4" s="1"/>
  <c r="C30" i="4"/>
  <c r="E34" i="4" s="1"/>
  <c r="D97" i="3"/>
  <c r="D101" i="3" s="1"/>
  <c r="K102" i="3" s="1"/>
  <c r="P87" i="3"/>
  <c r="S87" i="3" s="1"/>
  <c r="C81" i="4"/>
  <c r="C82" i="4" s="1"/>
  <c r="F8" i="4"/>
  <c r="G9" i="4" s="1"/>
  <c r="E27" i="1"/>
  <c r="X106" i="2"/>
  <c r="U106" i="2"/>
  <c r="O62" i="2"/>
  <c r="L51" i="2"/>
  <c r="L52" i="2" s="1"/>
  <c r="E28" i="1"/>
  <c r="P89" i="3" l="1"/>
  <c r="P90" i="3" s="1"/>
  <c r="E44" i="1"/>
  <c r="E49" i="1" s="1"/>
  <c r="O64" i="2"/>
  <c r="R64" i="2" s="1"/>
  <c r="N100" i="2" s="1"/>
  <c r="R63" i="2"/>
  <c r="K100" i="2" s="1"/>
  <c r="T107" i="2"/>
  <c r="T108" i="2" s="1"/>
  <c r="U107" i="2"/>
  <c r="T94" i="2"/>
  <c r="T93" i="2" s="1"/>
  <c r="U108" i="2"/>
  <c r="Y94" i="2"/>
  <c r="Y93" i="2" s="1"/>
  <c r="Y107" i="2"/>
  <c r="Y108" i="2" s="1"/>
  <c r="X107" i="2"/>
  <c r="X108" i="2" s="1"/>
  <c r="O51" i="2"/>
  <c r="O49" i="2"/>
  <c r="E31" i="1"/>
  <c r="E32" i="1" s="1"/>
  <c r="E34" i="1" s="1"/>
  <c r="E37" i="1" s="1"/>
  <c r="E40" i="1" s="1"/>
  <c r="G29" i="1"/>
  <c r="J97" i="2" l="1"/>
  <c r="J101" i="2"/>
  <c r="K101" i="2"/>
  <c r="N102" i="2" s="1"/>
  <c r="O97" i="2"/>
  <c r="N101" i="2"/>
  <c r="K102" i="2" s="1"/>
  <c r="O101" i="2"/>
  <c r="Y110" i="2"/>
  <c r="U110" i="2"/>
  <c r="J58" i="1"/>
  <c r="M58" i="1" s="1"/>
  <c r="E38" i="1"/>
  <c r="D53" i="1"/>
  <c r="D57" i="1" s="1"/>
  <c r="J103" i="2" l="1"/>
  <c r="K103" i="2"/>
  <c r="N104" i="2" s="1"/>
  <c r="J96" i="2"/>
  <c r="O96" i="2"/>
  <c r="N103" i="2"/>
  <c r="O103" i="2"/>
  <c r="D56" i="1"/>
  <c r="D59" i="1"/>
  <c r="E61" i="1" s="1"/>
  <c r="K104" i="2" l="1"/>
  <c r="N105" i="2"/>
  <c r="K106" i="2" s="1"/>
  <c r="O105" i="2"/>
  <c r="O95" i="2"/>
  <c r="K107" i="2" l="1"/>
  <c r="J107" i="2"/>
  <c r="J94" i="2"/>
  <c r="J95" i="2"/>
  <c r="J93" i="2" s="1"/>
  <c r="K105" i="2"/>
  <c r="N106" i="2" s="1"/>
  <c r="J105" i="2"/>
  <c r="J108" i="2" s="1"/>
  <c r="K108" i="2"/>
  <c r="K110" i="2" l="1"/>
  <c r="N107" i="2"/>
  <c r="O94" i="2"/>
  <c r="O93" i="2" s="1"/>
  <c r="O110" i="2" s="1"/>
  <c r="O107" i="2"/>
  <c r="O108" i="2" s="1"/>
  <c r="N108" i="2"/>
</calcChain>
</file>

<file path=xl/sharedStrings.xml><?xml version="1.0" encoding="utf-8"?>
<sst xmlns="http://schemas.openxmlformats.org/spreadsheetml/2006/main" count="736" uniqueCount="305">
  <si>
    <t>Properties of staircase</t>
  </si>
  <si>
    <t>h =</t>
  </si>
  <si>
    <t>G =</t>
  </si>
  <si>
    <t>R =</t>
  </si>
  <si>
    <t>mm</t>
  </si>
  <si>
    <t>Loading</t>
  </si>
  <si>
    <t>Gk =</t>
  </si>
  <si>
    <t>Qk =</t>
  </si>
  <si>
    <t>N/mm2</t>
  </si>
  <si>
    <t>Material property</t>
  </si>
  <si>
    <t>fck =</t>
  </si>
  <si>
    <t>fyk =</t>
  </si>
  <si>
    <t>Density =</t>
  </si>
  <si>
    <t>kN/m3</t>
  </si>
  <si>
    <t>Misselanuoes</t>
  </si>
  <si>
    <t>Concrete cover =</t>
  </si>
  <si>
    <t>Diameter bar =</t>
  </si>
  <si>
    <t>Calculations</t>
  </si>
  <si>
    <t>Average thickness</t>
  </si>
  <si>
    <t xml:space="preserve"> </t>
  </si>
  <si>
    <t>y =</t>
  </si>
  <si>
    <t>t =</t>
  </si>
  <si>
    <t>Action &amp; Analysis</t>
  </si>
  <si>
    <t>Slab self weight =</t>
  </si>
  <si>
    <t>kN/m2</t>
  </si>
  <si>
    <t>Total GK =</t>
  </si>
  <si>
    <t>Design Action =</t>
  </si>
  <si>
    <t>Bending moment =</t>
  </si>
  <si>
    <t>m</t>
  </si>
  <si>
    <t>FL/10 =</t>
  </si>
  <si>
    <t>kNm</t>
  </si>
  <si>
    <t>Main reinforcement design</t>
  </si>
  <si>
    <t>effective depth, d =</t>
  </si>
  <si>
    <t>Design moment =</t>
  </si>
  <si>
    <t>K =</t>
  </si>
  <si>
    <t>CHECK!</t>
  </si>
  <si>
    <t>z =</t>
  </si>
  <si>
    <t>d</t>
  </si>
  <si>
    <t>&lt;0.95d</t>
  </si>
  <si>
    <t>z Choosen =</t>
  </si>
  <si>
    <t>As =</t>
  </si>
  <si>
    <t>mm2/m</t>
  </si>
  <si>
    <t>As min =</t>
  </si>
  <si>
    <t>As max =</t>
  </si>
  <si>
    <t>As main bar to be provided =</t>
  </si>
  <si>
    <t>As bar provided =</t>
  </si>
  <si>
    <t>As secondary provided =</t>
  </si>
  <si>
    <t>Shear design</t>
  </si>
  <si>
    <t>kN</t>
  </si>
  <si>
    <t>Ved =</t>
  </si>
  <si>
    <t>Vrd,c =</t>
  </si>
  <si>
    <t>k =</t>
  </si>
  <si>
    <t>k taken =</t>
  </si>
  <si>
    <t>p1 =</t>
  </si>
  <si>
    <t>p1 taken =</t>
  </si>
  <si>
    <t>Vmin =</t>
  </si>
  <si>
    <t>Deflection</t>
  </si>
  <si>
    <t>p =</t>
  </si>
  <si>
    <t>po =</t>
  </si>
  <si>
    <t>IS IT CONTINOUS PART OF BEAM OR END PART OF BEAM? CHOOSE 1.5 or 1.3</t>
  </si>
  <si>
    <t>l/d =</t>
  </si>
  <si>
    <t>Modification factors</t>
  </si>
  <si>
    <t>is span more than 7m?</t>
  </si>
  <si>
    <t>As prov/As req</t>
  </si>
  <si>
    <t>Factor taken =</t>
  </si>
  <si>
    <t>l/d allowable =</t>
  </si>
  <si>
    <t>l/d actual =</t>
  </si>
  <si>
    <t>&lt;- Fire design</t>
  </si>
  <si>
    <t>Cracking</t>
  </si>
  <si>
    <t>h=</t>
  </si>
  <si>
    <t>&lt; 200</t>
  </si>
  <si>
    <t>Main bar</t>
  </si>
  <si>
    <t>&lt; 400</t>
  </si>
  <si>
    <t>Max Spacing =</t>
  </si>
  <si>
    <t>Spacing provided =</t>
  </si>
  <si>
    <t>Secondary bar</t>
  </si>
  <si>
    <t>Landing 1</t>
  </si>
  <si>
    <t>Landing 2</t>
  </si>
  <si>
    <t>F =</t>
  </si>
  <si>
    <t>Length =</t>
  </si>
  <si>
    <t>Total Length =</t>
  </si>
  <si>
    <t>H10-</t>
  </si>
  <si>
    <t>V1 =</t>
  </si>
  <si>
    <t>V2 =</t>
  </si>
  <si>
    <t>Action</t>
  </si>
  <si>
    <t>Beam 1</t>
  </si>
  <si>
    <t>HOW TO GET LOADING FROM THE ROOF?</t>
  </si>
  <si>
    <t>Beam 2</t>
  </si>
  <si>
    <t>Beam 3</t>
  </si>
  <si>
    <t>Loading from slab</t>
  </si>
  <si>
    <t>Lx =</t>
  </si>
  <si>
    <t>Ly =</t>
  </si>
  <si>
    <t>Ly/Lx =</t>
  </si>
  <si>
    <t>Beam 4</t>
  </si>
  <si>
    <t>Byx =</t>
  </si>
  <si>
    <t>2 Adjesecnt Discontinous</t>
  </si>
  <si>
    <t>Finishes =</t>
  </si>
  <si>
    <t>kPa</t>
  </si>
  <si>
    <t>Variable loading =</t>
  </si>
  <si>
    <t>(Category A EC2)</t>
  </si>
  <si>
    <t>Slab thickness =</t>
  </si>
  <si>
    <t>Required thickness =</t>
  </si>
  <si>
    <t>Thickness taken =</t>
  </si>
  <si>
    <t>Loading on Slab</t>
  </si>
  <si>
    <t>Gk</t>
  </si>
  <si>
    <t>Self weight</t>
  </si>
  <si>
    <t>Finishes</t>
  </si>
  <si>
    <t>Qk</t>
  </si>
  <si>
    <t xml:space="preserve">Variable </t>
  </si>
  <si>
    <t>kN/m/m</t>
  </si>
  <si>
    <t>kN/m</t>
  </si>
  <si>
    <t>B1</t>
  </si>
  <si>
    <t>B2</t>
  </si>
  <si>
    <t>Bxx =</t>
  </si>
  <si>
    <t>B4</t>
  </si>
  <si>
    <t>B5</t>
  </si>
  <si>
    <t>B3</t>
  </si>
  <si>
    <t>1 short Discontinous</t>
  </si>
  <si>
    <t>Length Slab =</t>
  </si>
  <si>
    <t xml:space="preserve">Column </t>
  </si>
  <si>
    <t>x</t>
  </si>
  <si>
    <t>Beam</t>
  </si>
  <si>
    <t>I</t>
  </si>
  <si>
    <t>Iz-z</t>
  </si>
  <si>
    <t>FEM</t>
  </si>
  <si>
    <t>Total action on Beam 4 =</t>
  </si>
  <si>
    <t>Moment due to loading =</t>
  </si>
  <si>
    <t>Point Load due to B4 =</t>
  </si>
  <si>
    <t>Length of beam =</t>
  </si>
  <si>
    <t>FEM Left</t>
  </si>
  <si>
    <t>FEM Right</t>
  </si>
  <si>
    <t>L Beam 1=</t>
  </si>
  <si>
    <t>L Beam 2=</t>
  </si>
  <si>
    <t>Point Load</t>
  </si>
  <si>
    <t>W1</t>
  </si>
  <si>
    <t>Frame analysis</t>
  </si>
  <si>
    <t>K Distribution</t>
  </si>
  <si>
    <t xml:space="preserve">Total gk slab= </t>
  </si>
  <si>
    <t>Loading on Beam</t>
  </si>
  <si>
    <t>Beam Self weight =</t>
  </si>
  <si>
    <t>Total qk =</t>
  </si>
  <si>
    <t>Total gk on beam =</t>
  </si>
  <si>
    <t>Self weight slab</t>
  </si>
  <si>
    <t>Brick wall =</t>
  </si>
  <si>
    <t>m tall</t>
  </si>
  <si>
    <t>brick wall</t>
  </si>
  <si>
    <t>Total qk on beam =</t>
  </si>
  <si>
    <t>1.35Gk + 1.5 Qk</t>
  </si>
  <si>
    <t>1.5 Qk</t>
  </si>
  <si>
    <t>Total Gk &amp; Qk=</t>
  </si>
  <si>
    <t>1.5 Qk =</t>
  </si>
  <si>
    <t>Do I take W Max or W min??</t>
  </si>
  <si>
    <t>W max on Both sides</t>
  </si>
  <si>
    <t>W2</t>
  </si>
  <si>
    <t>Total FEM</t>
  </si>
  <si>
    <t>Left</t>
  </si>
  <si>
    <t>Right</t>
  </si>
  <si>
    <t>K A-B</t>
  </si>
  <si>
    <t>Length A-B</t>
  </si>
  <si>
    <t>Height of Column correct? Clear height from mid beam to mid beam</t>
  </si>
  <si>
    <t>Length B-C</t>
  </si>
  <si>
    <t>K B-C</t>
  </si>
  <si>
    <t>Length D-E</t>
  </si>
  <si>
    <t>K D-E</t>
  </si>
  <si>
    <t>K B-E</t>
  </si>
  <si>
    <t>Lenght B-E</t>
  </si>
  <si>
    <t>MDM</t>
  </si>
  <si>
    <t>Joint A</t>
  </si>
  <si>
    <t>Joint B</t>
  </si>
  <si>
    <t>Length E-F</t>
  </si>
  <si>
    <t>K E-F</t>
  </si>
  <si>
    <t>Check</t>
  </si>
  <si>
    <t>W Max</t>
  </si>
  <si>
    <t>W Min</t>
  </si>
  <si>
    <t>Level 2</t>
  </si>
  <si>
    <t>b</t>
  </si>
  <si>
    <t>h</t>
  </si>
  <si>
    <t>L clear =</t>
  </si>
  <si>
    <t>k=</t>
  </si>
  <si>
    <t>w=</t>
  </si>
  <si>
    <t>FEM =</t>
  </si>
  <si>
    <t>0.5k =</t>
  </si>
  <si>
    <t>Top floor</t>
  </si>
  <si>
    <t>Moment 1=</t>
  </si>
  <si>
    <t>2nd floor</t>
  </si>
  <si>
    <t>Moment Top=</t>
  </si>
  <si>
    <t>Moment bottom =</t>
  </si>
  <si>
    <t>Column Top</t>
  </si>
  <si>
    <t>Column Bottom</t>
  </si>
  <si>
    <t>x axis</t>
  </si>
  <si>
    <t>y axis</t>
  </si>
  <si>
    <t>base floor</t>
  </si>
  <si>
    <t>Base floor</t>
  </si>
  <si>
    <t>Ned =</t>
  </si>
  <si>
    <t>Total axial laoding =</t>
  </si>
  <si>
    <t>slenderness check</t>
  </si>
  <si>
    <t>A=</t>
  </si>
  <si>
    <t>B=</t>
  </si>
  <si>
    <t>C=</t>
  </si>
  <si>
    <t>M02=</t>
  </si>
  <si>
    <t>M01=</t>
  </si>
  <si>
    <t>n=</t>
  </si>
  <si>
    <t>lambda lim=</t>
  </si>
  <si>
    <t>Catual lambda =</t>
  </si>
  <si>
    <t>Lo =</t>
  </si>
  <si>
    <t>Do the coding!!!</t>
  </si>
  <si>
    <t>Biaxial check</t>
  </si>
  <si>
    <t>Mey =</t>
  </si>
  <si>
    <t>Mez =</t>
  </si>
  <si>
    <t>ey=</t>
  </si>
  <si>
    <t>ez=</t>
  </si>
  <si>
    <t>b=</t>
  </si>
  <si>
    <t>ey/h=</t>
  </si>
  <si>
    <t>ez/b=</t>
  </si>
  <si>
    <t>ey/h)/(ez/b=</t>
  </si>
  <si>
    <t>Biaxial bending must be considered</t>
  </si>
  <si>
    <t>Non-slender column</t>
  </si>
  <si>
    <t>Mz/h'=</t>
  </si>
  <si>
    <t xml:space="preserve">h'= </t>
  </si>
  <si>
    <t>Cnom = 20, main bar = 16, link = 8</t>
  </si>
  <si>
    <t>b'=</t>
  </si>
  <si>
    <t>my/b'=</t>
  </si>
  <si>
    <t>New Mz =</t>
  </si>
  <si>
    <t>Beta =</t>
  </si>
  <si>
    <t>-----------------------------------------------------------------</t>
  </si>
  <si>
    <t>Using chart</t>
  </si>
  <si>
    <t>N/bhfck=</t>
  </si>
  <si>
    <t>M/bh2fck=</t>
  </si>
  <si>
    <t>d2=</t>
  </si>
  <si>
    <t>d2/h=</t>
  </si>
  <si>
    <t>Asfyk/bhfck=</t>
  </si>
  <si>
    <t>As needed =</t>
  </si>
  <si>
    <t>4H16</t>
  </si>
  <si>
    <t>Link =</t>
  </si>
  <si>
    <t>Provided = 8 ok</t>
  </si>
  <si>
    <t>Spacing =</t>
  </si>
  <si>
    <t xml:space="preserve">Spacing </t>
  </si>
  <si>
    <t>4H16-300</t>
  </si>
  <si>
    <t>At 350 above joint =</t>
  </si>
  <si>
    <t>4H16-150</t>
  </si>
  <si>
    <t>mm2</t>
  </si>
  <si>
    <t>L=</t>
  </si>
  <si>
    <t>Actual l =</t>
  </si>
  <si>
    <t>Mimp</t>
  </si>
  <si>
    <t>As x&amp; y =</t>
  </si>
  <si>
    <t>d2x&amp;y/h&amp;b =</t>
  </si>
  <si>
    <t>M resistance=</t>
  </si>
  <si>
    <t>Nrd=</t>
  </si>
  <si>
    <t>Ned/Nrd=</t>
  </si>
  <si>
    <t xml:space="preserve">alpha = </t>
  </si>
  <si>
    <t>Bedning check</t>
  </si>
  <si>
    <t>&lt;1</t>
  </si>
  <si>
    <t>ok!</t>
  </si>
  <si>
    <t>Gk+Qk =</t>
  </si>
  <si>
    <t>SLS Gk&amp;Qk=</t>
  </si>
  <si>
    <t>Dimensions</t>
  </si>
  <si>
    <t xml:space="preserve">h= </t>
  </si>
  <si>
    <t>Footing weight =</t>
  </si>
  <si>
    <t>Area required =</t>
  </si>
  <si>
    <t>Bearing capacity assumed =</t>
  </si>
  <si>
    <t>n/mm2</t>
  </si>
  <si>
    <t>Loose gravel</t>
  </si>
  <si>
    <t>Area provided =</t>
  </si>
  <si>
    <t>Pressure at ULS</t>
  </si>
  <si>
    <t>Moment at face =</t>
  </si>
  <si>
    <t>d=</t>
  </si>
  <si>
    <t>Bar size =</t>
  </si>
  <si>
    <t>&lt;0.167 No com needed</t>
  </si>
  <si>
    <t>z=</t>
  </si>
  <si>
    <t>As max=</t>
  </si>
  <si>
    <t>As taken =</t>
  </si>
  <si>
    <t>Verticle shear</t>
  </si>
  <si>
    <t>Ved=</t>
  </si>
  <si>
    <t>Design shear resistance =</t>
  </si>
  <si>
    <t>Asl determination</t>
  </si>
  <si>
    <t>cnom =</t>
  </si>
  <si>
    <t>Side length =</t>
  </si>
  <si>
    <t>8H8</t>
  </si>
  <si>
    <t>Punching shear</t>
  </si>
  <si>
    <t>2d=</t>
  </si>
  <si>
    <t>perimeter=</t>
  </si>
  <si>
    <t>area =</t>
  </si>
  <si>
    <t>40bar+d=</t>
  </si>
  <si>
    <t>available length =</t>
  </si>
  <si>
    <t>Punching shear force=</t>
  </si>
  <si>
    <t>Shear at column perimeter</t>
  </si>
  <si>
    <t>axia force =</t>
  </si>
  <si>
    <t>&gt;250mm</t>
  </si>
  <si>
    <t>fs =</t>
  </si>
  <si>
    <t>Using design crack 0.3mm</t>
  </si>
  <si>
    <t>Taking for 320N/mm2</t>
  </si>
  <si>
    <t>Max sapcing=</t>
  </si>
  <si>
    <t>Max bar size =</t>
  </si>
  <si>
    <t>Spacing right now =</t>
  </si>
  <si>
    <t>No rof bar req =</t>
  </si>
  <si>
    <t>Taking 13 bars</t>
  </si>
  <si>
    <t>13H8-100</t>
  </si>
  <si>
    <t>I=</t>
  </si>
  <si>
    <t>y=</t>
  </si>
  <si>
    <t>H =</t>
  </si>
  <si>
    <t>M allowable</t>
  </si>
  <si>
    <t>@SLS</t>
  </si>
  <si>
    <t>N=</t>
  </si>
  <si>
    <t>M allowable =</t>
  </si>
  <si>
    <t>1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</si>
</sst>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1" fillId="0" borderId="7" xfId="0" applyFont="1" applyBorder="1"/>
    <xf numFmtId="0" fontId="0" fillId="0" borderId="8" xfId="0" applyBorder="1"/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7" borderId="7" xfId="0" applyFill="1" applyBorder="1"/>
    <xf numFmtId="0" fontId="4" fillId="0" borderId="4" xfId="0" applyFont="1" applyBorder="1"/>
    <xf numFmtId="0" fontId="0" fillId="8" borderId="0" xfId="0" applyFill="1"/>
    <xf numFmtId="0" fontId="4" fillId="0" borderId="0" xfId="0" applyFont="1"/>
    <xf numFmtId="0" fontId="0" fillId="9" borderId="1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0" borderId="12" xfId="0" applyBorder="1"/>
    <xf numFmtId="0" fontId="0" fillId="0" borderId="13" xfId="0" applyBorder="1"/>
    <xf numFmtId="0" fontId="0" fillId="7" borderId="13" xfId="0" applyFill="1" applyBorder="1"/>
    <xf numFmtId="0" fontId="0" fillId="7" borderId="14" xfId="0" applyFill="1" applyBorder="1"/>
    <xf numFmtId="0" fontId="0" fillId="7" borderId="5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3" borderId="0" xfId="0" quotePrefix="1" applyFill="1"/>
    <xf numFmtId="0" fontId="0" fillId="13" borderId="1" xfId="0" applyFill="1" applyBorder="1"/>
    <xf numFmtId="0" fontId="0" fillId="13" borderId="3" xfId="0" applyFill="1" applyBorder="1"/>
    <xf numFmtId="0" fontId="0" fillId="13" borderId="6" xfId="0" applyFill="1" applyBorder="1"/>
    <xf numFmtId="0" fontId="0" fillId="13" borderId="8" xfId="0" applyFill="1" applyBorder="1"/>
    <xf numFmtId="0" fontId="0" fillId="0" borderId="0" xfId="0" quotePrefix="1"/>
    <xf numFmtId="0" fontId="1" fillId="10" borderId="7" xfId="0" applyFont="1" applyFill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45720</xdr:rowOff>
    </xdr:from>
    <xdr:to>
      <xdr:col>7</xdr:col>
      <xdr:colOff>23232</xdr:colOff>
      <xdr:row>37</xdr:row>
      <xdr:rowOff>130072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430E1-59E7-FA5F-94FD-F0043640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7240"/>
          <a:ext cx="4290432" cy="6134632"/>
        </a:xfrm>
        <a:prstGeom prst="rect">
          <a:avLst/>
        </a:prstGeom>
      </xdr:spPr>
    </xdr:pic>
    <xdr:clientData/>
  </xdr:twoCellAnchor>
  <xdr:oneCellAnchor>
    <xdr:from>
      <xdr:col>0</xdr:col>
      <xdr:colOff>68580</xdr:colOff>
      <xdr:row>19</xdr:row>
      <xdr:rowOff>144780</xdr:rowOff>
    </xdr:from>
    <xdr:ext cx="78079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58F61A-A963-8D73-5D10-53CB891C839A}"/>
            </a:ext>
          </a:extLst>
        </xdr:cNvPr>
        <xdr:cNvSpPr txBox="1"/>
      </xdr:nvSpPr>
      <xdr:spPr>
        <a:xfrm>
          <a:off x="68580" y="2887980"/>
          <a:ext cx="780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Roof Level</a:t>
          </a:r>
        </a:p>
      </xdr:txBody>
    </xdr:sp>
    <xdr:clientData/>
  </xdr:oneCellAnchor>
  <xdr:oneCellAnchor>
    <xdr:from>
      <xdr:col>0</xdr:col>
      <xdr:colOff>76200</xdr:colOff>
      <xdr:row>24</xdr:row>
      <xdr:rowOff>114300</xdr:rowOff>
    </xdr:from>
    <xdr:ext cx="68627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5A2EE33-5BF0-4365-9F0D-48CDFA5D5B2D}"/>
            </a:ext>
          </a:extLst>
        </xdr:cNvPr>
        <xdr:cNvSpPr txBox="1"/>
      </xdr:nvSpPr>
      <xdr:spPr>
        <a:xfrm>
          <a:off x="76200" y="3771900"/>
          <a:ext cx="686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1st Level</a:t>
          </a:r>
        </a:p>
      </xdr:txBody>
    </xdr:sp>
    <xdr:clientData/>
  </xdr:oneCellAnchor>
  <xdr:oneCellAnchor>
    <xdr:from>
      <xdr:col>0</xdr:col>
      <xdr:colOff>53340</xdr:colOff>
      <xdr:row>31</xdr:row>
      <xdr:rowOff>22860</xdr:rowOff>
    </xdr:from>
    <xdr:ext cx="73212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B174D7-A3D1-421C-85CC-9C4F8AC663A2}"/>
            </a:ext>
          </a:extLst>
        </xdr:cNvPr>
        <xdr:cNvSpPr txBox="1"/>
      </xdr:nvSpPr>
      <xdr:spPr>
        <a:xfrm>
          <a:off x="53340" y="4960620"/>
          <a:ext cx="7321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2nd Level</a:t>
          </a:r>
        </a:p>
      </xdr:txBody>
    </xdr:sp>
    <xdr:clientData/>
  </xdr:oneCellAnchor>
  <xdr:oneCellAnchor>
    <xdr:from>
      <xdr:col>2</xdr:col>
      <xdr:colOff>403860</xdr:colOff>
      <xdr:row>17</xdr:row>
      <xdr:rowOff>106680</xdr:rowOff>
    </xdr:from>
    <xdr:ext cx="615233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239CC15-3FFE-4A27-93A3-166AEA2F9D40}"/>
            </a:ext>
          </a:extLst>
        </xdr:cNvPr>
        <xdr:cNvSpPr txBox="1"/>
      </xdr:nvSpPr>
      <xdr:spPr>
        <a:xfrm>
          <a:off x="1623060" y="2484120"/>
          <a:ext cx="6152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Beam</a:t>
          </a:r>
          <a:r>
            <a:rPr lang="en-MY" sz="1100" baseline="0"/>
            <a:t> 1</a:t>
          </a:r>
          <a:endParaRPr lang="en-MY" sz="1100"/>
        </a:p>
      </xdr:txBody>
    </xdr:sp>
    <xdr:clientData/>
  </xdr:oneCellAnchor>
  <xdr:oneCellAnchor>
    <xdr:from>
      <xdr:col>4</xdr:col>
      <xdr:colOff>236220</xdr:colOff>
      <xdr:row>17</xdr:row>
      <xdr:rowOff>137160</xdr:rowOff>
    </xdr:from>
    <xdr:ext cx="61523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6A8B424-1BEE-4B61-ADE7-D7D073BC4EDB}"/>
            </a:ext>
          </a:extLst>
        </xdr:cNvPr>
        <xdr:cNvSpPr txBox="1"/>
      </xdr:nvSpPr>
      <xdr:spPr>
        <a:xfrm>
          <a:off x="2674620" y="2514600"/>
          <a:ext cx="6152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Beam 2</a:t>
          </a:r>
        </a:p>
      </xdr:txBody>
    </xdr:sp>
    <xdr:clientData/>
  </xdr:oneCellAnchor>
  <xdr:oneCellAnchor>
    <xdr:from>
      <xdr:col>4</xdr:col>
      <xdr:colOff>251460</xdr:colOff>
      <xdr:row>23</xdr:row>
      <xdr:rowOff>76200</xdr:rowOff>
    </xdr:from>
    <xdr:ext cx="615233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EE03B91-943B-4C13-A339-90952B1145FA}"/>
            </a:ext>
          </a:extLst>
        </xdr:cNvPr>
        <xdr:cNvSpPr txBox="1"/>
      </xdr:nvSpPr>
      <xdr:spPr>
        <a:xfrm>
          <a:off x="2689860" y="3550920"/>
          <a:ext cx="6152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Beam 4</a:t>
          </a:r>
        </a:p>
      </xdr:txBody>
    </xdr:sp>
    <xdr:clientData/>
  </xdr:oneCellAnchor>
  <xdr:oneCellAnchor>
    <xdr:from>
      <xdr:col>2</xdr:col>
      <xdr:colOff>350520</xdr:colOff>
      <xdr:row>23</xdr:row>
      <xdr:rowOff>114300</xdr:rowOff>
    </xdr:from>
    <xdr:ext cx="61523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4FBF7A-400C-4D98-B0CF-761FC995FC65}"/>
            </a:ext>
          </a:extLst>
        </xdr:cNvPr>
        <xdr:cNvSpPr txBox="1"/>
      </xdr:nvSpPr>
      <xdr:spPr>
        <a:xfrm>
          <a:off x="1569720" y="3589020"/>
          <a:ext cx="6152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Beam 3</a:t>
          </a:r>
        </a:p>
      </xdr:txBody>
    </xdr:sp>
    <xdr:clientData/>
  </xdr:oneCellAnchor>
  <xdr:oneCellAnchor>
    <xdr:from>
      <xdr:col>3</xdr:col>
      <xdr:colOff>60960</xdr:colOff>
      <xdr:row>29</xdr:row>
      <xdr:rowOff>137160</xdr:rowOff>
    </xdr:from>
    <xdr:ext cx="61523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E4148E5-75DC-4840-8513-8CF4266F05C6}"/>
            </a:ext>
          </a:extLst>
        </xdr:cNvPr>
        <xdr:cNvSpPr txBox="1"/>
      </xdr:nvSpPr>
      <xdr:spPr>
        <a:xfrm>
          <a:off x="1889760" y="4709160"/>
          <a:ext cx="6152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Beam 5</a:t>
          </a:r>
        </a:p>
      </xdr:txBody>
    </xdr:sp>
    <xdr:clientData/>
  </xdr:oneCellAnchor>
  <xdr:twoCellAnchor editAs="oneCell">
    <xdr:from>
      <xdr:col>10</xdr:col>
      <xdr:colOff>373380</xdr:colOff>
      <xdr:row>5</xdr:row>
      <xdr:rowOff>45720</xdr:rowOff>
    </xdr:from>
    <xdr:to>
      <xdr:col>18</xdr:col>
      <xdr:colOff>526222</xdr:colOff>
      <xdr:row>17</xdr:row>
      <xdr:rowOff>129778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20B8575-1ACE-8AC0-A006-2EFC6BAE5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9380" y="960120"/>
          <a:ext cx="5105842" cy="2286238"/>
        </a:xfrm>
        <a:prstGeom prst="rect">
          <a:avLst/>
        </a:prstGeom>
      </xdr:spPr>
    </xdr:pic>
    <xdr:clientData/>
  </xdr:twoCellAnchor>
  <xdr:oneCellAnchor>
    <xdr:from>
      <xdr:col>14</xdr:col>
      <xdr:colOff>601980</xdr:colOff>
      <xdr:row>13</xdr:row>
      <xdr:rowOff>45720</xdr:rowOff>
    </xdr:from>
    <xdr:ext cx="33291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4DE61DA-842E-6491-D7BC-E4BDD6E7D93A}"/>
            </a:ext>
          </a:extLst>
        </xdr:cNvPr>
        <xdr:cNvSpPr txBox="1"/>
      </xdr:nvSpPr>
      <xdr:spPr>
        <a:xfrm>
          <a:off x="9136380" y="2423160"/>
          <a:ext cx="3329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B2</a:t>
          </a:r>
        </a:p>
      </xdr:txBody>
    </xdr:sp>
    <xdr:clientData/>
  </xdr:oneCellAnchor>
  <xdr:oneCellAnchor>
    <xdr:from>
      <xdr:col>11</xdr:col>
      <xdr:colOff>464820</xdr:colOff>
      <xdr:row>13</xdr:row>
      <xdr:rowOff>30480</xdr:rowOff>
    </xdr:from>
    <xdr:ext cx="332912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C13336-D531-4780-997A-8EEB240E076E}"/>
            </a:ext>
          </a:extLst>
        </xdr:cNvPr>
        <xdr:cNvSpPr txBox="1"/>
      </xdr:nvSpPr>
      <xdr:spPr>
        <a:xfrm>
          <a:off x="7170420" y="2407920"/>
          <a:ext cx="3329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B1</a:t>
          </a:r>
        </a:p>
      </xdr:txBody>
    </xdr:sp>
    <xdr:clientData/>
  </xdr:oneCellAnchor>
  <xdr:oneCellAnchor>
    <xdr:from>
      <xdr:col>16</xdr:col>
      <xdr:colOff>487680</xdr:colOff>
      <xdr:row>15</xdr:row>
      <xdr:rowOff>99060</xdr:rowOff>
    </xdr:from>
    <xdr:ext cx="332912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2EC2A1F-7A9A-4A64-B37A-1C49130283A6}"/>
            </a:ext>
          </a:extLst>
        </xdr:cNvPr>
        <xdr:cNvSpPr txBox="1"/>
      </xdr:nvSpPr>
      <xdr:spPr>
        <a:xfrm>
          <a:off x="10241280" y="2842260"/>
          <a:ext cx="3329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B3</a:t>
          </a:r>
        </a:p>
      </xdr:txBody>
    </xdr:sp>
    <xdr:clientData/>
  </xdr:oneCellAnchor>
  <xdr:oneCellAnchor>
    <xdr:from>
      <xdr:col>13</xdr:col>
      <xdr:colOff>228600</xdr:colOff>
      <xdr:row>16</xdr:row>
      <xdr:rowOff>0</xdr:rowOff>
    </xdr:from>
    <xdr:ext cx="332912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745F93-701B-4BD0-9189-15652D1514D2}"/>
            </a:ext>
          </a:extLst>
        </xdr:cNvPr>
        <xdr:cNvSpPr txBox="1"/>
      </xdr:nvSpPr>
      <xdr:spPr>
        <a:xfrm>
          <a:off x="8153400" y="2926080"/>
          <a:ext cx="3329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B4</a:t>
          </a:r>
        </a:p>
      </xdr:txBody>
    </xdr:sp>
    <xdr:clientData/>
  </xdr:oneCellAnchor>
  <xdr:oneCellAnchor>
    <xdr:from>
      <xdr:col>10</xdr:col>
      <xdr:colOff>259080</xdr:colOff>
      <xdr:row>16</xdr:row>
      <xdr:rowOff>38100</xdr:rowOff>
    </xdr:from>
    <xdr:ext cx="332912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6F7722-3742-449C-AD75-D289FC5B531F}"/>
            </a:ext>
          </a:extLst>
        </xdr:cNvPr>
        <xdr:cNvSpPr txBox="1"/>
      </xdr:nvSpPr>
      <xdr:spPr>
        <a:xfrm>
          <a:off x="6355080" y="2964180"/>
          <a:ext cx="3329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B5</a:t>
          </a:r>
        </a:p>
      </xdr:txBody>
    </xdr:sp>
    <xdr:clientData/>
  </xdr:oneCellAnchor>
  <xdr:oneCellAnchor>
    <xdr:from>
      <xdr:col>1</xdr:col>
      <xdr:colOff>243840</xdr:colOff>
      <xdr:row>17</xdr:row>
      <xdr:rowOff>106680</xdr:rowOff>
    </xdr:from>
    <xdr:ext cx="26629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DB580A3-1629-4F3D-B65D-C55A3E6DC3E1}"/>
            </a:ext>
          </a:extLst>
        </xdr:cNvPr>
        <xdr:cNvSpPr txBox="1"/>
      </xdr:nvSpPr>
      <xdr:spPr>
        <a:xfrm>
          <a:off x="853440" y="3215640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</a:t>
          </a:r>
        </a:p>
      </xdr:txBody>
    </xdr:sp>
    <xdr:clientData/>
  </xdr:oneCellAnchor>
  <xdr:oneCellAnchor>
    <xdr:from>
      <xdr:col>5</xdr:col>
      <xdr:colOff>358140</xdr:colOff>
      <xdr:row>17</xdr:row>
      <xdr:rowOff>83820</xdr:rowOff>
    </xdr:from>
    <xdr:ext cx="259879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9090DBB-62F3-44EF-A899-24EACABAF1E0}"/>
            </a:ext>
          </a:extLst>
        </xdr:cNvPr>
        <xdr:cNvSpPr txBox="1"/>
      </xdr:nvSpPr>
      <xdr:spPr>
        <a:xfrm>
          <a:off x="3406140" y="3192780"/>
          <a:ext cx="259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C</a:t>
          </a:r>
        </a:p>
      </xdr:txBody>
    </xdr:sp>
    <xdr:clientData/>
  </xdr:oneCellAnchor>
  <xdr:oneCellAnchor>
    <xdr:from>
      <xdr:col>5</xdr:col>
      <xdr:colOff>571500</xdr:colOff>
      <xdr:row>23</xdr:row>
      <xdr:rowOff>160020</xdr:rowOff>
    </xdr:from>
    <xdr:ext cx="249492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F6D2427-6B53-407A-BE86-2D6A459F3D11}"/>
            </a:ext>
          </a:extLst>
        </xdr:cNvPr>
        <xdr:cNvSpPr txBox="1"/>
      </xdr:nvSpPr>
      <xdr:spPr>
        <a:xfrm>
          <a:off x="3619500" y="4366260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F</a:t>
          </a:r>
        </a:p>
      </xdr:txBody>
    </xdr:sp>
    <xdr:clientData/>
  </xdr:oneCellAnchor>
  <xdr:oneCellAnchor>
    <xdr:from>
      <xdr:col>1</xdr:col>
      <xdr:colOff>251460</xdr:colOff>
      <xdr:row>23</xdr:row>
      <xdr:rowOff>167640</xdr:rowOff>
    </xdr:from>
    <xdr:ext cx="271485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4CFA52F-8758-40EC-BDC9-B9CEF97574DD}"/>
            </a:ext>
          </a:extLst>
        </xdr:cNvPr>
        <xdr:cNvSpPr txBox="1"/>
      </xdr:nvSpPr>
      <xdr:spPr>
        <a:xfrm>
          <a:off x="861060" y="4373880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D</a:t>
          </a:r>
        </a:p>
      </xdr:txBody>
    </xdr:sp>
    <xdr:clientData/>
  </xdr:oneCellAnchor>
  <xdr:twoCellAnchor editAs="oneCell">
    <xdr:from>
      <xdr:col>18</xdr:col>
      <xdr:colOff>1082040</xdr:colOff>
      <xdr:row>49</xdr:row>
      <xdr:rowOff>114301</xdr:rowOff>
    </xdr:from>
    <xdr:to>
      <xdr:col>24</xdr:col>
      <xdr:colOff>320040</xdr:colOff>
      <xdr:row>59</xdr:row>
      <xdr:rowOff>45734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136966A-BE2F-D8ED-9156-20176B412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2560" y="9098281"/>
          <a:ext cx="3550920" cy="1760233"/>
        </a:xfrm>
        <a:prstGeom prst="rect">
          <a:avLst/>
        </a:prstGeom>
      </xdr:spPr>
    </xdr:pic>
    <xdr:clientData/>
  </xdr:twoCellAnchor>
  <xdr:twoCellAnchor editAs="oneCell">
    <xdr:from>
      <xdr:col>17</xdr:col>
      <xdr:colOff>243840</xdr:colOff>
      <xdr:row>67</xdr:row>
      <xdr:rowOff>106680</xdr:rowOff>
    </xdr:from>
    <xdr:to>
      <xdr:col>24</xdr:col>
      <xdr:colOff>282370</xdr:colOff>
      <xdr:row>82</xdr:row>
      <xdr:rowOff>129780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2B0EF3F-B52B-9141-5DC3-E38742C1C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3240" y="12405360"/>
          <a:ext cx="4961050" cy="2766300"/>
        </a:xfrm>
        <a:prstGeom prst="rect">
          <a:avLst/>
        </a:prstGeom>
      </xdr:spPr>
    </xdr:pic>
    <xdr:clientData/>
  </xdr:twoCellAnchor>
  <xdr:oneCellAnchor>
    <xdr:from>
      <xdr:col>36</xdr:col>
      <xdr:colOff>91440</xdr:colOff>
      <xdr:row>48</xdr:row>
      <xdr:rowOff>7621</xdr:rowOff>
    </xdr:from>
    <xdr:ext cx="3550920" cy="1760233"/>
    <xdr:pic>
      <xdr:nvPicPr>
        <xdr:cNvPr id="31" name="Picture 30">
          <a:extLst>
            <a:ext uri="{FF2B5EF4-FFF2-40B4-BE49-F238E27FC236}">
              <a16:creationId xmlns:a16="http://schemas.microsoft.com/office/drawing/2014/main" id="{5DDC7B9A-1536-4DD2-B384-DBA0AF13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8560" y="8816341"/>
          <a:ext cx="3550920" cy="176023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99060</xdr:colOff>
      <xdr:row>3</xdr:row>
      <xdr:rowOff>76200</xdr:rowOff>
    </xdr:from>
    <xdr:to>
      <xdr:col>14</xdr:col>
      <xdr:colOff>106680</xdr:colOff>
      <xdr:row>14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88D8405-BB62-9807-A6FE-0E2777D90FFA}"/>
            </a:ext>
          </a:extLst>
        </xdr:cNvPr>
        <xdr:cNvCxnSpPr/>
      </xdr:nvCxnSpPr>
      <xdr:spPr>
        <a:xfrm flipH="1">
          <a:off x="8778240" y="624840"/>
          <a:ext cx="7620" cy="207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245745</xdr:colOff>
      <xdr:row>10</xdr:row>
      <xdr:rowOff>104775</xdr:rowOff>
    </xdr:from>
    <xdr:to>
      <xdr:col>18</xdr:col>
      <xdr:colOff>352425</xdr:colOff>
      <xdr:row>10</xdr:row>
      <xdr:rowOff>120015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F0C5B1C-29B4-653F-9809-5B755A3414F1}"/>
            </a:ext>
          </a:extLst>
        </xdr:cNvPr>
        <xdr:cNvCxnSpPr/>
      </xdr:nvCxnSpPr>
      <xdr:spPr>
        <a:xfrm flipV="1">
          <a:off x="8803958" y="1914525"/>
          <a:ext cx="3411855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361950</xdr:colOff>
      <xdr:row>2</xdr:row>
      <xdr:rowOff>24765</xdr:rowOff>
    </xdr:from>
    <xdr:to>
      <xdr:col>23</xdr:col>
      <xdr:colOff>148941</xdr:colOff>
      <xdr:row>20</xdr:row>
      <xdr:rowOff>177463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59612E-6ADA-90DB-43D8-E56EA8FB3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9938" y="386715"/>
          <a:ext cx="4320891" cy="3410248"/>
        </a:xfrm>
        <a:prstGeom prst="rect">
          <a:avLst/>
        </a:prstGeom>
      </xdr:spPr>
    </xdr:pic>
    <xdr:clientData/>
  </xdr:twoCellAnchor>
  <xdr:twoCellAnchor editAs="oneCell">
    <xdr:from>
      <xdr:col>17</xdr:col>
      <xdr:colOff>441960</xdr:colOff>
      <xdr:row>22</xdr:row>
      <xdr:rowOff>45720</xdr:rowOff>
    </xdr:from>
    <xdr:to>
      <xdr:col>21</xdr:col>
      <xdr:colOff>571723</xdr:colOff>
      <xdr:row>36</xdr:row>
      <xdr:rowOff>91666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B19754-33A9-8D33-96F8-AE1D13270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9940" y="4069080"/>
          <a:ext cx="2568163" cy="2606266"/>
        </a:xfrm>
        <a:prstGeom prst="rect">
          <a:avLst/>
        </a:prstGeom>
      </xdr:spPr>
    </xdr:pic>
    <xdr:clientData/>
  </xdr:twoCellAnchor>
  <xdr:twoCellAnchor editAs="oneCell">
    <xdr:from>
      <xdr:col>17</xdr:col>
      <xdr:colOff>144780</xdr:colOff>
      <xdr:row>50</xdr:row>
      <xdr:rowOff>160020</xdr:rowOff>
    </xdr:from>
    <xdr:to>
      <xdr:col>23</xdr:col>
      <xdr:colOff>510889</xdr:colOff>
      <xdr:row>65</xdr:row>
      <xdr:rowOff>137396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436072-2216-A209-2230-B3BB28393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2760" y="9304020"/>
          <a:ext cx="4023709" cy="272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3</xdr:row>
      <xdr:rowOff>68580</xdr:rowOff>
    </xdr:from>
    <xdr:to>
      <xdr:col>17</xdr:col>
      <xdr:colOff>586740</xdr:colOff>
      <xdr:row>16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3345465-FC4D-51AA-8FD0-66CAFC8AFA6B}"/>
            </a:ext>
          </a:extLst>
        </xdr:cNvPr>
        <xdr:cNvSpPr/>
      </xdr:nvSpPr>
      <xdr:spPr>
        <a:xfrm>
          <a:off x="8983980" y="617220"/>
          <a:ext cx="2385060" cy="23850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289560</xdr:colOff>
      <xdr:row>8</xdr:row>
      <xdr:rowOff>91440</xdr:rowOff>
    </xdr:from>
    <xdr:to>
      <xdr:col>16</xdr:col>
      <xdr:colOff>152400</xdr:colOff>
      <xdr:row>11</xdr:row>
      <xdr:rowOff>15240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77EC32-51FD-F4FA-4105-33755CC515A8}"/>
            </a:ext>
          </a:extLst>
        </xdr:cNvPr>
        <xdr:cNvSpPr/>
      </xdr:nvSpPr>
      <xdr:spPr>
        <a:xfrm>
          <a:off x="9852660" y="1554480"/>
          <a:ext cx="472440" cy="4724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297180</xdr:colOff>
      <xdr:row>6</xdr:row>
      <xdr:rowOff>53340</xdr:rowOff>
    </xdr:from>
    <xdr:to>
      <xdr:col>16</xdr:col>
      <xdr:colOff>121920</xdr:colOff>
      <xdr:row>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44B5CDD-5889-0B29-0F5C-CADF3232F8FC}"/>
            </a:ext>
          </a:extLst>
        </xdr:cNvPr>
        <xdr:cNvSpPr txBox="1"/>
      </xdr:nvSpPr>
      <xdr:spPr>
        <a:xfrm>
          <a:off x="9860280" y="1150620"/>
          <a:ext cx="4343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400</a:t>
          </a:r>
        </a:p>
      </xdr:txBody>
    </xdr:sp>
    <xdr:clientData/>
  </xdr:twoCellAnchor>
  <xdr:twoCellAnchor>
    <xdr:from>
      <xdr:col>16</xdr:col>
      <xdr:colOff>228600</xdr:colOff>
      <xdr:row>8</xdr:row>
      <xdr:rowOff>129540</xdr:rowOff>
    </xdr:from>
    <xdr:to>
      <xdr:col>17</xdr:col>
      <xdr:colOff>53340</xdr:colOff>
      <xdr:row>10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154EF3-C2B7-45D3-9F8E-3FB485509435}"/>
            </a:ext>
          </a:extLst>
        </xdr:cNvPr>
        <xdr:cNvSpPr txBox="1"/>
      </xdr:nvSpPr>
      <xdr:spPr>
        <a:xfrm>
          <a:off x="10401300" y="1592580"/>
          <a:ext cx="4343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400</a:t>
          </a:r>
        </a:p>
      </xdr:txBody>
    </xdr:sp>
    <xdr:clientData/>
  </xdr:twoCellAnchor>
  <xdr:twoCellAnchor>
    <xdr:from>
      <xdr:col>16</xdr:col>
      <xdr:colOff>487680</xdr:colOff>
      <xdr:row>1</xdr:row>
      <xdr:rowOff>129540</xdr:rowOff>
    </xdr:from>
    <xdr:to>
      <xdr:col>17</xdr:col>
      <xdr:colOff>312420</xdr:colOff>
      <xdr:row>3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B8641A-AA90-41A5-AA9B-899265EF8267}"/>
            </a:ext>
          </a:extLst>
        </xdr:cNvPr>
        <xdr:cNvSpPr txBox="1"/>
      </xdr:nvSpPr>
      <xdr:spPr>
        <a:xfrm>
          <a:off x="10660380" y="312420"/>
          <a:ext cx="4343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550</a:t>
          </a:r>
        </a:p>
      </xdr:txBody>
    </xdr:sp>
    <xdr:clientData/>
  </xdr:twoCellAnchor>
  <xdr:twoCellAnchor>
    <xdr:from>
      <xdr:col>14</xdr:col>
      <xdr:colOff>121920</xdr:colOff>
      <xdr:row>1</xdr:row>
      <xdr:rowOff>83820</xdr:rowOff>
    </xdr:from>
    <xdr:to>
      <xdr:col>14</xdr:col>
      <xdr:colOff>556260</xdr:colOff>
      <xdr:row>3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CEA946D-FEA0-48C9-92FA-BEB51A659878}"/>
            </a:ext>
          </a:extLst>
        </xdr:cNvPr>
        <xdr:cNvSpPr txBox="1"/>
      </xdr:nvSpPr>
      <xdr:spPr>
        <a:xfrm>
          <a:off x="9075420" y="266700"/>
          <a:ext cx="4343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550</a:t>
          </a:r>
        </a:p>
      </xdr:txBody>
    </xdr:sp>
    <xdr:clientData/>
  </xdr:twoCellAnchor>
  <xdr:twoCellAnchor>
    <xdr:from>
      <xdr:col>18</xdr:col>
      <xdr:colOff>45720</xdr:colOff>
      <xdr:row>4</xdr:row>
      <xdr:rowOff>76200</xdr:rowOff>
    </xdr:from>
    <xdr:to>
      <xdr:col>18</xdr:col>
      <xdr:colOff>480060</xdr:colOff>
      <xdr:row>6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CB8E180-23B6-4197-9C8B-AB3D910AEDC2}"/>
            </a:ext>
          </a:extLst>
        </xdr:cNvPr>
        <xdr:cNvSpPr txBox="1"/>
      </xdr:nvSpPr>
      <xdr:spPr>
        <a:xfrm>
          <a:off x="11437620" y="807720"/>
          <a:ext cx="4343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550</a:t>
          </a:r>
        </a:p>
      </xdr:txBody>
    </xdr:sp>
    <xdr:clientData/>
  </xdr:twoCellAnchor>
  <xdr:twoCellAnchor>
    <xdr:from>
      <xdr:col>18</xdr:col>
      <xdr:colOff>129540</xdr:colOff>
      <xdr:row>14</xdr:row>
      <xdr:rowOff>22860</xdr:rowOff>
    </xdr:from>
    <xdr:to>
      <xdr:col>18</xdr:col>
      <xdr:colOff>563880</xdr:colOff>
      <xdr:row>15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4B36F0-CCED-4CCA-8E18-97980B3845F4}"/>
            </a:ext>
          </a:extLst>
        </xdr:cNvPr>
        <xdr:cNvSpPr txBox="1"/>
      </xdr:nvSpPr>
      <xdr:spPr>
        <a:xfrm>
          <a:off x="11521440" y="2583180"/>
          <a:ext cx="4343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550</a:t>
          </a:r>
        </a:p>
      </xdr:txBody>
    </xdr:sp>
    <xdr:clientData/>
  </xdr:twoCellAnchor>
  <xdr:twoCellAnchor>
    <xdr:from>
      <xdr:col>18</xdr:col>
      <xdr:colOff>182880</xdr:colOff>
      <xdr:row>9</xdr:row>
      <xdr:rowOff>0</xdr:rowOff>
    </xdr:from>
    <xdr:to>
      <xdr:col>19</xdr:col>
      <xdr:colOff>7620</xdr:colOff>
      <xdr:row>10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34B448-8346-434C-A418-5ACA67FE3DAE}"/>
            </a:ext>
          </a:extLst>
        </xdr:cNvPr>
        <xdr:cNvSpPr txBox="1"/>
      </xdr:nvSpPr>
      <xdr:spPr>
        <a:xfrm>
          <a:off x="11574780" y="1645920"/>
          <a:ext cx="4343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400</a:t>
          </a:r>
        </a:p>
      </xdr:txBody>
    </xdr:sp>
    <xdr:clientData/>
  </xdr:twoCellAnchor>
  <xdr:twoCellAnchor>
    <xdr:from>
      <xdr:col>15</xdr:col>
      <xdr:colOff>289560</xdr:colOff>
      <xdr:row>1</xdr:row>
      <xdr:rowOff>38100</xdr:rowOff>
    </xdr:from>
    <xdr:to>
      <xdr:col>16</xdr:col>
      <xdr:colOff>114300</xdr:colOff>
      <xdr:row>2</xdr:row>
      <xdr:rowOff>167640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D44730B-CCEC-4129-B867-67BCBD87B23E}"/>
            </a:ext>
          </a:extLst>
        </xdr:cNvPr>
        <xdr:cNvSpPr txBox="1"/>
      </xdr:nvSpPr>
      <xdr:spPr>
        <a:xfrm>
          <a:off x="9852660" y="220980"/>
          <a:ext cx="4343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400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04D-7D33-4732-A7BA-CE08BE58FE8E}">
  <dimension ref="A2:S77"/>
  <sheetViews>
    <sheetView topLeftCell="A54" workbookViewId="0">
      <selection activeCell="H24" sqref="H24"/>
    </sheetView>
  </sheetViews>
  <sheetFormatPr defaultRowHeight="14.25" x14ac:dyDescent="0.45"/>
  <cols>
    <col min="2" max="2" width="8.86328125" customWidth="1"/>
  </cols>
  <sheetData>
    <row r="2" spans="1:19" x14ac:dyDescent="0.45">
      <c r="B2" t="s">
        <v>0</v>
      </c>
      <c r="F2" t="s">
        <v>5</v>
      </c>
      <c r="J2" t="s">
        <v>9</v>
      </c>
      <c r="N2" t="s">
        <v>14</v>
      </c>
    </row>
    <row r="4" spans="1:19" x14ac:dyDescent="0.45">
      <c r="B4" t="s">
        <v>1</v>
      </c>
      <c r="C4" s="1">
        <v>175</v>
      </c>
      <c r="D4" t="s">
        <v>4</v>
      </c>
      <c r="F4" t="s">
        <v>6</v>
      </c>
      <c r="G4" s="1">
        <v>1.5</v>
      </c>
      <c r="H4" t="s">
        <v>8</v>
      </c>
      <c r="J4" t="s">
        <v>10</v>
      </c>
      <c r="K4" s="1">
        <v>30</v>
      </c>
      <c r="L4" t="s">
        <v>8</v>
      </c>
      <c r="N4" t="s">
        <v>15</v>
      </c>
      <c r="P4" s="1">
        <v>20</v>
      </c>
      <c r="Q4" t="s">
        <v>4</v>
      </c>
      <c r="R4" t="s">
        <v>67</v>
      </c>
    </row>
    <row r="5" spans="1:19" x14ac:dyDescent="0.45">
      <c r="B5" t="s">
        <v>2</v>
      </c>
      <c r="C5" s="1">
        <v>210</v>
      </c>
      <c r="D5" t="s">
        <v>4</v>
      </c>
      <c r="F5" t="s">
        <v>7</v>
      </c>
      <c r="G5" s="1">
        <v>2.5</v>
      </c>
      <c r="H5" t="s">
        <v>8</v>
      </c>
      <c r="J5" t="s">
        <v>11</v>
      </c>
      <c r="K5" s="1">
        <v>500</v>
      </c>
      <c r="L5" t="s">
        <v>8</v>
      </c>
      <c r="N5" t="s">
        <v>16</v>
      </c>
      <c r="P5" s="1">
        <v>10</v>
      </c>
      <c r="Q5" t="s">
        <v>4</v>
      </c>
    </row>
    <row r="6" spans="1:19" x14ac:dyDescent="0.45">
      <c r="B6" t="s">
        <v>3</v>
      </c>
      <c r="C6" s="1">
        <v>125</v>
      </c>
      <c r="D6" t="s">
        <v>4</v>
      </c>
      <c r="J6" t="s">
        <v>12</v>
      </c>
      <c r="K6" s="1">
        <v>25</v>
      </c>
      <c r="L6" t="s">
        <v>13</v>
      </c>
    </row>
    <row r="7" spans="1:19" ht="14.65" thickBot="1" x14ac:dyDescent="0.5"/>
    <row r="8" spans="1:19" x14ac:dyDescent="0.45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</row>
    <row r="9" spans="1:19" ht="14.65" thickBot="1" x14ac:dyDescent="0.5">
      <c r="A9" s="5"/>
      <c r="B9" s="5" t="s">
        <v>17</v>
      </c>
      <c r="S9" s="6"/>
    </row>
    <row r="10" spans="1:19" x14ac:dyDescent="0.45">
      <c r="A10" s="5"/>
      <c r="B10" s="2"/>
      <c r="C10" s="3" t="s"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/>
    </row>
    <row r="11" spans="1:19" x14ac:dyDescent="0.45">
      <c r="A11" s="5"/>
      <c r="B11" s="5" t="s">
        <v>19</v>
      </c>
      <c r="C11" t="s">
        <v>20</v>
      </c>
      <c r="D11" s="7">
        <f>C4*((C5^2+C6^2)^0.5/C5)</f>
        <v>203.65582349749894</v>
      </c>
      <c r="E11" t="s">
        <v>4</v>
      </c>
      <c r="S11" s="6"/>
    </row>
    <row r="12" spans="1:19" x14ac:dyDescent="0.45">
      <c r="A12" s="5"/>
      <c r="B12" s="5"/>
      <c r="C12" t="s">
        <v>21</v>
      </c>
      <c r="D12" s="7">
        <f>D11+C6/2</f>
        <v>266.15582349749894</v>
      </c>
      <c r="E12" t="s">
        <v>4</v>
      </c>
      <c r="S12" s="6"/>
    </row>
    <row r="13" spans="1:19" x14ac:dyDescent="0.45">
      <c r="A13" s="5"/>
      <c r="B13" s="5"/>
      <c r="S13" s="6"/>
    </row>
    <row r="14" spans="1:19" x14ac:dyDescent="0.45">
      <c r="A14" s="5"/>
      <c r="B14" s="5"/>
      <c r="C14" t="s">
        <v>22</v>
      </c>
      <c r="H14" t="s">
        <v>76</v>
      </c>
      <c r="M14" t="s">
        <v>77</v>
      </c>
      <c r="S14" s="6"/>
    </row>
    <row r="15" spans="1:19" x14ac:dyDescent="0.45">
      <c r="A15" s="5"/>
      <c r="B15" s="5"/>
      <c r="C15" t="s">
        <v>23</v>
      </c>
      <c r="E15" s="7">
        <f>D12/1000 *K6</f>
        <v>6.6538955874374732</v>
      </c>
      <c r="F15" t="s">
        <v>24</v>
      </c>
      <c r="H15" t="s">
        <v>23</v>
      </c>
      <c r="J15" s="7">
        <f>C4/1000*K6</f>
        <v>4.375</v>
      </c>
      <c r="K15" t="s">
        <v>24</v>
      </c>
      <c r="M15" t="s">
        <v>23</v>
      </c>
      <c r="O15" s="7">
        <f>C4/1000*K6</f>
        <v>4.375</v>
      </c>
      <c r="P15" t="s">
        <v>24</v>
      </c>
      <c r="S15" s="6"/>
    </row>
    <row r="16" spans="1:19" x14ac:dyDescent="0.45">
      <c r="A16" s="5"/>
      <c r="B16" s="5"/>
      <c r="C16" t="s">
        <v>6</v>
      </c>
      <c r="E16" s="7">
        <f>G4</f>
        <v>1.5</v>
      </c>
      <c r="F16" t="s">
        <v>24</v>
      </c>
      <c r="H16" t="s">
        <v>6</v>
      </c>
      <c r="J16" s="7">
        <f>G4</f>
        <v>1.5</v>
      </c>
      <c r="K16" t="s">
        <v>24</v>
      </c>
      <c r="M16" t="s">
        <v>6</v>
      </c>
      <c r="O16" s="7">
        <f>G4</f>
        <v>1.5</v>
      </c>
      <c r="P16" t="s">
        <v>24</v>
      </c>
      <c r="S16" s="6"/>
    </row>
    <row r="17" spans="1:19" x14ac:dyDescent="0.45">
      <c r="A17" s="5"/>
      <c r="B17" s="5"/>
      <c r="C17" t="s">
        <v>25</v>
      </c>
      <c r="E17" s="7">
        <f>SUM(E15:E16)</f>
        <v>8.1538955874374732</v>
      </c>
      <c r="F17" t="s">
        <v>24</v>
      </c>
      <c r="H17" t="s">
        <v>25</v>
      </c>
      <c r="J17" s="7">
        <f>SUM(J15:J16)</f>
        <v>5.875</v>
      </c>
      <c r="K17" t="s">
        <v>24</v>
      </c>
      <c r="M17" t="s">
        <v>25</v>
      </c>
      <c r="O17" s="7">
        <f>SUM(O15:O16)</f>
        <v>5.875</v>
      </c>
      <c r="P17" t="s">
        <v>24</v>
      </c>
      <c r="S17" s="6"/>
    </row>
    <row r="18" spans="1:19" x14ac:dyDescent="0.45">
      <c r="A18" s="5"/>
      <c r="B18" s="5"/>
      <c r="C18" t="s">
        <v>7</v>
      </c>
      <c r="E18" s="7">
        <f>G5</f>
        <v>2.5</v>
      </c>
      <c r="F18" t="s">
        <v>24</v>
      </c>
      <c r="H18" t="s">
        <v>7</v>
      </c>
      <c r="J18" s="7">
        <f>G5</f>
        <v>2.5</v>
      </c>
      <c r="K18" t="s">
        <v>24</v>
      </c>
      <c r="M18" t="s">
        <v>7</v>
      </c>
      <c r="O18" s="7">
        <f>G5</f>
        <v>2.5</v>
      </c>
      <c r="P18" t="s">
        <v>24</v>
      </c>
      <c r="S18" s="6"/>
    </row>
    <row r="19" spans="1:19" x14ac:dyDescent="0.45">
      <c r="A19" s="5"/>
      <c r="B19" s="5"/>
      <c r="C19" t="s">
        <v>79</v>
      </c>
      <c r="E19" s="1">
        <v>2.5</v>
      </c>
      <c r="F19" t="s">
        <v>28</v>
      </c>
      <c r="H19" t="s">
        <v>79</v>
      </c>
      <c r="J19" s="1">
        <v>1.2749999999999999</v>
      </c>
      <c r="K19" t="s">
        <v>28</v>
      </c>
      <c r="M19" t="s">
        <v>79</v>
      </c>
      <c r="O19" s="1">
        <v>1.3</v>
      </c>
      <c r="P19" t="s">
        <v>28</v>
      </c>
      <c r="S19" s="6"/>
    </row>
    <row r="20" spans="1:19" x14ac:dyDescent="0.45">
      <c r="A20" s="5"/>
      <c r="B20" s="5"/>
      <c r="C20" t="s">
        <v>26</v>
      </c>
      <c r="E20" s="7">
        <f>1.35*(E17)+1.5*E18</f>
        <v>14.75775904304059</v>
      </c>
      <c r="F20" t="s">
        <v>24</v>
      </c>
      <c r="H20" t="s">
        <v>26</v>
      </c>
      <c r="J20" s="7">
        <f>1.35*(J17)+1.5*J18</f>
        <v>11.68125</v>
      </c>
      <c r="K20" t="s">
        <v>24</v>
      </c>
      <c r="M20" t="s">
        <v>26</v>
      </c>
      <c r="O20" s="7">
        <f>1.35*(O17)+1.5*O18</f>
        <v>11.68125</v>
      </c>
      <c r="P20" t="s">
        <v>24</v>
      </c>
      <c r="S20" s="6"/>
    </row>
    <row r="21" spans="1:19" x14ac:dyDescent="0.45">
      <c r="A21" s="5"/>
      <c r="B21" s="5"/>
      <c r="C21" t="s">
        <v>80</v>
      </c>
      <c r="E21">
        <f>E19+J19</f>
        <v>3.7749999999999999</v>
      </c>
      <c r="S21" s="6"/>
    </row>
    <row r="22" spans="1:19" x14ac:dyDescent="0.45">
      <c r="A22" s="5"/>
      <c r="B22" s="5"/>
      <c r="C22" t="s">
        <v>78</v>
      </c>
      <c r="E22">
        <f>E20*E19+J20*J19</f>
        <v>51.787991357601477</v>
      </c>
      <c r="F22" t="s">
        <v>28</v>
      </c>
      <c r="S22" s="6"/>
    </row>
    <row r="23" spans="1:19" ht="14.65" thickBot="1" x14ac:dyDescent="0.5">
      <c r="A23" s="8"/>
      <c r="B23" s="8"/>
      <c r="C23" s="9" t="s">
        <v>27</v>
      </c>
      <c r="D23" s="9"/>
      <c r="E23" s="9" t="s">
        <v>29</v>
      </c>
      <c r="F23" s="10">
        <f>E22*E21/10</f>
        <v>19.549966737494557</v>
      </c>
      <c r="G23" s="9" t="s">
        <v>30</v>
      </c>
      <c r="H23" s="11"/>
      <c r="I23" s="9"/>
      <c r="J23" s="9"/>
      <c r="K23" s="9"/>
      <c r="L23" s="9"/>
      <c r="M23" s="9"/>
      <c r="N23" s="9"/>
      <c r="O23" s="9"/>
      <c r="P23" s="9"/>
      <c r="Q23" s="9"/>
      <c r="R23" s="9"/>
      <c r="S23" s="12"/>
    </row>
    <row r="24" spans="1:19" x14ac:dyDescent="0.45">
      <c r="A24" s="2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/>
    </row>
    <row r="25" spans="1:19" x14ac:dyDescent="0.45">
      <c r="A25" s="5"/>
      <c r="B25" s="5"/>
      <c r="C25" t="s">
        <v>31</v>
      </c>
      <c r="S25" s="6"/>
    </row>
    <row r="26" spans="1:19" x14ac:dyDescent="0.45">
      <c r="A26" s="5"/>
      <c r="B26" s="5"/>
      <c r="C26" t="s">
        <v>32</v>
      </c>
      <c r="E26" s="7">
        <f>C4-P4-0.5*P5</f>
        <v>150</v>
      </c>
      <c r="F26" t="s">
        <v>4</v>
      </c>
      <c r="S26" s="6"/>
    </row>
    <row r="27" spans="1:19" x14ac:dyDescent="0.45">
      <c r="A27" s="5"/>
      <c r="B27" s="5"/>
      <c r="C27" t="s">
        <v>33</v>
      </c>
      <c r="E27" s="7">
        <f>F23</f>
        <v>19.549966737494557</v>
      </c>
      <c r="F27" t="s">
        <v>30</v>
      </c>
      <c r="S27" s="6"/>
    </row>
    <row r="28" spans="1:19" x14ac:dyDescent="0.45">
      <c r="A28" s="5"/>
      <c r="B28" s="5"/>
      <c r="C28" t="s">
        <v>34</v>
      </c>
      <c r="E28" s="7">
        <f>F23*1*10^6/(1000*E26^2*K4)</f>
        <v>2.8962913685177123E-2</v>
      </c>
      <c r="G28" s="23" t="s">
        <v>35</v>
      </c>
      <c r="S28" s="6"/>
    </row>
    <row r="29" spans="1:19" x14ac:dyDescent="0.45">
      <c r="A29" s="5"/>
      <c r="B29" s="5"/>
      <c r="G29" s="13" t="str">
        <f>IF(E28&lt;0.167,"Compression reinforcment not needed","Compression reinforcement needed (Something is wrong)")</f>
        <v>Compression reinforcment not needed</v>
      </c>
      <c r="S29" s="6"/>
    </row>
    <row r="30" spans="1:19" x14ac:dyDescent="0.45">
      <c r="A30" s="5"/>
      <c r="B30" s="5"/>
      <c r="G30" s="22" t="s">
        <v>35</v>
      </c>
      <c r="S30" s="6"/>
    </row>
    <row r="31" spans="1:19" x14ac:dyDescent="0.45">
      <c r="A31" s="5"/>
      <c r="B31" s="5"/>
      <c r="C31" t="s">
        <v>36</v>
      </c>
      <c r="E31" s="7">
        <f>(0.5+(0.25-E28/1.134)^0.5)</f>
        <v>0.97377158182131018</v>
      </c>
      <c r="F31" t="s">
        <v>37</v>
      </c>
      <c r="G31" s="13" t="s">
        <v>38</v>
      </c>
      <c r="S31" s="6"/>
    </row>
    <row r="32" spans="1:19" x14ac:dyDescent="0.45">
      <c r="A32" s="5"/>
      <c r="B32" s="5"/>
      <c r="C32" t="s">
        <v>39</v>
      </c>
      <c r="E32" s="7">
        <f>IF(E31&lt;0.95,E31,0.95)</f>
        <v>0.95</v>
      </c>
      <c r="F32" t="s">
        <v>37</v>
      </c>
      <c r="S32" s="6"/>
    </row>
    <row r="33" spans="1:19" x14ac:dyDescent="0.45">
      <c r="A33" s="5"/>
      <c r="B33" s="5"/>
      <c r="S33" s="6"/>
    </row>
    <row r="34" spans="1:19" x14ac:dyDescent="0.45">
      <c r="A34" s="5"/>
      <c r="B34" s="5"/>
      <c r="C34" t="s">
        <v>40</v>
      </c>
      <c r="E34" s="7">
        <f>E27*1*10^6/(0.87*K5*E32*E26)</f>
        <v>315.3856299656311</v>
      </c>
      <c r="F34" t="s">
        <v>41</v>
      </c>
      <c r="J34" t="s">
        <v>42</v>
      </c>
      <c r="K34" s="7">
        <f>0.26*(2.56/K5)*1000*E26</f>
        <v>199.67999999999998</v>
      </c>
      <c r="L34" t="s">
        <v>41</v>
      </c>
      <c r="S34" s="6"/>
    </row>
    <row r="35" spans="1:19" x14ac:dyDescent="0.45">
      <c r="A35" s="5"/>
      <c r="B35" s="5"/>
      <c r="J35" t="s">
        <v>43</v>
      </c>
      <c r="K35" s="7">
        <f>0.04*1000*C4</f>
        <v>7000</v>
      </c>
      <c r="L35" t="s">
        <v>41</v>
      </c>
      <c r="S35" s="6"/>
    </row>
    <row r="36" spans="1:19" x14ac:dyDescent="0.45">
      <c r="A36" s="5"/>
      <c r="B36" s="5"/>
      <c r="S36" s="6"/>
    </row>
    <row r="37" spans="1:19" x14ac:dyDescent="0.45">
      <c r="A37" s="5"/>
      <c r="B37" s="5"/>
      <c r="C37" t="s">
        <v>44</v>
      </c>
      <c r="E37" s="7">
        <f>IF(E34&gt;K34,E34,K34)</f>
        <v>315.3856299656311</v>
      </c>
      <c r="F37" t="s">
        <v>41</v>
      </c>
      <c r="H37" t="s">
        <v>45</v>
      </c>
      <c r="J37" s="1">
        <v>786</v>
      </c>
      <c r="K37" t="s">
        <v>41</v>
      </c>
      <c r="S37" s="6"/>
    </row>
    <row r="38" spans="1:19" x14ac:dyDescent="0.45">
      <c r="A38" s="5"/>
      <c r="B38" s="5"/>
      <c r="E38" t="str">
        <f>IF(E37&lt;K35,"Data within limit","Data NOT in limit")</f>
        <v>Data within limit</v>
      </c>
      <c r="J38" s="18" t="s">
        <v>81</v>
      </c>
      <c r="K38" s="19">
        <v>100</v>
      </c>
      <c r="S38" s="6"/>
    </row>
    <row r="39" spans="1:19" x14ac:dyDescent="0.45">
      <c r="A39" s="5"/>
      <c r="B39" s="5"/>
      <c r="S39" s="6"/>
    </row>
    <row r="40" spans="1:19" x14ac:dyDescent="0.45">
      <c r="A40" s="5"/>
      <c r="B40" s="5"/>
      <c r="C40" t="s">
        <v>46</v>
      </c>
      <c r="E40" s="7">
        <f>0.2*E37</f>
        <v>63.077125993126224</v>
      </c>
      <c r="F40" t="s">
        <v>41</v>
      </c>
      <c r="H40" t="s">
        <v>45</v>
      </c>
      <c r="J40" s="1">
        <v>196.5</v>
      </c>
      <c r="K40" t="s">
        <v>41</v>
      </c>
      <c r="S40" s="6"/>
    </row>
    <row r="41" spans="1:19" ht="14.65" thickBot="1" x14ac:dyDescent="0.5">
      <c r="A41" s="8"/>
      <c r="B41" s="8"/>
      <c r="C41" s="9"/>
      <c r="D41" s="9"/>
      <c r="E41" s="9"/>
      <c r="F41" s="9"/>
      <c r="G41" s="9"/>
      <c r="H41" s="9"/>
      <c r="I41" s="9"/>
      <c r="J41" s="20" t="s">
        <v>81</v>
      </c>
      <c r="K41" s="21">
        <v>400</v>
      </c>
      <c r="L41" s="9"/>
      <c r="M41" s="9"/>
      <c r="N41" s="9"/>
      <c r="O41" s="9"/>
      <c r="P41" s="9"/>
      <c r="Q41" s="9"/>
      <c r="R41" s="9"/>
      <c r="S41" s="12"/>
    </row>
    <row r="42" spans="1:19" x14ac:dyDescent="0.45">
      <c r="A42" s="15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"/>
    </row>
    <row r="43" spans="1:19" x14ac:dyDescent="0.45">
      <c r="A43" s="16"/>
      <c r="B43" s="5"/>
      <c r="C43" t="s">
        <v>47</v>
      </c>
      <c r="F43" t="s">
        <v>82</v>
      </c>
      <c r="G43" s="7">
        <f>((J20*J19*(J19/2+E19)+E20*E19*(E19/2))+F23)/E21</f>
        <v>29.773937519899707</v>
      </c>
      <c r="H43" t="s">
        <v>48</v>
      </c>
      <c r="I43" t="s">
        <v>83</v>
      </c>
      <c r="J43" s="7">
        <f>(E20*E19+J20*J19-G43)</f>
        <v>22.01405383770177</v>
      </c>
      <c r="K43" t="s">
        <v>48</v>
      </c>
      <c r="S43" s="6"/>
    </row>
    <row r="44" spans="1:19" x14ac:dyDescent="0.45">
      <c r="A44" s="16"/>
      <c r="B44" s="5"/>
      <c r="C44" t="s">
        <v>49</v>
      </c>
      <c r="E44" s="7">
        <f>IF(G43&gt;J43,G43,J43)</f>
        <v>29.773937519899707</v>
      </c>
      <c r="F44" t="s">
        <v>48</v>
      </c>
      <c r="G44" s="13"/>
      <c r="S44" s="6"/>
    </row>
    <row r="45" spans="1:19" x14ac:dyDescent="0.45">
      <c r="A45" s="16"/>
      <c r="B45" s="5"/>
      <c r="S45" s="6"/>
    </row>
    <row r="46" spans="1:19" x14ac:dyDescent="0.45">
      <c r="A46" s="16"/>
      <c r="B46" s="5"/>
      <c r="C46" t="s">
        <v>50</v>
      </c>
      <c r="E46" s="7">
        <f>(1000*E26*(0.12*I47*(100*L47*K4)^(1/3)))/1000</f>
        <v>90.182031579604143</v>
      </c>
      <c r="F46" t="s">
        <v>48</v>
      </c>
      <c r="H46" t="s">
        <v>51</v>
      </c>
      <c r="I46" s="7">
        <f>1+(200/E26)^0.5</f>
        <v>2.1547005383792515</v>
      </c>
      <c r="K46" t="s">
        <v>53</v>
      </c>
      <c r="L46" s="7">
        <f>J37/(1000*E26)</f>
        <v>5.2399999999999999E-3</v>
      </c>
      <c r="S46" s="6"/>
    </row>
    <row r="47" spans="1:19" x14ac:dyDescent="0.45">
      <c r="A47" s="16"/>
      <c r="B47" s="5"/>
      <c r="C47" t="s">
        <v>55</v>
      </c>
      <c r="E47" s="7">
        <f>(0.035*I47^(1.5)*K4^0.5*1000*E26)/1000</f>
        <v>81.332650270355728</v>
      </c>
      <c r="F47" t="s">
        <v>48</v>
      </c>
      <c r="H47" t="s">
        <v>52</v>
      </c>
      <c r="I47" s="7">
        <f>IF(I46&gt;2,2,I46)</f>
        <v>2</v>
      </c>
      <c r="K47" t="s">
        <v>54</v>
      </c>
      <c r="L47" s="7">
        <f>IF(L46&lt;0.02,L46,0.02)</f>
        <v>5.2399999999999999E-3</v>
      </c>
      <c r="S47" s="6"/>
    </row>
    <row r="48" spans="1:19" x14ac:dyDescent="0.45">
      <c r="A48" s="16"/>
      <c r="B48" s="5"/>
      <c r="S48" s="6"/>
    </row>
    <row r="49" spans="1:19" x14ac:dyDescent="0.45">
      <c r="A49" s="16"/>
      <c r="B49" s="5"/>
      <c r="C49" s="14">
        <f>IF(E47&lt;E46,E46,E47)</f>
        <v>90.182031579604143</v>
      </c>
      <c r="E49" s="22" t="str">
        <f>IF(C49&gt;E44,"Shear Pass","Shear Fail")</f>
        <v>Shear Pass</v>
      </c>
      <c r="S49" s="6"/>
    </row>
    <row r="50" spans="1:19" ht="14.65" thickBot="1" x14ac:dyDescent="0.5">
      <c r="A50" s="17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2"/>
    </row>
    <row r="51" spans="1:19" x14ac:dyDescent="0.45">
      <c r="A51" s="15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"/>
    </row>
    <row r="52" spans="1:19" x14ac:dyDescent="0.45">
      <c r="A52" s="16"/>
      <c r="B52" s="5"/>
      <c r="C52" t="s">
        <v>56</v>
      </c>
      <c r="S52" s="6"/>
    </row>
    <row r="53" spans="1:19" x14ac:dyDescent="0.45">
      <c r="A53" s="16"/>
      <c r="B53" s="5"/>
      <c r="C53" t="s">
        <v>57</v>
      </c>
      <c r="D53" s="7">
        <f>E37/(1000*E26)</f>
        <v>2.1025708664375409E-3</v>
      </c>
      <c r="F53" t="s">
        <v>34</v>
      </c>
      <c r="G53" s="1">
        <v>1.3</v>
      </c>
      <c r="S53" s="6"/>
    </row>
    <row r="54" spans="1:19" x14ac:dyDescent="0.45">
      <c r="A54" s="16"/>
      <c r="B54" s="5"/>
      <c r="C54" t="s">
        <v>58</v>
      </c>
      <c r="D54" s="7">
        <f>K4^0.5*1*10^-3</f>
        <v>5.4772255750516613E-3</v>
      </c>
      <c r="G54" t="s">
        <v>59</v>
      </c>
      <c r="S54" s="6"/>
    </row>
    <row r="55" spans="1:19" x14ac:dyDescent="0.45">
      <c r="A55" s="16"/>
      <c r="B55" s="5"/>
      <c r="S55" s="6"/>
    </row>
    <row r="56" spans="1:19" x14ac:dyDescent="0.45">
      <c r="A56" s="16"/>
      <c r="B56" s="5"/>
      <c r="D56" t="str">
        <f>IF(D53&lt;D54,"Can use this formula","Ur screwed")</f>
        <v>Can use this formula</v>
      </c>
      <c r="G56" t="s">
        <v>61</v>
      </c>
      <c r="S56" s="6"/>
    </row>
    <row r="57" spans="1:19" x14ac:dyDescent="0.45">
      <c r="A57" s="16"/>
      <c r="B57" s="5"/>
      <c r="C57" t="s">
        <v>60</v>
      </c>
      <c r="D57" s="7">
        <f>G53*(11+1.5*K4^0.5*D54/D53+3.2*K4^0.5*(D54/D53-1)^1.5)</f>
        <v>88.454116913675293</v>
      </c>
      <c r="G57" t="s">
        <v>62</v>
      </c>
      <c r="J57" s="1">
        <f>1</f>
        <v>1</v>
      </c>
      <c r="S57" s="6"/>
    </row>
    <row r="58" spans="1:19" x14ac:dyDescent="0.45">
      <c r="A58" s="16"/>
      <c r="B58" s="5"/>
      <c r="G58" t="s">
        <v>63</v>
      </c>
      <c r="J58" s="7">
        <f>J37/E37</f>
        <v>2.4921871046745339</v>
      </c>
      <c r="K58" t="s">
        <v>64</v>
      </c>
      <c r="M58" s="7">
        <f>IF(J58&lt;1.5,J58,1.5)</f>
        <v>1.5</v>
      </c>
      <c r="S58" s="6"/>
    </row>
    <row r="59" spans="1:19" x14ac:dyDescent="0.45">
      <c r="A59" s="16"/>
      <c r="B59" s="5"/>
      <c r="C59" t="s">
        <v>65</v>
      </c>
      <c r="D59">
        <f>D57*J57*M58</f>
        <v>132.68117537051293</v>
      </c>
      <c r="S59" s="6"/>
    </row>
    <row r="60" spans="1:19" x14ac:dyDescent="0.45">
      <c r="A60" s="16"/>
      <c r="B60" s="5"/>
      <c r="C60" t="s">
        <v>66</v>
      </c>
      <c r="D60">
        <f>E21*1000/E26</f>
        <v>25.166666666666668</v>
      </c>
      <c r="S60" s="6"/>
    </row>
    <row r="61" spans="1:19" x14ac:dyDescent="0.45">
      <c r="A61" s="16"/>
      <c r="B61" s="5"/>
      <c r="E61" s="22" t="str">
        <f>IF(D59&gt;D60,"Deflection pass","Deflection failed")</f>
        <v>Deflection pass</v>
      </c>
      <c r="F61" s="22"/>
      <c r="S61" s="6"/>
    </row>
    <row r="62" spans="1:19" ht="14.65" thickBot="1" x14ac:dyDescent="0.5">
      <c r="A62" s="17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2"/>
    </row>
    <row r="63" spans="1:19" x14ac:dyDescent="0.45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"/>
    </row>
    <row r="64" spans="1:19" x14ac:dyDescent="0.45">
      <c r="A64" s="16"/>
      <c r="C64" t="s">
        <v>68</v>
      </c>
      <c r="S64" s="6"/>
    </row>
    <row r="65" spans="1:19" x14ac:dyDescent="0.45">
      <c r="A65" s="16"/>
      <c r="C65" t="s">
        <v>69</v>
      </c>
      <c r="D65" s="7">
        <f>C4</f>
        <v>175</v>
      </c>
      <c r="E65" t="s">
        <v>70</v>
      </c>
      <c r="F65" s="22" t="str">
        <f>IF(D65&lt;200,"ok","Notok")</f>
        <v>ok</v>
      </c>
      <c r="S65" s="6"/>
    </row>
    <row r="66" spans="1:19" x14ac:dyDescent="0.45">
      <c r="A66" s="16"/>
      <c r="C66" t="s">
        <v>71</v>
      </c>
      <c r="S66" s="6"/>
    </row>
    <row r="67" spans="1:19" x14ac:dyDescent="0.45">
      <c r="A67" s="16"/>
      <c r="D67" s="7">
        <f>3*D65</f>
        <v>525</v>
      </c>
      <c r="E67" t="s">
        <v>72</v>
      </c>
      <c r="S67" s="6"/>
    </row>
    <row r="68" spans="1:19" x14ac:dyDescent="0.45">
      <c r="A68" s="16"/>
      <c r="D68" t="s">
        <v>73</v>
      </c>
      <c r="F68" s="7">
        <f>IF(D67&lt;400,D67,400)</f>
        <v>400</v>
      </c>
      <c r="G68" t="s">
        <v>4</v>
      </c>
      <c r="S68" s="6"/>
    </row>
    <row r="69" spans="1:19" x14ac:dyDescent="0.45">
      <c r="A69" s="16"/>
      <c r="D69" t="s">
        <v>74</v>
      </c>
      <c r="F69" s="7">
        <f>K38</f>
        <v>100</v>
      </c>
      <c r="G69" t="s">
        <v>4</v>
      </c>
      <c r="S69" s="6"/>
    </row>
    <row r="70" spans="1:19" x14ac:dyDescent="0.45">
      <c r="A70" s="16"/>
      <c r="F70" s="22" t="str">
        <f>IF(F68&gt;F69,"ok","Not ok")</f>
        <v>ok</v>
      </c>
      <c r="S70" s="6"/>
    </row>
    <row r="71" spans="1:19" x14ac:dyDescent="0.45">
      <c r="A71" s="16"/>
      <c r="S71" s="6"/>
    </row>
    <row r="72" spans="1:19" x14ac:dyDescent="0.45">
      <c r="A72" s="16"/>
      <c r="C72" t="s">
        <v>75</v>
      </c>
      <c r="S72" s="6"/>
    </row>
    <row r="73" spans="1:19" x14ac:dyDescent="0.45">
      <c r="A73" s="16"/>
      <c r="D73" s="7">
        <f>3.5*D65</f>
        <v>612.5</v>
      </c>
      <c r="E73" t="s">
        <v>72</v>
      </c>
      <c r="S73" s="6"/>
    </row>
    <row r="74" spans="1:19" x14ac:dyDescent="0.45">
      <c r="A74" s="16"/>
      <c r="D74" t="s">
        <v>73</v>
      </c>
      <c r="F74" s="7">
        <f>IF(D73&lt;450,D73,450)</f>
        <v>450</v>
      </c>
      <c r="G74" t="s">
        <v>4</v>
      </c>
      <c r="S74" s="6"/>
    </row>
    <row r="75" spans="1:19" x14ac:dyDescent="0.45">
      <c r="A75" s="16"/>
      <c r="D75" t="s">
        <v>74</v>
      </c>
      <c r="F75" s="7">
        <f>K41</f>
        <v>400</v>
      </c>
      <c r="G75" t="s">
        <v>4</v>
      </c>
      <c r="S75" s="6"/>
    </row>
    <row r="76" spans="1:19" x14ac:dyDescent="0.45">
      <c r="A76" s="16"/>
      <c r="F76" s="22" t="str">
        <f>IF(F74&gt;F75,"ok","Not ok")</f>
        <v>ok</v>
      </c>
      <c r="S76" s="6"/>
    </row>
    <row r="77" spans="1:19" ht="14.65" thickBot="1" x14ac:dyDescent="0.5">
      <c r="A77" s="1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2"/>
    </row>
  </sheetData>
  <phoneticPr fontId="2" type="noConversion"/>
  <conditionalFormatting sqref="G29">
    <cfRule type="containsText" dxfId="0" priority="1" operator="containsText" text="Compression reinforcement not needed">
      <formula>NOT(ISERROR(SEARCH("Compression reinforcement not needed",G29)))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892E-0EFB-4864-B04A-AEC53673A698}">
  <dimension ref="B2:AR112"/>
  <sheetViews>
    <sheetView topLeftCell="A35" workbookViewId="0">
      <selection activeCell="K21" sqref="K21:Q27"/>
    </sheetView>
  </sheetViews>
  <sheetFormatPr defaultRowHeight="14.25" x14ac:dyDescent="0.45"/>
  <cols>
    <col min="11" max="11" width="10" customWidth="1"/>
    <col min="19" max="19" width="17.33203125" customWidth="1"/>
    <col min="22" max="22" width="10" bestFit="1" customWidth="1"/>
  </cols>
  <sheetData>
    <row r="2" spans="8:40" x14ac:dyDescent="0.45">
      <c r="J2" t="s">
        <v>96</v>
      </c>
      <c r="K2" s="24">
        <v>1</v>
      </c>
      <c r="L2" t="s">
        <v>97</v>
      </c>
      <c r="P2" t="s">
        <v>119</v>
      </c>
      <c r="Q2">
        <v>300</v>
      </c>
      <c r="R2" t="s">
        <v>120</v>
      </c>
      <c r="S2">
        <v>300</v>
      </c>
      <c r="U2" t="s">
        <v>122</v>
      </c>
      <c r="V2">
        <f>Q2*S2^3/12</f>
        <v>675000000</v>
      </c>
    </row>
    <row r="3" spans="8:40" x14ac:dyDescent="0.45">
      <c r="J3" t="s">
        <v>98</v>
      </c>
      <c r="K3" s="24">
        <v>2</v>
      </c>
      <c r="L3" t="s">
        <v>97</v>
      </c>
      <c r="M3" t="s">
        <v>99</v>
      </c>
      <c r="P3" t="s">
        <v>121</v>
      </c>
      <c r="Q3">
        <v>300</v>
      </c>
      <c r="R3" t="s">
        <v>120</v>
      </c>
      <c r="S3">
        <v>450</v>
      </c>
      <c r="U3" t="s">
        <v>123</v>
      </c>
      <c r="V3">
        <f>Q3*S3^3/12</f>
        <v>2278125000</v>
      </c>
    </row>
    <row r="4" spans="8:40" x14ac:dyDescent="0.45">
      <c r="J4" t="s">
        <v>100</v>
      </c>
      <c r="K4" s="24">
        <v>125</v>
      </c>
      <c r="L4" t="s">
        <v>4</v>
      </c>
    </row>
    <row r="9" spans="8:40" x14ac:dyDescent="0.45">
      <c r="J9" t="s">
        <v>84</v>
      </c>
    </row>
    <row r="10" spans="8:40" x14ac:dyDescent="0.45">
      <c r="J10" t="s">
        <v>85</v>
      </c>
      <c r="K10" t="s">
        <v>86</v>
      </c>
      <c r="R10" t="s">
        <v>87</v>
      </c>
    </row>
    <row r="11" spans="8:40" x14ac:dyDescent="0.45">
      <c r="K11" t="s">
        <v>86</v>
      </c>
    </row>
    <row r="12" spans="8:40" ht="14.65" thickBot="1" x14ac:dyDescent="0.5">
      <c r="H12" s="40"/>
      <c r="I12" s="49" t="s">
        <v>174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8:40" x14ac:dyDescent="0.45"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4"/>
    </row>
    <row r="14" spans="8:40" x14ac:dyDescent="0.45">
      <c r="H14" s="5"/>
      <c r="AN14" s="6"/>
    </row>
    <row r="15" spans="8:40" x14ac:dyDescent="0.45">
      <c r="H15" s="5"/>
      <c r="AN15" s="6"/>
    </row>
    <row r="16" spans="8:40" x14ac:dyDescent="0.45">
      <c r="H16" s="5"/>
      <c r="AN16" s="6"/>
    </row>
    <row r="17" spans="8:40" x14ac:dyDescent="0.45">
      <c r="H17" s="5"/>
      <c r="AN17" s="6"/>
    </row>
    <row r="18" spans="8:40" x14ac:dyDescent="0.45">
      <c r="H18" s="5"/>
      <c r="AN18" s="6"/>
    </row>
    <row r="19" spans="8:40" x14ac:dyDescent="0.45">
      <c r="H19" s="5"/>
      <c r="AN19" s="6"/>
    </row>
    <row r="20" spans="8:40" x14ac:dyDescent="0.45">
      <c r="H20" s="5"/>
      <c r="J20" t="s">
        <v>88</v>
      </c>
      <c r="R20" t="s">
        <v>93</v>
      </c>
      <c r="AN20" s="6"/>
    </row>
    <row r="21" spans="8:40" x14ac:dyDescent="0.45">
      <c r="H21" s="5"/>
      <c r="S21" t="s">
        <v>89</v>
      </c>
      <c r="AN21" s="6"/>
    </row>
    <row r="22" spans="8:40" x14ac:dyDescent="0.45">
      <c r="H22" s="5"/>
      <c r="K22" t="s">
        <v>90</v>
      </c>
      <c r="L22" s="24">
        <v>3395</v>
      </c>
      <c r="M22" t="s">
        <v>4</v>
      </c>
      <c r="S22" t="s">
        <v>90</v>
      </c>
      <c r="T22" s="24">
        <v>2300</v>
      </c>
      <c r="U22" t="s">
        <v>4</v>
      </c>
      <c r="AN22" s="6"/>
    </row>
    <row r="23" spans="8:40" x14ac:dyDescent="0.45">
      <c r="H23" s="5"/>
      <c r="K23" t="s">
        <v>91</v>
      </c>
      <c r="L23" s="24">
        <v>3800</v>
      </c>
      <c r="M23" t="s">
        <v>4</v>
      </c>
      <c r="S23" t="s">
        <v>91</v>
      </c>
      <c r="T23" s="24">
        <v>2900</v>
      </c>
      <c r="U23" t="s">
        <v>4</v>
      </c>
      <c r="AN23" s="6"/>
    </row>
    <row r="24" spans="8:40" x14ac:dyDescent="0.45">
      <c r="H24" s="5"/>
      <c r="K24" t="s">
        <v>92</v>
      </c>
      <c r="L24" s="25">
        <f>L23/L22</f>
        <v>1.1192930780559647</v>
      </c>
      <c r="M24" t="str">
        <f>IF(L24&lt;2,"2 Way Slab","1 Way Slab")</f>
        <v>2 Way Slab</v>
      </c>
      <c r="S24" t="s">
        <v>92</v>
      </c>
      <c r="T24" s="25">
        <f>T23/T22</f>
        <v>1.2608695652173914</v>
      </c>
      <c r="U24" t="str">
        <f>IF(T24&lt;2,"2 Way Slab","1 Way Slab")</f>
        <v>2 Way Slab</v>
      </c>
      <c r="AN24" s="6"/>
    </row>
    <row r="25" spans="8:40" x14ac:dyDescent="0.45">
      <c r="H25" s="5"/>
      <c r="K25" t="s">
        <v>95</v>
      </c>
      <c r="O25" t="s">
        <v>94</v>
      </c>
      <c r="P25" s="24">
        <v>0.27</v>
      </c>
      <c r="Q25" t="s">
        <v>111</v>
      </c>
      <c r="S25" t="s">
        <v>117</v>
      </c>
      <c r="W25" t="s">
        <v>94</v>
      </c>
      <c r="X25" s="24">
        <v>0.24</v>
      </c>
      <c r="Y25" t="s">
        <v>112</v>
      </c>
      <c r="AN25" s="6"/>
    </row>
    <row r="26" spans="8:40" x14ac:dyDescent="0.45">
      <c r="H26" s="5"/>
      <c r="K26" t="s">
        <v>101</v>
      </c>
      <c r="M26" s="25">
        <f>L22/30</f>
        <v>113.16666666666667</v>
      </c>
      <c r="N26" t="s">
        <v>4</v>
      </c>
      <c r="O26" t="s">
        <v>113</v>
      </c>
      <c r="P26" s="24">
        <v>0.26</v>
      </c>
      <c r="Q26" t="s">
        <v>114</v>
      </c>
      <c r="S26" t="s">
        <v>101</v>
      </c>
      <c r="U26" s="25">
        <f>T22/30</f>
        <v>76.666666666666671</v>
      </c>
      <c r="V26" t="s">
        <v>4</v>
      </c>
      <c r="W26" t="s">
        <v>113</v>
      </c>
      <c r="X26" s="24">
        <v>0.44</v>
      </c>
      <c r="Y26" t="s">
        <v>114</v>
      </c>
      <c r="AN26" s="6"/>
    </row>
    <row r="27" spans="8:40" ht="14.65" thickBot="1" x14ac:dyDescent="0.5">
      <c r="H27" s="5"/>
      <c r="K27" t="s">
        <v>102</v>
      </c>
      <c r="M27" s="24">
        <f>125</f>
        <v>125</v>
      </c>
      <c r="N27" t="s">
        <v>4</v>
      </c>
      <c r="O27" t="s">
        <v>113</v>
      </c>
      <c r="P27" s="24">
        <v>0.4</v>
      </c>
      <c r="Q27" t="s">
        <v>115</v>
      </c>
      <c r="S27" t="s">
        <v>102</v>
      </c>
      <c r="U27" s="24">
        <f>125</f>
        <v>125</v>
      </c>
      <c r="V27" t="s">
        <v>4</v>
      </c>
      <c r="W27" t="s">
        <v>113</v>
      </c>
      <c r="X27" s="24">
        <v>0.44</v>
      </c>
      <c r="Y27" t="s">
        <v>116</v>
      </c>
      <c r="AN27" s="6"/>
    </row>
    <row r="28" spans="8:40" x14ac:dyDescent="0.45">
      <c r="H28" s="2"/>
      <c r="I28" s="3"/>
      <c r="J28" s="3"/>
      <c r="K28" s="53" t="s">
        <v>111</v>
      </c>
      <c r="L28" s="53"/>
      <c r="M28" s="53"/>
      <c r="N28" s="53"/>
      <c r="O28" s="53"/>
      <c r="P28" s="3"/>
      <c r="Q28" s="3"/>
      <c r="R28" s="3"/>
      <c r="S28" s="53" t="s">
        <v>112</v>
      </c>
      <c r="T28" s="53"/>
      <c r="U28" s="53"/>
      <c r="V28" s="53"/>
      <c r="W28" s="53"/>
      <c r="X28" s="3"/>
      <c r="Y28" s="4"/>
      <c r="AN28" s="6"/>
    </row>
    <row r="29" spans="8:40" x14ac:dyDescent="0.45">
      <c r="H29" s="5"/>
      <c r="K29" t="s">
        <v>138</v>
      </c>
      <c r="S29" t="s">
        <v>103</v>
      </c>
      <c r="Y29" s="6"/>
      <c r="AN29" s="6"/>
    </row>
    <row r="30" spans="8:40" x14ac:dyDescent="0.45">
      <c r="H30" s="5"/>
      <c r="K30" t="s">
        <v>104</v>
      </c>
      <c r="N30" t="s">
        <v>107</v>
      </c>
      <c r="S30" t="s">
        <v>104</v>
      </c>
      <c r="V30" t="s">
        <v>107</v>
      </c>
      <c r="Y30" s="6"/>
      <c r="AN30" s="6"/>
    </row>
    <row r="31" spans="8:40" x14ac:dyDescent="0.45">
      <c r="H31" s="5"/>
      <c r="K31" t="s">
        <v>142</v>
      </c>
      <c r="L31" s="25">
        <f>M27/1000*25</f>
        <v>3.125</v>
      </c>
      <c r="N31" t="s">
        <v>108</v>
      </c>
      <c r="O31" s="25">
        <f>$K$3</f>
        <v>2</v>
      </c>
      <c r="S31" t="s">
        <v>105</v>
      </c>
      <c r="T31" s="25">
        <f>U27/1000*25</f>
        <v>3.125</v>
      </c>
      <c r="V31" t="s">
        <v>108</v>
      </c>
      <c r="W31" s="25">
        <f>$K$3</f>
        <v>2</v>
      </c>
      <c r="Y31" s="6"/>
      <c r="AN31" s="6"/>
    </row>
    <row r="32" spans="8:40" x14ac:dyDescent="0.45">
      <c r="H32" s="5"/>
      <c r="K32" t="s">
        <v>106</v>
      </c>
      <c r="L32" s="25">
        <f>$K$2</f>
        <v>1</v>
      </c>
      <c r="N32" t="s">
        <v>140</v>
      </c>
      <c r="O32" s="25">
        <f>SUM(O31)</f>
        <v>2</v>
      </c>
      <c r="S32" t="s">
        <v>106</v>
      </c>
      <c r="T32" s="25">
        <f>$K$2</f>
        <v>1</v>
      </c>
      <c r="V32" t="s">
        <v>140</v>
      </c>
      <c r="W32" s="25">
        <f>SUM(W31)</f>
        <v>2</v>
      </c>
      <c r="Y32" s="6"/>
      <c r="AN32" s="6"/>
    </row>
    <row r="33" spans="8:44" x14ac:dyDescent="0.45">
      <c r="H33" s="5"/>
      <c r="Y33" s="6"/>
      <c r="AN33" s="6"/>
    </row>
    <row r="34" spans="8:44" x14ac:dyDescent="0.45">
      <c r="H34" s="5"/>
      <c r="K34" t="s">
        <v>137</v>
      </c>
      <c r="L34" s="25">
        <f>SUM(L31:L32)*P25*L22/1000</f>
        <v>3.7811812499999999</v>
      </c>
      <c r="S34" t="s">
        <v>137</v>
      </c>
      <c r="T34" s="25">
        <f>SUM(T31:T32)*X25*T22/1000</f>
        <v>2.2770000000000001</v>
      </c>
      <c r="Y34" s="6"/>
      <c r="AN34" s="6"/>
    </row>
    <row r="35" spans="8:44" x14ac:dyDescent="0.45">
      <c r="H35" s="5"/>
      <c r="Y35" s="6"/>
      <c r="AN35" s="6"/>
    </row>
    <row r="36" spans="8:44" x14ac:dyDescent="0.45">
      <c r="H36" s="5"/>
      <c r="K36" t="s">
        <v>139</v>
      </c>
      <c r="L36" s="25">
        <f>($S$3-$K$4)/1000*$Q$3/1000*25</f>
        <v>2.4375</v>
      </c>
      <c r="N36">
        <v>2.6</v>
      </c>
      <c r="O36" t="s">
        <v>145</v>
      </c>
      <c r="S36" t="s">
        <v>139</v>
      </c>
      <c r="T36" s="25">
        <f>($S$3-$K$4)/1000*$Q$3/1000*25</f>
        <v>2.4375</v>
      </c>
      <c r="V36">
        <v>2.6</v>
      </c>
      <c r="W36" t="s">
        <v>145</v>
      </c>
      <c r="Y36" s="6"/>
      <c r="AN36" s="6"/>
    </row>
    <row r="37" spans="8:44" x14ac:dyDescent="0.45">
      <c r="H37" s="5"/>
      <c r="K37" t="s">
        <v>143</v>
      </c>
      <c r="L37" s="25">
        <f>N36*N37</f>
        <v>7.8000000000000007</v>
      </c>
      <c r="N37">
        <v>3</v>
      </c>
      <c r="O37" t="s">
        <v>144</v>
      </c>
      <c r="S37" t="s">
        <v>143</v>
      </c>
      <c r="T37" s="25">
        <f>V36*V37</f>
        <v>7.8000000000000007</v>
      </c>
      <c r="V37">
        <v>3</v>
      </c>
      <c r="W37" t="s">
        <v>144</v>
      </c>
      <c r="Y37" s="6"/>
      <c r="AN37" s="6"/>
    </row>
    <row r="38" spans="8:44" x14ac:dyDescent="0.45">
      <c r="H38" s="5"/>
      <c r="K38" t="s">
        <v>141</v>
      </c>
      <c r="L38" s="25">
        <f>SUM(L34:L37)</f>
        <v>14.01868125</v>
      </c>
      <c r="N38" t="s">
        <v>146</v>
      </c>
      <c r="O38" s="25">
        <f>O32*P25*L22/1000</f>
        <v>1.8333000000000002</v>
      </c>
      <c r="S38" t="s">
        <v>141</v>
      </c>
      <c r="T38" s="25">
        <f>SUM(T34:T37)</f>
        <v>12.514500000000002</v>
      </c>
      <c r="V38" t="s">
        <v>146</v>
      </c>
      <c r="W38" s="25">
        <f>W32*X25*T22/1000</f>
        <v>1.1040000000000001</v>
      </c>
      <c r="Y38" s="6"/>
      <c r="AN38" s="6"/>
    </row>
    <row r="39" spans="8:44" x14ac:dyDescent="0.45">
      <c r="H39" s="5"/>
      <c r="K39" t="s">
        <v>147</v>
      </c>
      <c r="L39" s="25">
        <f>1.35*(L38)+1.5*O38</f>
        <v>21.675169687500002</v>
      </c>
      <c r="S39" t="s">
        <v>147</v>
      </c>
      <c r="T39" s="25">
        <f>1.35*(T38)+1.5*W38</f>
        <v>18.550575000000002</v>
      </c>
      <c r="Y39" s="6"/>
      <c r="AN39" s="6"/>
    </row>
    <row r="40" spans="8:44" x14ac:dyDescent="0.45">
      <c r="H40" s="5"/>
      <c r="K40" t="s">
        <v>148</v>
      </c>
      <c r="L40" s="25">
        <f>1.5*O38</f>
        <v>2.7499500000000001</v>
      </c>
      <c r="S40" t="s">
        <v>148</v>
      </c>
      <c r="T40" s="25">
        <f>1.5*W38</f>
        <v>1.6560000000000001</v>
      </c>
      <c r="Y40" s="6"/>
      <c r="AN40" s="6"/>
    </row>
    <row r="41" spans="8:44" x14ac:dyDescent="0.45">
      <c r="H41" s="5"/>
      <c r="Y41" s="6"/>
      <c r="AN41" s="6"/>
    </row>
    <row r="42" spans="8:44" x14ac:dyDescent="0.45">
      <c r="H42" s="5"/>
      <c r="K42" s="52" t="s">
        <v>114</v>
      </c>
      <c r="L42" s="52"/>
      <c r="M42" s="52"/>
      <c r="N42" s="52"/>
      <c r="O42" s="52"/>
      <c r="S42" s="52" t="s">
        <v>114</v>
      </c>
      <c r="T42" s="52"/>
      <c r="U42" s="52"/>
      <c r="V42" s="52"/>
      <c r="W42" s="52"/>
      <c r="Y42" s="6"/>
      <c r="AN42" s="6"/>
    </row>
    <row r="43" spans="8:44" x14ac:dyDescent="0.45">
      <c r="H43" s="5"/>
      <c r="K43" t="s">
        <v>149</v>
      </c>
      <c r="L43" s="25">
        <f>1.35*(SUM(L31:L32)*P26*L22/1000+L36+L37)+1.5*O32*P26*L22/1000</f>
        <v>21.384260625</v>
      </c>
      <c r="M43" t="s">
        <v>109</v>
      </c>
      <c r="S43" t="s">
        <v>149</v>
      </c>
      <c r="T43" s="25">
        <f>1.35*(SUM(T31:T32)*X26*T22/1000+T36+T37)+1.5*W32*X26*T22/1000</f>
        <v>22.492200000000004</v>
      </c>
      <c r="U43" t="s">
        <v>109</v>
      </c>
      <c r="Y43" s="6"/>
      <c r="AN43" s="6"/>
    </row>
    <row r="44" spans="8:44" x14ac:dyDescent="0.45">
      <c r="H44" s="5"/>
      <c r="K44" t="s">
        <v>118</v>
      </c>
      <c r="L44" s="24">
        <v>3395</v>
      </c>
      <c r="M44" t="s">
        <v>4</v>
      </c>
      <c r="S44" t="s">
        <v>118</v>
      </c>
      <c r="T44" s="24">
        <v>2300</v>
      </c>
      <c r="U44" t="s">
        <v>4</v>
      </c>
      <c r="Y44" s="6"/>
      <c r="AN44" s="6"/>
    </row>
    <row r="45" spans="8:44" ht="14.65" thickBot="1" x14ac:dyDescent="0.5">
      <c r="H45" s="8"/>
      <c r="I45" s="9"/>
      <c r="J45" s="9"/>
      <c r="K45" s="9" t="s">
        <v>150</v>
      </c>
      <c r="L45" s="26">
        <f>O32*P26*L44/1000*1.5</f>
        <v>2.6481000000000003</v>
      </c>
      <c r="M45" s="9" t="s">
        <v>110</v>
      </c>
      <c r="N45" s="9"/>
      <c r="O45" s="9"/>
      <c r="P45" s="9"/>
      <c r="Q45" s="9"/>
      <c r="R45" s="9"/>
      <c r="S45" s="9" t="s">
        <v>150</v>
      </c>
      <c r="T45" s="26">
        <f>W32*X26*T44/1000*1.5</f>
        <v>3.036</v>
      </c>
      <c r="U45" s="9" t="s">
        <v>110</v>
      </c>
      <c r="V45" s="9"/>
      <c r="W45" s="9"/>
      <c r="X45" s="9"/>
      <c r="Y45" s="12"/>
      <c r="AN45" s="6"/>
    </row>
    <row r="46" spans="8:44" ht="14.65" thickBot="1" x14ac:dyDescent="0.5">
      <c r="H46" s="5"/>
      <c r="AN46" s="6"/>
    </row>
    <row r="47" spans="8:44" x14ac:dyDescent="0.45">
      <c r="H47" s="2"/>
      <c r="I47" s="3"/>
      <c r="J47" s="3"/>
      <c r="K47" s="3" t="s">
        <v>124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  <c r="AA47" s="2"/>
      <c r="AB47" s="3"/>
      <c r="AC47" s="3"/>
      <c r="AD47" s="3" t="s">
        <v>124</v>
      </c>
      <c r="AE47" s="3"/>
      <c r="AF47" s="3"/>
      <c r="AG47" s="3"/>
      <c r="AH47" s="3"/>
      <c r="AI47" s="3"/>
      <c r="AJ47" s="3"/>
      <c r="AK47" s="3"/>
      <c r="AL47" s="3"/>
      <c r="AM47" s="3"/>
      <c r="AN47" s="4"/>
      <c r="AO47" s="3"/>
      <c r="AP47" s="3"/>
      <c r="AQ47" s="3"/>
      <c r="AR47" s="4"/>
    </row>
    <row r="48" spans="8:44" x14ac:dyDescent="0.45">
      <c r="H48" s="5"/>
      <c r="K48" s="52" t="s">
        <v>133</v>
      </c>
      <c r="L48" s="52"/>
      <c r="M48" s="52"/>
      <c r="N48" s="52"/>
      <c r="O48" s="52"/>
      <c r="P48" s="52"/>
      <c r="Y48" s="6"/>
      <c r="AA48" s="5"/>
      <c r="AD48" s="52" t="s">
        <v>133</v>
      </c>
      <c r="AE48" s="52"/>
      <c r="AF48" s="52"/>
      <c r="AG48" s="52"/>
      <c r="AH48" s="52"/>
      <c r="AI48" s="52"/>
      <c r="AN48" s="6"/>
      <c r="AR48" s="6"/>
    </row>
    <row r="49" spans="8:44" x14ac:dyDescent="0.45">
      <c r="H49" s="27" t="s">
        <v>151</v>
      </c>
      <c r="K49" t="s">
        <v>125</v>
      </c>
      <c r="L49" s="28">
        <f>L43+T43</f>
        <v>43.876460625000007</v>
      </c>
      <c r="M49" t="s">
        <v>110</v>
      </c>
      <c r="N49" t="s">
        <v>129</v>
      </c>
      <c r="O49" s="25">
        <f>-(L54^2*L53*L52)/((2.3+3.8)^2)</f>
        <v>-27.495978213414411</v>
      </c>
      <c r="P49" t="s">
        <v>30</v>
      </c>
      <c r="Y49" s="6"/>
      <c r="AA49" s="27" t="s">
        <v>151</v>
      </c>
      <c r="AD49" t="s">
        <v>125</v>
      </c>
      <c r="AE49" s="28">
        <f>L49</f>
        <v>43.876460625000007</v>
      </c>
      <c r="AF49" t="s">
        <v>110</v>
      </c>
      <c r="AG49" t="s">
        <v>129</v>
      </c>
      <c r="AH49" s="25">
        <f>-(AE54^2*AE53*AE52)/((2.3+3.8)^2)</f>
        <v>-27.495978213414411</v>
      </c>
      <c r="AI49" t="s">
        <v>30</v>
      </c>
      <c r="AN49" s="6"/>
      <c r="AR49" s="6"/>
    </row>
    <row r="50" spans="8:44" x14ac:dyDescent="0.45">
      <c r="H50" s="5"/>
      <c r="K50" t="s">
        <v>128</v>
      </c>
      <c r="L50" s="25">
        <f>2.9</f>
        <v>2.9</v>
      </c>
      <c r="M50" t="s">
        <v>28</v>
      </c>
      <c r="Y50" s="6"/>
      <c r="AA50" s="5"/>
      <c r="AD50" t="s">
        <v>128</v>
      </c>
      <c r="AE50" s="25">
        <f>2.9</f>
        <v>2.9</v>
      </c>
      <c r="AF50" t="s">
        <v>28</v>
      </c>
      <c r="AN50" s="6"/>
      <c r="AR50" s="6"/>
    </row>
    <row r="51" spans="8:44" x14ac:dyDescent="0.45">
      <c r="H51" s="5"/>
      <c r="K51" t="s">
        <v>126</v>
      </c>
      <c r="L51" s="25">
        <f>L49*L50^2/10</f>
        <v>36.900103385625002</v>
      </c>
      <c r="M51" t="s">
        <v>30</v>
      </c>
      <c r="N51" t="s">
        <v>130</v>
      </c>
      <c r="O51" s="25">
        <f>(L52*L53^2*L54)/((L53+L54)^2)</f>
        <v>45.428137917815114</v>
      </c>
      <c r="P51" t="s">
        <v>30</v>
      </c>
      <c r="Y51" s="6"/>
      <c r="AA51" s="5"/>
      <c r="AD51" t="s">
        <v>126</v>
      </c>
      <c r="AE51" s="25">
        <f>AE49*AE50^2/10</f>
        <v>36.900103385625002</v>
      </c>
      <c r="AF51" t="s">
        <v>30</v>
      </c>
      <c r="AG51" t="s">
        <v>130</v>
      </c>
      <c r="AH51" s="25">
        <f>(AE52*AE53^2*AE54)/((AE53+AE54)^2)</f>
        <v>45.428137917815114</v>
      </c>
      <c r="AI51" t="s">
        <v>30</v>
      </c>
      <c r="AN51" s="6"/>
      <c r="AR51" s="6"/>
    </row>
    <row r="52" spans="8:44" x14ac:dyDescent="0.45">
      <c r="H52" s="5"/>
      <c r="K52" t="s">
        <v>127</v>
      </c>
      <c r="L52" s="25">
        <f>-(L51-L49*L50^2/2)/L50</f>
        <v>50.896694325000006</v>
      </c>
      <c r="M52" t="s">
        <v>48</v>
      </c>
      <c r="Y52" s="6"/>
      <c r="AA52" s="5"/>
      <c r="AD52" t="s">
        <v>127</v>
      </c>
      <c r="AE52" s="25">
        <f>-(AE51-AE49*AE50^2/2)/AE50</f>
        <v>50.896694325000006</v>
      </c>
      <c r="AF52" t="s">
        <v>48</v>
      </c>
      <c r="AN52" s="6"/>
      <c r="AR52" s="6"/>
    </row>
    <row r="53" spans="8:44" x14ac:dyDescent="0.45">
      <c r="H53" s="5"/>
      <c r="K53" t="s">
        <v>131</v>
      </c>
      <c r="L53" s="24">
        <v>3.8</v>
      </c>
      <c r="M53" t="s">
        <v>28</v>
      </c>
      <c r="Y53" s="6"/>
      <c r="AA53" s="5"/>
      <c r="AD53" t="s">
        <v>131</v>
      </c>
      <c r="AE53" s="24">
        <v>3.8</v>
      </c>
      <c r="AF53" t="s">
        <v>28</v>
      </c>
      <c r="AN53" s="6"/>
      <c r="AR53" s="6"/>
    </row>
    <row r="54" spans="8:44" x14ac:dyDescent="0.45">
      <c r="H54" s="5"/>
      <c r="K54" t="s">
        <v>132</v>
      </c>
      <c r="L54" s="24">
        <v>2.2999999999999998</v>
      </c>
      <c r="M54" t="s">
        <v>28</v>
      </c>
      <c r="Y54" s="6"/>
      <c r="AA54" s="5"/>
      <c r="AD54" t="s">
        <v>132</v>
      </c>
      <c r="AE54" s="24">
        <v>2.2999999999999998</v>
      </c>
      <c r="AF54" t="s">
        <v>28</v>
      </c>
      <c r="AN54" s="6"/>
      <c r="AR54" s="6"/>
    </row>
    <row r="55" spans="8:44" x14ac:dyDescent="0.45">
      <c r="H55" s="5"/>
      <c r="Y55" s="6"/>
      <c r="AA55" s="5"/>
      <c r="AN55" s="6"/>
      <c r="AR55" s="6"/>
    </row>
    <row r="56" spans="8:44" x14ac:dyDescent="0.45">
      <c r="H56" s="5"/>
      <c r="K56" s="52" t="s">
        <v>134</v>
      </c>
      <c r="L56" s="52"/>
      <c r="M56" s="52"/>
      <c r="N56" s="52"/>
      <c r="O56" s="52"/>
      <c r="P56" s="52"/>
      <c r="Y56" s="6"/>
      <c r="AA56" s="5"/>
      <c r="AD56" s="52" t="s">
        <v>134</v>
      </c>
      <c r="AE56" s="52"/>
      <c r="AF56" s="52"/>
      <c r="AG56" s="52"/>
      <c r="AH56" s="52"/>
      <c r="AI56" s="52"/>
      <c r="AN56" s="6"/>
      <c r="AR56" s="6"/>
    </row>
    <row r="57" spans="8:44" x14ac:dyDescent="0.45">
      <c r="H57" s="50" t="s">
        <v>152</v>
      </c>
      <c r="I57" s="51"/>
      <c r="K57" t="s">
        <v>125</v>
      </c>
      <c r="L57" s="25">
        <f>L43</f>
        <v>21.384260625</v>
      </c>
      <c r="M57" t="s">
        <v>110</v>
      </c>
      <c r="N57" t="s">
        <v>129</v>
      </c>
      <c r="O57" s="25">
        <f>-L57*(L58)^2/12</f>
        <v>-25.732393618749999</v>
      </c>
      <c r="P57" t="s">
        <v>30</v>
      </c>
      <c r="Y57" s="6"/>
      <c r="AA57" s="50" t="s">
        <v>152</v>
      </c>
      <c r="AB57" s="51"/>
      <c r="AD57" t="s">
        <v>125</v>
      </c>
      <c r="AE57" s="25">
        <f>L40</f>
        <v>2.7499500000000001</v>
      </c>
      <c r="AF57" t="s">
        <v>110</v>
      </c>
      <c r="AG57" t="s">
        <v>129</v>
      </c>
      <c r="AH57" s="25">
        <f>-AE57*(AE58)^2/12</f>
        <v>-3.3091065</v>
      </c>
      <c r="AI57" t="s">
        <v>30</v>
      </c>
      <c r="AN57" s="6"/>
      <c r="AR57" s="6"/>
    </row>
    <row r="58" spans="8:44" x14ac:dyDescent="0.45">
      <c r="H58" s="50"/>
      <c r="I58" s="51"/>
      <c r="K58" t="s">
        <v>128</v>
      </c>
      <c r="L58" s="25">
        <f>L53</f>
        <v>3.8</v>
      </c>
      <c r="M58" t="s">
        <v>28</v>
      </c>
      <c r="Y58" s="6"/>
      <c r="AA58" s="50"/>
      <c r="AB58" s="51"/>
      <c r="AD58" t="s">
        <v>128</v>
      </c>
      <c r="AE58" s="25">
        <f>AE53</f>
        <v>3.8</v>
      </c>
      <c r="AF58" t="s">
        <v>28</v>
      </c>
      <c r="AN58" s="6"/>
      <c r="AR58" s="6"/>
    </row>
    <row r="59" spans="8:44" x14ac:dyDescent="0.45">
      <c r="H59" s="50"/>
      <c r="I59" s="51"/>
      <c r="N59" t="s">
        <v>130</v>
      </c>
      <c r="O59" s="25">
        <f>-O57</f>
        <v>25.732393618749999</v>
      </c>
      <c r="P59" t="s">
        <v>30</v>
      </c>
      <c r="Y59" s="6"/>
      <c r="AA59" s="50"/>
      <c r="AB59" s="51"/>
      <c r="AG59" t="s">
        <v>130</v>
      </c>
      <c r="AH59" s="25">
        <f>-AH57</f>
        <v>3.3091065</v>
      </c>
      <c r="AI59" t="s">
        <v>30</v>
      </c>
      <c r="AN59" s="6"/>
      <c r="AR59" s="6"/>
    </row>
    <row r="60" spans="8:44" x14ac:dyDescent="0.45">
      <c r="H60" s="50"/>
      <c r="I60" s="51"/>
      <c r="Y60" s="6"/>
      <c r="AA60" s="50"/>
      <c r="AB60" s="51"/>
      <c r="AN60" s="6"/>
      <c r="AR60" s="6"/>
    </row>
    <row r="61" spans="8:44" ht="14.65" thickBot="1" x14ac:dyDescent="0.5">
      <c r="H61" s="50"/>
      <c r="I61" s="51"/>
      <c r="K61" s="52" t="s">
        <v>153</v>
      </c>
      <c r="L61" s="52"/>
      <c r="M61" s="52"/>
      <c r="N61" s="52"/>
      <c r="O61" s="52"/>
      <c r="P61" s="52"/>
      <c r="Q61" t="s">
        <v>154</v>
      </c>
      <c r="Y61" s="6"/>
      <c r="AA61" s="50"/>
      <c r="AB61" s="51"/>
      <c r="AD61" s="52" t="s">
        <v>153</v>
      </c>
      <c r="AE61" s="52"/>
      <c r="AF61" s="52"/>
      <c r="AG61" s="52"/>
      <c r="AH61" s="52"/>
      <c r="AI61" s="52"/>
      <c r="AJ61" t="s">
        <v>154</v>
      </c>
      <c r="AN61" s="6"/>
      <c r="AR61" s="6"/>
    </row>
    <row r="62" spans="8:44" x14ac:dyDescent="0.45">
      <c r="H62" s="50"/>
      <c r="I62" s="51"/>
      <c r="K62" t="s">
        <v>125</v>
      </c>
      <c r="L62" s="25">
        <f>T43</f>
        <v>22.492200000000004</v>
      </c>
      <c r="M62" t="s">
        <v>110</v>
      </c>
      <c r="N62" t="s">
        <v>129</v>
      </c>
      <c r="O62" s="25">
        <f>-L62*(L63/1000)^2/12</f>
        <v>-21.603804958750004</v>
      </c>
      <c r="P62" t="s">
        <v>30</v>
      </c>
      <c r="Q62" s="2"/>
      <c r="R62" s="3"/>
      <c r="S62" s="3"/>
      <c r="T62" s="4"/>
      <c r="Y62" s="6"/>
      <c r="AA62" s="50"/>
      <c r="AB62" s="51"/>
      <c r="AD62" t="s">
        <v>125</v>
      </c>
      <c r="AE62" s="25">
        <f>T40</f>
        <v>1.6560000000000001</v>
      </c>
      <c r="AF62" t="s">
        <v>110</v>
      </c>
      <c r="AG62" t="s">
        <v>129</v>
      </c>
      <c r="AH62" s="25">
        <f>-AE62*(AE63/1000)^2/12</f>
        <v>-1.59059145</v>
      </c>
      <c r="AI62" t="s">
        <v>30</v>
      </c>
      <c r="AJ62" s="2"/>
      <c r="AK62" s="3"/>
      <c r="AL62" s="3"/>
      <c r="AM62" s="4"/>
      <c r="AN62" s="6"/>
      <c r="AR62" s="6"/>
    </row>
    <row r="63" spans="8:44" x14ac:dyDescent="0.45">
      <c r="H63" s="50"/>
      <c r="I63" s="51"/>
      <c r="K63" t="s">
        <v>128</v>
      </c>
      <c r="L63" s="25">
        <f>$L$44</f>
        <v>3395</v>
      </c>
      <c r="M63" t="s">
        <v>28</v>
      </c>
      <c r="Q63" s="5" t="s">
        <v>155</v>
      </c>
      <c r="R63" s="25">
        <f>O49+O57+O62</f>
        <v>-74.832176790914417</v>
      </c>
      <c r="S63" t="s">
        <v>30</v>
      </c>
      <c r="T63" s="6"/>
      <c r="Y63" s="6"/>
      <c r="AA63" s="50"/>
      <c r="AB63" s="51"/>
      <c r="AD63" t="s">
        <v>128</v>
      </c>
      <c r="AE63" s="25">
        <f>$L$44</f>
        <v>3395</v>
      </c>
      <c r="AF63" t="s">
        <v>28</v>
      </c>
      <c r="AJ63" s="5" t="s">
        <v>155</v>
      </c>
      <c r="AK63" s="25">
        <f>AH49+AH57+AH62</f>
        <v>-32.395676163414407</v>
      </c>
      <c r="AL63" t="s">
        <v>30</v>
      </c>
      <c r="AM63" s="6"/>
      <c r="AN63" s="6"/>
      <c r="AR63" s="6"/>
    </row>
    <row r="64" spans="8:44" x14ac:dyDescent="0.45">
      <c r="H64" s="50"/>
      <c r="I64" s="51"/>
      <c r="N64" t="s">
        <v>130</v>
      </c>
      <c r="O64" s="25">
        <f>-O62</f>
        <v>21.603804958750004</v>
      </c>
      <c r="P64" t="s">
        <v>30</v>
      </c>
      <c r="Q64" s="5" t="s">
        <v>156</v>
      </c>
      <c r="R64" s="25">
        <f>O51+O59+O64</f>
        <v>92.764336495315121</v>
      </c>
      <c r="S64" t="s">
        <v>30</v>
      </c>
      <c r="T64" s="6"/>
      <c r="Y64" s="6"/>
      <c r="AA64" s="50"/>
      <c r="AB64" s="51"/>
      <c r="AG64" t="s">
        <v>130</v>
      </c>
      <c r="AH64" s="25">
        <f>-AH62</f>
        <v>1.59059145</v>
      </c>
      <c r="AI64" t="s">
        <v>30</v>
      </c>
      <c r="AJ64" s="5" t="s">
        <v>156</v>
      </c>
      <c r="AK64" s="25">
        <f>AH51+AH59+AH64</f>
        <v>50.327835867815111</v>
      </c>
      <c r="AL64" t="s">
        <v>30</v>
      </c>
      <c r="AM64" s="6"/>
      <c r="AN64" s="6"/>
      <c r="AR64" s="6"/>
    </row>
    <row r="65" spans="2:44" ht="14.65" thickBot="1" x14ac:dyDescent="0.5">
      <c r="H65" s="8"/>
      <c r="I65" s="9"/>
      <c r="J65" s="9"/>
      <c r="K65" s="9"/>
      <c r="L65" s="9"/>
      <c r="M65" s="9"/>
      <c r="N65" s="9"/>
      <c r="O65" s="9"/>
      <c r="P65" s="9"/>
      <c r="Q65" s="8"/>
      <c r="R65" s="9"/>
      <c r="S65" s="9"/>
      <c r="T65" s="12"/>
      <c r="U65" s="9"/>
      <c r="V65" s="9"/>
      <c r="W65" s="9"/>
      <c r="X65" s="9"/>
      <c r="Y65" s="12"/>
      <c r="AA65" s="8"/>
      <c r="AB65" s="9"/>
      <c r="AC65" s="9"/>
      <c r="AD65" s="9"/>
      <c r="AE65" s="9"/>
      <c r="AF65" s="9"/>
      <c r="AG65" s="9"/>
      <c r="AH65" s="9"/>
      <c r="AI65" s="9"/>
      <c r="AJ65" s="8"/>
      <c r="AK65" s="9"/>
      <c r="AL65" s="9"/>
      <c r="AM65" s="12"/>
      <c r="AN65" s="12"/>
      <c r="AO65" s="9"/>
      <c r="AP65" s="9"/>
      <c r="AQ65" s="9"/>
      <c r="AR65" s="12"/>
    </row>
    <row r="66" spans="2:44" ht="14.65" thickBot="1" x14ac:dyDescent="0.5">
      <c r="H66" s="5"/>
      <c r="AN66" s="6"/>
    </row>
    <row r="67" spans="2:44" x14ac:dyDescent="0.45"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  <c r="AN67" s="6"/>
    </row>
    <row r="68" spans="2:44" x14ac:dyDescent="0.45">
      <c r="H68" s="5"/>
      <c r="Y68" s="6"/>
      <c r="AN68" s="6"/>
    </row>
    <row r="69" spans="2:44" x14ac:dyDescent="0.45">
      <c r="H69" s="5"/>
      <c r="Y69" s="6"/>
      <c r="AN69" s="6"/>
    </row>
    <row r="70" spans="2:44" x14ac:dyDescent="0.45">
      <c r="H70" s="5"/>
      <c r="J70" t="s">
        <v>135</v>
      </c>
      <c r="Y70" s="6"/>
      <c r="AN70" s="6"/>
    </row>
    <row r="71" spans="2:44" x14ac:dyDescent="0.45">
      <c r="H71" s="5"/>
      <c r="Y71" s="6"/>
      <c r="AN71" s="6"/>
    </row>
    <row r="72" spans="2:44" x14ac:dyDescent="0.45">
      <c r="H72" s="5"/>
      <c r="J72" t="s">
        <v>136</v>
      </c>
      <c r="Y72" s="6"/>
      <c r="AN72" s="6"/>
    </row>
    <row r="73" spans="2:44" x14ac:dyDescent="0.45">
      <c r="B73" s="29" t="s">
        <v>159</v>
      </c>
      <c r="H73" s="5"/>
      <c r="I73" t="s">
        <v>158</v>
      </c>
      <c r="J73" s="25">
        <f>2700+$S$3</f>
        <v>3150</v>
      </c>
      <c r="K73" t="s">
        <v>28</v>
      </c>
      <c r="L73" t="s">
        <v>165</v>
      </c>
      <c r="M73" s="25">
        <f>6101</f>
        <v>6101</v>
      </c>
      <c r="N73" t="s">
        <v>4</v>
      </c>
      <c r="Y73" s="6"/>
      <c r="AN73" s="6"/>
    </row>
    <row r="74" spans="2:44" x14ac:dyDescent="0.45">
      <c r="H74" s="5"/>
      <c r="I74" t="s">
        <v>157</v>
      </c>
      <c r="J74" s="25">
        <f>$V$2/J73</f>
        <v>214285.71428571429</v>
      </c>
      <c r="L74" t="s">
        <v>164</v>
      </c>
      <c r="M74" s="25">
        <f>V3/M73</f>
        <v>373401.90132765123</v>
      </c>
      <c r="Y74" s="6"/>
      <c r="AN74" s="6"/>
    </row>
    <row r="75" spans="2:44" x14ac:dyDescent="0.45">
      <c r="H75" s="5"/>
      <c r="Y75" s="6"/>
      <c r="AN75" s="6"/>
    </row>
    <row r="76" spans="2:44" x14ac:dyDescent="0.45">
      <c r="H76" s="5"/>
      <c r="I76" t="s">
        <v>160</v>
      </c>
      <c r="J76" s="25">
        <f>2700+$S$3</f>
        <v>3150</v>
      </c>
      <c r="K76" t="s">
        <v>28</v>
      </c>
      <c r="Y76" s="6"/>
      <c r="AN76" s="6"/>
    </row>
    <row r="77" spans="2:44" x14ac:dyDescent="0.45">
      <c r="H77" s="5"/>
      <c r="I77" t="s">
        <v>161</v>
      </c>
      <c r="J77" s="25">
        <f>$V$2/J76</f>
        <v>214285.71428571429</v>
      </c>
      <c r="Y77" s="6"/>
      <c r="AN77" s="6"/>
    </row>
    <row r="78" spans="2:44" x14ac:dyDescent="0.45">
      <c r="H78" s="5"/>
      <c r="Y78" s="6"/>
      <c r="AN78" s="6"/>
    </row>
    <row r="79" spans="2:44" x14ac:dyDescent="0.45">
      <c r="H79" s="5"/>
      <c r="I79" t="s">
        <v>162</v>
      </c>
      <c r="J79" s="25">
        <f>2700+$S$3</f>
        <v>3150</v>
      </c>
      <c r="K79" t="s">
        <v>28</v>
      </c>
      <c r="Y79" s="6"/>
      <c r="AN79" s="6"/>
    </row>
    <row r="80" spans="2:44" x14ac:dyDescent="0.45">
      <c r="H80" s="5"/>
      <c r="I80" t="s">
        <v>163</v>
      </c>
      <c r="J80" s="25">
        <f>$V$2/J79</f>
        <v>214285.71428571429</v>
      </c>
      <c r="Y80" s="6"/>
      <c r="AN80" s="6"/>
    </row>
    <row r="81" spans="8:40" x14ac:dyDescent="0.45">
      <c r="H81" s="5"/>
      <c r="Y81" s="6"/>
      <c r="AN81" s="6"/>
    </row>
    <row r="82" spans="8:40" x14ac:dyDescent="0.45">
      <c r="H82" s="5"/>
      <c r="I82" t="s">
        <v>169</v>
      </c>
      <c r="J82" s="25">
        <f>2700+$S$3</f>
        <v>3150</v>
      </c>
      <c r="K82" t="s">
        <v>28</v>
      </c>
      <c r="Y82" s="6"/>
      <c r="AN82" s="6"/>
    </row>
    <row r="83" spans="8:40" x14ac:dyDescent="0.45">
      <c r="H83" s="5"/>
      <c r="I83" t="s">
        <v>170</v>
      </c>
      <c r="J83" s="25">
        <f>$V$2/J82</f>
        <v>214285.71428571429</v>
      </c>
      <c r="Y83" s="6"/>
      <c r="AN83" s="6"/>
    </row>
    <row r="84" spans="8:40" x14ac:dyDescent="0.45">
      <c r="H84" s="5"/>
      <c r="Y84" s="6"/>
      <c r="AN84" s="6"/>
    </row>
    <row r="85" spans="8:40" ht="14.65" thickBot="1" x14ac:dyDescent="0.5"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2"/>
      <c r="AN85" s="6"/>
    </row>
    <row r="86" spans="8:40" x14ac:dyDescent="0.45">
      <c r="H86" s="2"/>
      <c r="I86" s="3" t="s">
        <v>166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  <c r="AN86" s="6"/>
    </row>
    <row r="87" spans="8:40" x14ac:dyDescent="0.45">
      <c r="H87" s="5"/>
      <c r="Y87" s="6"/>
      <c r="AN87" s="6"/>
    </row>
    <row r="88" spans="8:40" x14ac:dyDescent="0.45">
      <c r="H88" s="5"/>
      <c r="Y88" s="6"/>
      <c r="AN88" s="6"/>
    </row>
    <row r="89" spans="8:40" x14ac:dyDescent="0.45">
      <c r="H89" s="5"/>
      <c r="Y89" s="6"/>
      <c r="AN89" s="6"/>
    </row>
    <row r="90" spans="8:40" x14ac:dyDescent="0.45">
      <c r="H90" s="5"/>
      <c r="K90" s="52" t="s">
        <v>172</v>
      </c>
      <c r="L90" s="52"/>
      <c r="M90" s="52"/>
      <c r="N90" s="52"/>
      <c r="U90" s="52" t="s">
        <v>173</v>
      </c>
      <c r="V90" s="52"/>
      <c r="W90" s="52"/>
      <c r="X90" s="52"/>
      <c r="Y90" s="6"/>
      <c r="AN90" s="6"/>
    </row>
    <row r="91" spans="8:40" x14ac:dyDescent="0.45">
      <c r="H91" s="5"/>
      <c r="Y91" s="6"/>
      <c r="AN91" s="6"/>
    </row>
    <row r="92" spans="8:40" x14ac:dyDescent="0.45">
      <c r="H92" s="5"/>
      <c r="Y92" s="6"/>
      <c r="AN92" s="6"/>
    </row>
    <row r="93" spans="8:40" x14ac:dyDescent="0.45">
      <c r="H93" s="5"/>
      <c r="J93" s="25">
        <f>SUM(J94:J97)</f>
        <v>27.161743853946788</v>
      </c>
      <c r="O93" s="25">
        <f>SUM(O94:O97)</f>
        <v>-31.036952190843778</v>
      </c>
      <c r="T93" s="25">
        <f>SUM(T94:T97)</f>
        <v>12.425464722611407</v>
      </c>
      <c r="Y93" s="39">
        <f>SUM(Y94:Y97)</f>
        <v>-16.300673059508398</v>
      </c>
      <c r="AN93" s="6"/>
    </row>
    <row r="94" spans="8:40" x14ac:dyDescent="0.45">
      <c r="H94" s="5"/>
      <c r="J94">
        <f>-K106*J98</f>
        <v>0.31273331357454781</v>
      </c>
      <c r="O94">
        <f>-N106*O98</f>
        <v>-0.25227922167050626</v>
      </c>
      <c r="T94">
        <f>-U106*T98</f>
        <v>0.16966855443172035</v>
      </c>
      <c r="Y94" s="6">
        <f>-X106*Y98</f>
        <v>-0.10921446252767884</v>
      </c>
      <c r="AN94" s="6"/>
    </row>
    <row r="95" spans="8:40" x14ac:dyDescent="0.45">
      <c r="H95" s="5"/>
      <c r="J95">
        <f>-K104*J98</f>
        <v>1.0836645809680117</v>
      </c>
      <c r="O95">
        <f>-N104*O98</f>
        <v>-1.3433449372700377</v>
      </c>
      <c r="T95">
        <f>-U104*T98</f>
        <v>0.46913037065446167</v>
      </c>
      <c r="Y95" s="6">
        <f>-X104*Y98</f>
        <v>-0.72881072695648752</v>
      </c>
      <c r="AN95" s="6"/>
    </row>
    <row r="96" spans="8:40" x14ac:dyDescent="0.45">
      <c r="H96" s="5"/>
      <c r="J96">
        <f>-K102*J98</f>
        <v>5.7703338344825097</v>
      </c>
      <c r="O96">
        <f>-N102*O98</f>
        <v>-4.6548777036355755</v>
      </c>
      <c r="T96">
        <f>-U102*T98</f>
        <v>3.1306041211107294</v>
      </c>
      <c r="Y96" s="6">
        <f>-X102*Y98</f>
        <v>-2.0151479902637952</v>
      </c>
      <c r="AN96" s="6"/>
    </row>
    <row r="97" spans="8:40" ht="14.65" thickBot="1" x14ac:dyDescent="0.5">
      <c r="H97" s="5"/>
      <c r="J97">
        <f>-K100*J98</f>
        <v>19.995012124921718</v>
      </c>
      <c r="O97">
        <f>-N100*O98</f>
        <v>-24.786450328267659</v>
      </c>
      <c r="T97">
        <f>-U100*T98</f>
        <v>8.6560616764144953</v>
      </c>
      <c r="Y97" s="6">
        <f>-X100*Y98</f>
        <v>-13.447499879760436</v>
      </c>
      <c r="AN97" s="6"/>
    </row>
    <row r="98" spans="8:40" x14ac:dyDescent="0.45">
      <c r="H98" s="5"/>
      <c r="J98" s="30">
        <f>$J$74/($J$74+$J$77+$M$74)</f>
        <v>0.2671980554673557</v>
      </c>
      <c r="K98" s="3" t="s">
        <v>167</v>
      </c>
      <c r="L98" s="3"/>
      <c r="M98" s="3"/>
      <c r="N98" s="3" t="s">
        <v>168</v>
      </c>
      <c r="O98" s="31">
        <f>$J$80/($J$80+$J$83+$M$74)</f>
        <v>0.2671980554673557</v>
      </c>
      <c r="T98" s="30">
        <f>$J$74/($J$74+$J$77+$M$74)</f>
        <v>0.2671980554673557</v>
      </c>
      <c r="U98" s="3" t="s">
        <v>167</v>
      </c>
      <c r="V98" s="3"/>
      <c r="W98" s="3"/>
      <c r="X98" s="3" t="s">
        <v>168</v>
      </c>
      <c r="Y98" s="31">
        <f>$J$80/($J$80+$J$83+$M$74)</f>
        <v>0.2671980554673557</v>
      </c>
      <c r="AN98" s="6"/>
    </row>
    <row r="99" spans="8:40" x14ac:dyDescent="0.45">
      <c r="H99" s="5"/>
      <c r="J99" s="32">
        <f>$J$77/($J$77+$J$74+$M$74)</f>
        <v>0.2671980554673557</v>
      </c>
      <c r="K99" s="33">
        <f>$M$74/($M$74+$J$74+$J$77)</f>
        <v>0.46560388906528855</v>
      </c>
      <c r="N99" s="33">
        <f>$M$74/($M$74+$J$80+$J$83)</f>
        <v>0.46560388906528855</v>
      </c>
      <c r="O99" s="34">
        <f>$J$83/($J$83+$J$80+$M$74)</f>
        <v>0.2671980554673557</v>
      </c>
      <c r="T99" s="32">
        <f>$J$77/($J$77+$J$74+$M$74)</f>
        <v>0.2671980554673557</v>
      </c>
      <c r="U99" s="33">
        <f>$M$74/($M$74+$J$74+$J$77)</f>
        <v>0.46560388906528855</v>
      </c>
      <c r="X99" s="33">
        <f>$M$74/($M$74+$J$80+$J$83)</f>
        <v>0.46560388906528855</v>
      </c>
      <c r="Y99" s="34">
        <f>$J$83/($J$83+$J$80+$M$74)</f>
        <v>0.2671980554673557</v>
      </c>
      <c r="AN99" s="6"/>
    </row>
    <row r="100" spans="8:40" ht="14.65" thickBot="1" x14ac:dyDescent="0.5">
      <c r="H100" s="5"/>
      <c r="J100" s="8"/>
      <c r="K100" s="9">
        <f>R63</f>
        <v>-74.832176790914417</v>
      </c>
      <c r="L100" s="9"/>
      <c r="M100" s="9"/>
      <c r="N100" s="9">
        <f>R64</f>
        <v>92.764336495315121</v>
      </c>
      <c r="O100" s="12"/>
      <c r="T100" s="8"/>
      <c r="U100" s="9">
        <f>AK63</f>
        <v>-32.395676163414407</v>
      </c>
      <c r="V100" s="9"/>
      <c r="W100" s="9"/>
      <c r="X100" s="9">
        <f>AK64</f>
        <v>50.327835867815111</v>
      </c>
      <c r="Y100" s="12"/>
      <c r="AN100" s="6"/>
    </row>
    <row r="101" spans="8:40" x14ac:dyDescent="0.45">
      <c r="H101" s="5"/>
      <c r="J101">
        <f>-(K100*J99)</f>
        <v>19.995012124921718</v>
      </c>
      <c r="K101">
        <f>-(K100*K99)</f>
        <v>34.842152541070973</v>
      </c>
      <c r="N101">
        <f>-(N100*N99)</f>
        <v>-43.191435838779796</v>
      </c>
      <c r="O101">
        <f>-(N100*O99)</f>
        <v>-24.786450328267659</v>
      </c>
      <c r="T101">
        <f>-(U100*T99)</f>
        <v>8.6560616764144953</v>
      </c>
      <c r="U101">
        <f>-(U100*U99)</f>
        <v>15.083552810585415</v>
      </c>
      <c r="X101">
        <f>-(X100*X99)</f>
        <v>-23.432836108294236</v>
      </c>
      <c r="Y101" s="6">
        <f>-(X100*Y99)</f>
        <v>-13.447499879760436</v>
      </c>
      <c r="AN101" s="6"/>
    </row>
    <row r="102" spans="8:40" x14ac:dyDescent="0.45">
      <c r="H102" s="5"/>
      <c r="K102" s="1">
        <f>N101/2</f>
        <v>-21.595717919389898</v>
      </c>
      <c r="N102" s="1">
        <f>K101/2</f>
        <v>17.421076270535487</v>
      </c>
      <c r="U102" s="1">
        <f>X101/2</f>
        <v>-11.716418054147118</v>
      </c>
      <c r="X102" s="1">
        <f>U101/2</f>
        <v>7.5417764052927074</v>
      </c>
      <c r="Y102" s="6"/>
      <c r="AN102" s="6"/>
    </row>
    <row r="103" spans="8:40" x14ac:dyDescent="0.45">
      <c r="H103" s="5"/>
      <c r="J103">
        <f>-K102*J99</f>
        <v>5.7703338344825097</v>
      </c>
      <c r="K103">
        <f>-(K102*K99)</f>
        <v>10.055050250424879</v>
      </c>
      <c r="N103">
        <f>-(N102*N99)</f>
        <v>-8.1113208632643357</v>
      </c>
      <c r="O103">
        <f>-N102*O99</f>
        <v>-4.6548777036355755</v>
      </c>
      <c r="T103">
        <f>-U102*T99</f>
        <v>3.1306041211107294</v>
      </c>
      <c r="U103">
        <f>-(U102*U99)</f>
        <v>5.4552098119256582</v>
      </c>
      <c r="X103">
        <f>-(X102*X99)</f>
        <v>-3.5114804247651166</v>
      </c>
      <c r="Y103" s="6">
        <f>-X102*Y99</f>
        <v>-2.0151479902637952</v>
      </c>
      <c r="AN103" s="6"/>
    </row>
    <row r="104" spans="8:40" x14ac:dyDescent="0.45">
      <c r="H104" s="5"/>
      <c r="K104" s="1">
        <f>N103/2</f>
        <v>-4.0556604316321678</v>
      </c>
      <c r="N104" s="1">
        <f>K103/2</f>
        <v>5.0275251252124393</v>
      </c>
      <c r="U104" s="1">
        <f>X103/2</f>
        <v>-1.7557402123825583</v>
      </c>
      <c r="X104" s="1">
        <f>U103/2</f>
        <v>2.7276049059628291</v>
      </c>
      <c r="Y104" s="6"/>
      <c r="AN104" s="6"/>
    </row>
    <row r="105" spans="8:40" x14ac:dyDescent="0.45">
      <c r="H105" s="5"/>
      <c r="J105">
        <f>-K104*J99</f>
        <v>1.0836645809680117</v>
      </c>
      <c r="K105">
        <f>-K104*K99</f>
        <v>1.8883312696961441</v>
      </c>
      <c r="N105">
        <f>-N104*N99</f>
        <v>-2.3408352506723635</v>
      </c>
      <c r="O105">
        <f>-N104*O99</f>
        <v>-1.3433449372700377</v>
      </c>
      <c r="T105">
        <f>-U104*T99</f>
        <v>0.46913037065446167</v>
      </c>
      <c r="U105">
        <f>-U104*U99</f>
        <v>0.81747947107363483</v>
      </c>
      <c r="X105">
        <f>-X104*X99</f>
        <v>-1.2699834520498539</v>
      </c>
      <c r="Y105" s="6">
        <f>-X104*Y99</f>
        <v>-0.72881072695648752</v>
      </c>
      <c r="AN105" s="6"/>
    </row>
    <row r="106" spans="8:40" x14ac:dyDescent="0.45">
      <c r="H106" s="5"/>
      <c r="K106" s="1">
        <f>N105/2</f>
        <v>-1.1704176253361818</v>
      </c>
      <c r="N106" s="1">
        <f>K105/2</f>
        <v>0.94416563484807203</v>
      </c>
      <c r="U106" s="1">
        <f>X105/2</f>
        <v>-0.63499172602492693</v>
      </c>
      <c r="X106" s="1">
        <f>U105/2</f>
        <v>0.40873973553681742</v>
      </c>
      <c r="Y106" s="6"/>
      <c r="AN106" s="6"/>
    </row>
    <row r="107" spans="8:40" x14ac:dyDescent="0.45">
      <c r="H107" s="5"/>
      <c r="J107">
        <f>-K106*J99</f>
        <v>0.31273331357454781</v>
      </c>
      <c r="K107">
        <f>-K106*K99</f>
        <v>0.54495099818708603</v>
      </c>
      <c r="N107">
        <f>-N106*N99</f>
        <v>-0.43960719150705946</v>
      </c>
      <c r="O107">
        <f>-N106*O99</f>
        <v>-0.25227922167050626</v>
      </c>
      <c r="T107">
        <f>-U106*T99</f>
        <v>0.16966855443172035</v>
      </c>
      <c r="U107">
        <f>-U106*U99</f>
        <v>0.29565461716148617</v>
      </c>
      <c r="X107">
        <f>-X106*X99</f>
        <v>-0.1903108104814597</v>
      </c>
      <c r="Y107" s="6">
        <f>-X106*Y99</f>
        <v>-0.10921446252767884</v>
      </c>
      <c r="AN107" s="6"/>
    </row>
    <row r="108" spans="8:40" x14ac:dyDescent="0.45">
      <c r="H108" s="5"/>
      <c r="J108" s="25">
        <f>SUM(J101:J107)</f>
        <v>27.161743853946788</v>
      </c>
      <c r="K108" s="25">
        <f>SUM(K100:K107)</f>
        <v>-54.323487707893591</v>
      </c>
      <c r="N108" s="25">
        <f>SUM(N100:N107)</f>
        <v>62.073904381687555</v>
      </c>
      <c r="O108" s="25">
        <f>SUM(O101:O107)</f>
        <v>-31.036952190843778</v>
      </c>
      <c r="T108" s="25">
        <f>SUM(T101:T107)</f>
        <v>12.425464722611405</v>
      </c>
      <c r="U108" s="25">
        <f>SUM(U100:U107)</f>
        <v>-24.850929445222818</v>
      </c>
      <c r="X108" s="25">
        <f>SUM(X100:X107)</f>
        <v>32.601346119016796</v>
      </c>
      <c r="Y108" s="39">
        <f>SUM(Y101:Y107)</f>
        <v>-16.300673059508398</v>
      </c>
      <c r="AN108" s="6"/>
    </row>
    <row r="109" spans="8:40" ht="14.65" thickBot="1" x14ac:dyDescent="0.5">
      <c r="H109" s="5"/>
      <c r="Y109" s="6"/>
      <c r="AN109" s="6"/>
    </row>
    <row r="110" spans="8:40" ht="14.65" thickBot="1" x14ac:dyDescent="0.5">
      <c r="H110" s="5"/>
      <c r="J110" s="35" t="s">
        <v>171</v>
      </c>
      <c r="K110" s="37">
        <f>J108+K108+J93</f>
        <v>0</v>
      </c>
      <c r="L110" s="36"/>
      <c r="M110" s="36"/>
      <c r="N110" s="36" t="s">
        <v>171</v>
      </c>
      <c r="O110" s="38">
        <f>O93+O108+N108</f>
        <v>0</v>
      </c>
      <c r="T110" s="35" t="s">
        <v>171</v>
      </c>
      <c r="U110" s="37">
        <f>T108+U108+T93</f>
        <v>0</v>
      </c>
      <c r="V110" s="36"/>
      <c r="W110" s="36"/>
      <c r="X110" s="36" t="s">
        <v>171</v>
      </c>
      <c r="Y110" s="38">
        <f>Y93+Y108+X108</f>
        <v>0</v>
      </c>
      <c r="AN110" s="6"/>
    </row>
    <row r="111" spans="8:40" x14ac:dyDescent="0.45">
      <c r="H111" s="5"/>
      <c r="Y111" s="6"/>
      <c r="AN111" s="6"/>
    </row>
    <row r="112" spans="8:40" ht="14.65" thickBot="1" x14ac:dyDescent="0.5"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2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12"/>
    </row>
  </sheetData>
  <mergeCells count="15">
    <mergeCell ref="I12:S12"/>
    <mergeCell ref="H57:I64"/>
    <mergeCell ref="K90:N90"/>
    <mergeCell ref="U90:X90"/>
    <mergeCell ref="AD48:AI48"/>
    <mergeCell ref="AD56:AI56"/>
    <mergeCell ref="AA57:AB64"/>
    <mergeCell ref="AD61:AI61"/>
    <mergeCell ref="K48:P48"/>
    <mergeCell ref="K56:P56"/>
    <mergeCell ref="K61:P61"/>
    <mergeCell ref="K28:O28"/>
    <mergeCell ref="S28:W28"/>
    <mergeCell ref="K42:O42"/>
    <mergeCell ref="S42:W4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C08E-04FA-485A-AD7B-5B47DB7E7855}">
  <dimension ref="B2:X119"/>
  <sheetViews>
    <sheetView topLeftCell="B47" workbookViewId="0">
      <selection activeCell="P67" sqref="P67"/>
    </sheetView>
  </sheetViews>
  <sheetFormatPr defaultRowHeight="14.25" x14ac:dyDescent="0.45"/>
  <cols>
    <col min="5" max="5" width="11" bestFit="1" customWidth="1"/>
    <col min="16" max="16" width="10" bestFit="1" customWidth="1"/>
  </cols>
  <sheetData>
    <row r="2" spans="3:15" x14ac:dyDescent="0.45">
      <c r="C2" t="s">
        <v>182</v>
      </c>
    </row>
    <row r="3" spans="3:15" x14ac:dyDescent="0.45">
      <c r="O3" t="s">
        <v>190</v>
      </c>
    </row>
    <row r="4" spans="3:15" x14ac:dyDescent="0.45">
      <c r="D4" s="42" t="s">
        <v>119</v>
      </c>
      <c r="E4" s="42"/>
      <c r="F4" s="42"/>
      <c r="G4" s="42"/>
      <c r="H4" s="42" t="s">
        <v>121</v>
      </c>
      <c r="I4" s="42"/>
      <c r="J4" s="42"/>
      <c r="K4" s="42" t="s">
        <v>124</v>
      </c>
      <c r="L4" s="42"/>
      <c r="M4" s="42"/>
    </row>
    <row r="5" spans="3:15" x14ac:dyDescent="0.45">
      <c r="D5" s="42" t="s">
        <v>175</v>
      </c>
      <c r="E5" s="42">
        <v>400</v>
      </c>
      <c r="F5" s="42" t="s">
        <v>4</v>
      </c>
      <c r="G5" s="42"/>
      <c r="H5" s="42" t="s">
        <v>175</v>
      </c>
      <c r="I5" s="42">
        <v>250</v>
      </c>
      <c r="J5" s="42" t="s">
        <v>4</v>
      </c>
      <c r="K5" s="42" t="s">
        <v>179</v>
      </c>
      <c r="L5" s="42">
        <v>10</v>
      </c>
      <c r="M5" s="42" t="s">
        <v>110</v>
      </c>
    </row>
    <row r="6" spans="3:15" x14ac:dyDescent="0.45">
      <c r="D6" s="42" t="s">
        <v>176</v>
      </c>
      <c r="E6" s="42">
        <v>400</v>
      </c>
      <c r="F6" s="42" t="s">
        <v>4</v>
      </c>
      <c r="G6" s="42"/>
      <c r="H6" s="42" t="s">
        <v>176</v>
      </c>
      <c r="I6" s="42">
        <v>500</v>
      </c>
      <c r="J6" s="42" t="s">
        <v>4</v>
      </c>
      <c r="K6" s="42" t="s">
        <v>180</v>
      </c>
      <c r="L6" s="42">
        <f>L5*(I8/1000)^2/12</f>
        <v>1.3546874999999998</v>
      </c>
      <c r="M6" s="42" t="s">
        <v>30</v>
      </c>
    </row>
    <row r="7" spans="3:15" x14ac:dyDescent="0.45">
      <c r="D7" s="42" t="s">
        <v>122</v>
      </c>
      <c r="E7" s="42">
        <f>(E5*E6^3)/12</f>
        <v>2133333333.3333333</v>
      </c>
      <c r="F7" s="42"/>
      <c r="G7" s="42"/>
      <c r="H7" s="42" t="s">
        <v>122</v>
      </c>
      <c r="I7" s="42">
        <f>(I5*I6^3)/12</f>
        <v>2604166666.6666665</v>
      </c>
      <c r="J7" s="42"/>
      <c r="K7" s="42"/>
      <c r="L7" s="42"/>
      <c r="M7" s="42"/>
    </row>
    <row r="8" spans="3:15" x14ac:dyDescent="0.45">
      <c r="D8" s="42" t="s">
        <v>177</v>
      </c>
      <c r="E8" s="42">
        <v>2500</v>
      </c>
      <c r="F8" s="42" t="s">
        <v>4</v>
      </c>
      <c r="G8" s="42"/>
      <c r="H8" s="42" t="s">
        <v>177</v>
      </c>
      <c r="I8" s="42">
        <v>1275</v>
      </c>
      <c r="J8" s="42" t="s">
        <v>4</v>
      </c>
      <c r="K8" s="42"/>
      <c r="L8" s="42"/>
      <c r="M8" s="42"/>
    </row>
    <row r="9" spans="3:15" x14ac:dyDescent="0.45">
      <c r="D9" s="42" t="s">
        <v>178</v>
      </c>
      <c r="E9" s="42">
        <f>E7/E8</f>
        <v>853333.33333333326</v>
      </c>
      <c r="F9" s="42"/>
      <c r="G9" s="42"/>
      <c r="H9" s="42" t="s">
        <v>178</v>
      </c>
      <c r="I9" s="42">
        <f>I7/I8</f>
        <v>2042483.6601307187</v>
      </c>
      <c r="J9" s="42"/>
      <c r="K9" s="42"/>
      <c r="L9" s="42"/>
      <c r="M9" s="42"/>
    </row>
    <row r="10" spans="3:15" x14ac:dyDescent="0.45">
      <c r="D10" s="42"/>
      <c r="E10" s="42"/>
      <c r="F10" s="42"/>
      <c r="G10" s="42"/>
      <c r="H10" s="42" t="s">
        <v>181</v>
      </c>
      <c r="I10" s="42">
        <f>I9*0.5</f>
        <v>1021241.8300653594</v>
      </c>
      <c r="J10" s="42"/>
      <c r="K10" s="42"/>
      <c r="L10" s="42"/>
      <c r="M10" s="42"/>
    </row>
    <row r="11" spans="3:15" x14ac:dyDescent="0.45">
      <c r="D11" s="42" t="s">
        <v>183</v>
      </c>
      <c r="E11" s="42">
        <f>L6*E9/(E9+I10)</f>
        <v>0.61667305881942747</v>
      </c>
      <c r="F11" s="42" t="s">
        <v>30</v>
      </c>
      <c r="G11" s="42"/>
      <c r="H11" s="42"/>
      <c r="I11" s="42"/>
      <c r="J11" s="42"/>
      <c r="K11" s="42"/>
      <c r="L11" s="42"/>
      <c r="M11" s="42" t="s">
        <v>189</v>
      </c>
    </row>
    <row r="12" spans="3:15" x14ac:dyDescent="0.45">
      <c r="D12" s="42" t="s">
        <v>193</v>
      </c>
      <c r="E12">
        <f>L5*I8/2000</f>
        <v>6.375</v>
      </c>
      <c r="F12" t="s">
        <v>48</v>
      </c>
    </row>
    <row r="16" spans="3:15" x14ac:dyDescent="0.45">
      <c r="D16" s="41" t="s">
        <v>119</v>
      </c>
      <c r="E16" s="41"/>
      <c r="F16" s="41"/>
      <c r="G16" s="41"/>
      <c r="H16" s="41" t="s">
        <v>121</v>
      </c>
      <c r="I16" s="41"/>
      <c r="J16" s="41"/>
      <c r="K16" s="41" t="s">
        <v>124</v>
      </c>
      <c r="L16" s="41"/>
      <c r="M16" s="41"/>
    </row>
    <row r="17" spans="3:17" x14ac:dyDescent="0.45">
      <c r="D17" s="41" t="s">
        <v>175</v>
      </c>
      <c r="E17" s="41">
        <v>400</v>
      </c>
      <c r="F17" s="41" t="s">
        <v>4</v>
      </c>
      <c r="G17" s="41"/>
      <c r="H17" s="41" t="s">
        <v>175</v>
      </c>
      <c r="I17" s="41">
        <v>250</v>
      </c>
      <c r="J17" s="41" t="s">
        <v>4</v>
      </c>
      <c r="K17" s="41" t="s">
        <v>179</v>
      </c>
      <c r="L17" s="41">
        <v>10</v>
      </c>
      <c r="M17" s="41" t="s">
        <v>110</v>
      </c>
    </row>
    <row r="18" spans="3:17" x14ac:dyDescent="0.45">
      <c r="D18" s="41" t="s">
        <v>176</v>
      </c>
      <c r="E18" s="41">
        <v>400</v>
      </c>
      <c r="F18" s="41" t="s">
        <v>4</v>
      </c>
      <c r="G18" s="41"/>
      <c r="H18" s="41" t="s">
        <v>176</v>
      </c>
      <c r="I18" s="41">
        <v>500</v>
      </c>
      <c r="J18" s="41" t="s">
        <v>4</v>
      </c>
      <c r="K18" s="41" t="s">
        <v>180</v>
      </c>
      <c r="L18" s="41">
        <f>L17*(I20/1000)^2/12</f>
        <v>5.8520833333333329</v>
      </c>
      <c r="M18" s="41" t="s">
        <v>30</v>
      </c>
    </row>
    <row r="19" spans="3:17" x14ac:dyDescent="0.45">
      <c r="D19" s="41" t="s">
        <v>122</v>
      </c>
      <c r="E19" s="41">
        <f>(E17*E18^3)/12</f>
        <v>2133333333.3333333</v>
      </c>
      <c r="F19" s="41"/>
      <c r="G19" s="41"/>
      <c r="H19" s="41" t="s">
        <v>122</v>
      </c>
      <c r="I19" s="41">
        <f>(I17*I18^3)/12</f>
        <v>2604166666.6666665</v>
      </c>
      <c r="J19" s="41"/>
      <c r="K19" s="41"/>
      <c r="L19" s="41"/>
      <c r="M19" s="41"/>
    </row>
    <row r="20" spans="3:17" x14ac:dyDescent="0.45">
      <c r="D20" s="41" t="s">
        <v>177</v>
      </c>
      <c r="E20" s="41">
        <v>2500</v>
      </c>
      <c r="F20" s="41" t="s">
        <v>4</v>
      </c>
      <c r="G20" s="41"/>
      <c r="H20" s="41" t="s">
        <v>177</v>
      </c>
      <c r="I20" s="41">
        <v>2650</v>
      </c>
      <c r="J20" s="41" t="s">
        <v>4</v>
      </c>
      <c r="K20" s="41"/>
      <c r="L20" s="41"/>
      <c r="M20" s="41"/>
    </row>
    <row r="21" spans="3:17" x14ac:dyDescent="0.45">
      <c r="D21" s="41" t="s">
        <v>178</v>
      </c>
      <c r="E21" s="41">
        <f>E19/E20</f>
        <v>853333.33333333326</v>
      </c>
      <c r="F21" s="41"/>
      <c r="G21" s="41"/>
      <c r="H21" s="41" t="s">
        <v>178</v>
      </c>
      <c r="I21" s="41">
        <f>I19/I20</f>
        <v>982704.40251572325</v>
      </c>
      <c r="J21" s="41"/>
      <c r="K21" s="41"/>
      <c r="L21" s="41"/>
      <c r="M21" s="41"/>
    </row>
    <row r="22" spans="3:17" x14ac:dyDescent="0.45">
      <c r="D22" s="41"/>
      <c r="E22" s="41"/>
      <c r="F22" s="41"/>
      <c r="G22" s="41"/>
      <c r="H22" s="41" t="s">
        <v>181</v>
      </c>
      <c r="I22" s="41">
        <f>I21*0.5</f>
        <v>491352.20125786163</v>
      </c>
      <c r="J22" s="41"/>
      <c r="K22" s="41"/>
      <c r="L22" s="41"/>
      <c r="M22" s="41"/>
    </row>
    <row r="23" spans="3:17" x14ac:dyDescent="0.45">
      <c r="D23" s="41" t="s">
        <v>183</v>
      </c>
      <c r="E23" s="41">
        <f>L18*E21/(E21+I22)</f>
        <v>3.7137142099888525</v>
      </c>
      <c r="F23" s="41" t="s">
        <v>30</v>
      </c>
      <c r="G23" s="41"/>
      <c r="H23" s="41"/>
      <c r="I23" s="41"/>
      <c r="J23" s="41"/>
      <c r="K23" s="41"/>
      <c r="L23" s="41"/>
      <c r="M23" s="41"/>
    </row>
    <row r="24" spans="3:17" x14ac:dyDescent="0.45">
      <c r="D24" s="42" t="s">
        <v>193</v>
      </c>
      <c r="E24">
        <f>L17*I20/2000</f>
        <v>13.25</v>
      </c>
      <c r="F24" t="s">
        <v>48</v>
      </c>
    </row>
    <row r="26" spans="3:17" x14ac:dyDescent="0.45">
      <c r="C26" t="s">
        <v>304</v>
      </c>
    </row>
    <row r="27" spans="3:17" x14ac:dyDescent="0.45">
      <c r="C27" s="42" t="s">
        <v>184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3:17" x14ac:dyDescent="0.45">
      <c r="C28" s="42"/>
      <c r="D28" s="42" t="s">
        <v>187</v>
      </c>
      <c r="E28" s="42"/>
      <c r="F28" s="42"/>
      <c r="G28" s="42"/>
      <c r="H28" s="42" t="s">
        <v>188</v>
      </c>
      <c r="I28" s="42"/>
      <c r="J28" s="42"/>
      <c r="K28" s="42"/>
      <c r="L28" s="42" t="s">
        <v>121</v>
      </c>
      <c r="M28" s="42"/>
      <c r="N28" s="42"/>
      <c r="O28" s="42" t="s">
        <v>124</v>
      </c>
      <c r="P28" s="42"/>
      <c r="Q28" s="42"/>
    </row>
    <row r="29" spans="3:17" x14ac:dyDescent="0.45">
      <c r="C29" s="42"/>
      <c r="D29" s="42" t="s">
        <v>175</v>
      </c>
      <c r="E29" s="42">
        <v>400</v>
      </c>
      <c r="F29" s="42" t="s">
        <v>4</v>
      </c>
      <c r="G29" s="42"/>
      <c r="H29" s="42" t="s">
        <v>175</v>
      </c>
      <c r="I29" s="42">
        <v>400</v>
      </c>
      <c r="J29" s="42" t="s">
        <v>4</v>
      </c>
      <c r="K29" s="42"/>
      <c r="L29" s="42" t="s">
        <v>175</v>
      </c>
      <c r="M29" s="42">
        <v>250</v>
      </c>
      <c r="N29" s="42" t="s">
        <v>4</v>
      </c>
      <c r="O29" s="42" t="s">
        <v>179</v>
      </c>
      <c r="P29" s="42">
        <v>3.125</v>
      </c>
      <c r="Q29" s="42" t="s">
        <v>110</v>
      </c>
    </row>
    <row r="30" spans="3:17" x14ac:dyDescent="0.45">
      <c r="C30" s="42"/>
      <c r="D30" s="42" t="s">
        <v>176</v>
      </c>
      <c r="E30" s="42">
        <v>400</v>
      </c>
      <c r="F30" s="42" t="s">
        <v>4</v>
      </c>
      <c r="G30" s="42"/>
      <c r="H30" s="42" t="s">
        <v>176</v>
      </c>
      <c r="I30" s="42">
        <v>400</v>
      </c>
      <c r="J30" s="42" t="s">
        <v>4</v>
      </c>
      <c r="K30" s="42"/>
      <c r="L30" s="42" t="s">
        <v>176</v>
      </c>
      <c r="M30" s="42">
        <v>500</v>
      </c>
      <c r="N30" s="42" t="s">
        <v>4</v>
      </c>
      <c r="O30" s="42" t="s">
        <v>180</v>
      </c>
      <c r="P30" s="42">
        <f>P29*(M32/1000)^2/12</f>
        <v>0.42333984375</v>
      </c>
      <c r="Q30" s="42" t="s">
        <v>30</v>
      </c>
    </row>
    <row r="31" spans="3:17" x14ac:dyDescent="0.45">
      <c r="C31" s="42"/>
      <c r="D31" s="42" t="s">
        <v>122</v>
      </c>
      <c r="E31" s="42">
        <f>(E29*E30^3)/12</f>
        <v>2133333333.3333333</v>
      </c>
      <c r="F31" s="42"/>
      <c r="G31" s="42"/>
      <c r="H31" s="42" t="s">
        <v>122</v>
      </c>
      <c r="I31" s="42">
        <f>(I29*I30^3)/12</f>
        <v>2133333333.3333333</v>
      </c>
      <c r="J31" s="42"/>
      <c r="K31" s="42"/>
      <c r="L31" s="42" t="s">
        <v>122</v>
      </c>
      <c r="M31" s="42">
        <f>(M29*M30^3)/12</f>
        <v>2604166666.6666665</v>
      </c>
      <c r="N31" s="42"/>
      <c r="O31" s="42"/>
      <c r="P31" s="42"/>
      <c r="Q31" s="42"/>
    </row>
    <row r="32" spans="3:17" x14ac:dyDescent="0.45">
      <c r="C32" s="42"/>
      <c r="D32" s="42" t="s">
        <v>177</v>
      </c>
      <c r="E32" s="42">
        <v>2500</v>
      </c>
      <c r="F32" s="42" t="s">
        <v>4</v>
      </c>
      <c r="G32" s="42"/>
      <c r="H32" s="42" t="s">
        <v>177</v>
      </c>
      <c r="I32" s="42">
        <v>2500</v>
      </c>
      <c r="J32" s="42" t="s">
        <v>4</v>
      </c>
      <c r="K32" s="42"/>
      <c r="L32" s="42" t="s">
        <v>177</v>
      </c>
      <c r="M32" s="42">
        <v>1275</v>
      </c>
      <c r="N32" s="42" t="s">
        <v>4</v>
      </c>
      <c r="O32" s="42"/>
      <c r="P32" s="42"/>
      <c r="Q32" s="42"/>
    </row>
    <row r="33" spans="3:17" x14ac:dyDescent="0.45">
      <c r="C33" s="42"/>
      <c r="D33" s="42" t="s">
        <v>178</v>
      </c>
      <c r="E33" s="42">
        <f>E31/E32</f>
        <v>853333.33333333326</v>
      </c>
      <c r="F33" s="42"/>
      <c r="G33" s="42"/>
      <c r="H33" s="42" t="s">
        <v>178</v>
      </c>
      <c r="I33" s="42">
        <f>I31/I32</f>
        <v>853333.33333333326</v>
      </c>
      <c r="J33" s="42"/>
      <c r="K33" s="42"/>
      <c r="L33" s="42" t="s">
        <v>178</v>
      </c>
      <c r="M33" s="42">
        <f>M31/M32</f>
        <v>2042483.6601307187</v>
      </c>
      <c r="N33" s="42"/>
      <c r="O33" s="42"/>
      <c r="P33" s="42"/>
      <c r="Q33" s="42"/>
    </row>
    <row r="34" spans="3:17" x14ac:dyDescent="0.45">
      <c r="C34" s="42"/>
      <c r="D34" s="42"/>
      <c r="E34" s="42"/>
      <c r="F34" s="42"/>
      <c r="G34" s="42"/>
      <c r="H34" s="42"/>
      <c r="I34" s="42"/>
      <c r="J34" s="42"/>
      <c r="K34" s="42"/>
      <c r="L34" s="42" t="s">
        <v>181</v>
      </c>
      <c r="M34" s="42">
        <f>M33*0.5</f>
        <v>1021241.8300653594</v>
      </c>
      <c r="N34" s="42"/>
      <c r="O34" s="42"/>
      <c r="P34" s="42"/>
      <c r="Q34" s="42"/>
    </row>
    <row r="35" spans="3:17" x14ac:dyDescent="0.45">
      <c r="C35" s="42"/>
      <c r="D35" s="42" t="s">
        <v>185</v>
      </c>
      <c r="E35" s="42">
        <f>P30*E33/(E33+I33+M34)</f>
        <v>0.13242746244339554</v>
      </c>
      <c r="F35" s="42" t="s">
        <v>30</v>
      </c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</row>
    <row r="36" spans="3:17" x14ac:dyDescent="0.45">
      <c r="C36" s="42"/>
      <c r="D36" s="42" t="s">
        <v>186</v>
      </c>
      <c r="E36" s="42">
        <f>I33*P30/(E33+I33+M34)</f>
        <v>0.13242746244339554</v>
      </c>
      <c r="F36" s="42" t="s">
        <v>30</v>
      </c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</row>
    <row r="37" spans="3:17" x14ac:dyDescent="0.45">
      <c r="C37" s="42"/>
      <c r="D37" s="42" t="s">
        <v>193</v>
      </c>
      <c r="E37">
        <f>P29*M32/2000</f>
        <v>1.9921875</v>
      </c>
      <c r="F37" t="s">
        <v>48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3:17" x14ac:dyDescent="0.45">
      <c r="D38" s="42"/>
    </row>
    <row r="39" spans="3:17" x14ac:dyDescent="0.45">
      <c r="C39" s="41" t="s">
        <v>184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</row>
    <row r="40" spans="3:17" x14ac:dyDescent="0.45">
      <c r="C40" s="41"/>
      <c r="D40" s="41" t="s">
        <v>187</v>
      </c>
      <c r="E40" s="41"/>
      <c r="F40" s="41"/>
      <c r="G40" s="41"/>
      <c r="H40" s="41" t="s">
        <v>188</v>
      </c>
      <c r="I40" s="41"/>
      <c r="J40" s="41"/>
      <c r="K40" s="41"/>
      <c r="L40" s="41" t="s">
        <v>121</v>
      </c>
      <c r="M40" s="41"/>
      <c r="N40" s="41"/>
      <c r="O40" s="41" t="s">
        <v>124</v>
      </c>
      <c r="P40" s="41"/>
      <c r="Q40" s="41"/>
    </row>
    <row r="41" spans="3:17" x14ac:dyDescent="0.45">
      <c r="C41" s="41"/>
      <c r="D41" s="41" t="s">
        <v>175</v>
      </c>
      <c r="E41" s="41">
        <v>400</v>
      </c>
      <c r="F41" s="41" t="s">
        <v>4</v>
      </c>
      <c r="G41" s="41"/>
      <c r="H41" s="41" t="s">
        <v>175</v>
      </c>
      <c r="I41" s="41">
        <v>400</v>
      </c>
      <c r="J41" s="41" t="s">
        <v>4</v>
      </c>
      <c r="K41" s="41"/>
      <c r="L41" s="41" t="s">
        <v>175</v>
      </c>
      <c r="M41" s="41">
        <v>250</v>
      </c>
      <c r="N41" s="41" t="s">
        <v>4</v>
      </c>
      <c r="O41" s="41" t="s">
        <v>179</v>
      </c>
      <c r="P41" s="41">
        <v>3.125</v>
      </c>
      <c r="Q41" s="41" t="s">
        <v>110</v>
      </c>
    </row>
    <row r="42" spans="3:17" x14ac:dyDescent="0.45">
      <c r="C42" s="41"/>
      <c r="D42" s="41" t="s">
        <v>176</v>
      </c>
      <c r="E42" s="41">
        <v>400</v>
      </c>
      <c r="F42" s="41" t="s">
        <v>4</v>
      </c>
      <c r="G42" s="41"/>
      <c r="H42" s="41" t="s">
        <v>176</v>
      </c>
      <c r="I42" s="41">
        <v>400</v>
      </c>
      <c r="J42" s="41" t="s">
        <v>4</v>
      </c>
      <c r="K42" s="41"/>
      <c r="L42" s="41" t="s">
        <v>176</v>
      </c>
      <c r="M42" s="41">
        <v>500</v>
      </c>
      <c r="N42" s="41" t="s">
        <v>4</v>
      </c>
      <c r="O42" s="41" t="s">
        <v>180</v>
      </c>
      <c r="P42" s="41">
        <f>P41*(M44/1000)^2/12</f>
        <v>1.8287760416666667</v>
      </c>
      <c r="Q42" s="41" t="s">
        <v>30</v>
      </c>
    </row>
    <row r="43" spans="3:17" x14ac:dyDescent="0.45">
      <c r="C43" s="41"/>
      <c r="D43" s="41" t="s">
        <v>122</v>
      </c>
      <c r="E43" s="41">
        <f>(E41*E42^3)/12</f>
        <v>2133333333.3333333</v>
      </c>
      <c r="F43" s="41"/>
      <c r="G43" s="41"/>
      <c r="H43" s="41" t="s">
        <v>122</v>
      </c>
      <c r="I43" s="41">
        <f>(I41*I42^3)/12</f>
        <v>2133333333.3333333</v>
      </c>
      <c r="J43" s="41"/>
      <c r="K43" s="41"/>
      <c r="L43" s="41" t="s">
        <v>122</v>
      </c>
      <c r="M43" s="41">
        <f>(M41*M42^3)/12</f>
        <v>2604166666.6666665</v>
      </c>
      <c r="N43" s="41"/>
      <c r="O43" s="41"/>
      <c r="P43" s="41"/>
      <c r="Q43" s="41"/>
    </row>
    <row r="44" spans="3:17" x14ac:dyDescent="0.45">
      <c r="C44" s="41"/>
      <c r="D44" s="41" t="s">
        <v>177</v>
      </c>
      <c r="E44" s="41">
        <v>2500</v>
      </c>
      <c r="F44" s="41" t="s">
        <v>4</v>
      </c>
      <c r="G44" s="41"/>
      <c r="H44" s="41" t="s">
        <v>177</v>
      </c>
      <c r="I44" s="41">
        <v>2500</v>
      </c>
      <c r="J44" s="41" t="s">
        <v>4</v>
      </c>
      <c r="K44" s="41"/>
      <c r="L44" s="41" t="s">
        <v>177</v>
      </c>
      <c r="M44" s="41">
        <v>2650</v>
      </c>
      <c r="N44" s="41" t="s">
        <v>4</v>
      </c>
      <c r="O44" s="41"/>
      <c r="P44" s="41"/>
      <c r="Q44" s="41"/>
    </row>
    <row r="45" spans="3:17" x14ac:dyDescent="0.45">
      <c r="C45" s="41"/>
      <c r="D45" s="41" t="s">
        <v>178</v>
      </c>
      <c r="E45" s="41">
        <f>E43/E44</f>
        <v>853333.33333333326</v>
      </c>
      <c r="F45" s="41"/>
      <c r="G45" s="41"/>
      <c r="H45" s="41" t="s">
        <v>178</v>
      </c>
      <c r="I45" s="41">
        <f>I43/I44</f>
        <v>853333.33333333326</v>
      </c>
      <c r="J45" s="41"/>
      <c r="K45" s="41"/>
      <c r="L45" s="41" t="s">
        <v>178</v>
      </c>
      <c r="M45" s="41">
        <f>M43/M44</f>
        <v>982704.40251572325</v>
      </c>
      <c r="N45" s="41"/>
      <c r="O45" s="41"/>
      <c r="P45" s="41"/>
      <c r="Q45" s="41"/>
    </row>
    <row r="46" spans="3:17" x14ac:dyDescent="0.45">
      <c r="C46" s="41"/>
      <c r="D46" s="41"/>
      <c r="E46" s="41"/>
      <c r="F46" s="41"/>
      <c r="G46" s="41"/>
      <c r="H46" s="41"/>
      <c r="I46" s="41"/>
      <c r="J46" s="41"/>
      <c r="K46" s="41"/>
      <c r="L46" s="41" t="s">
        <v>181</v>
      </c>
      <c r="M46" s="41">
        <f>M45*0.5</f>
        <v>491352.20125786163</v>
      </c>
      <c r="N46" s="41"/>
      <c r="O46" s="41"/>
      <c r="P46" s="41"/>
      <c r="Q46" s="41"/>
    </row>
    <row r="47" spans="3:17" x14ac:dyDescent="0.45">
      <c r="C47" s="41"/>
      <c r="D47" s="41" t="s">
        <v>185</v>
      </c>
      <c r="E47" s="41">
        <f>P42*E45/(E45+I45+M46)</f>
        <v>0.70998278419197769</v>
      </c>
      <c r="F47" s="41" t="s">
        <v>30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</row>
    <row r="48" spans="3:17" x14ac:dyDescent="0.45">
      <c r="C48" s="41"/>
      <c r="D48" s="41" t="s">
        <v>186</v>
      </c>
      <c r="E48" s="41">
        <f>I45*P42/(E45+I45+M46)</f>
        <v>0.70998278419197769</v>
      </c>
      <c r="F48" s="41" t="s">
        <v>30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</row>
    <row r="49" spans="3:17" x14ac:dyDescent="0.45">
      <c r="D49" s="42" t="s">
        <v>193</v>
      </c>
      <c r="E49">
        <f>P41*M44/2000</f>
        <v>4.140625</v>
      </c>
      <c r="F49" t="s">
        <v>48</v>
      </c>
    </row>
    <row r="50" spans="3:17" x14ac:dyDescent="0.45">
      <c r="C50" t="s">
        <v>191</v>
      </c>
    </row>
    <row r="52" spans="3:17" x14ac:dyDescent="0.45">
      <c r="C52" s="42" t="s">
        <v>192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</row>
    <row r="53" spans="3:17" x14ac:dyDescent="0.45">
      <c r="C53" s="42"/>
      <c r="D53" s="42" t="s">
        <v>187</v>
      </c>
      <c r="E53" s="42"/>
      <c r="F53" s="42"/>
      <c r="G53" s="42"/>
      <c r="H53" s="42" t="s">
        <v>188</v>
      </c>
      <c r="I53" s="42"/>
      <c r="J53" s="42"/>
      <c r="K53" s="42"/>
      <c r="L53" s="42" t="s">
        <v>121</v>
      </c>
      <c r="M53" s="42"/>
      <c r="N53" s="42"/>
      <c r="O53" s="42" t="s">
        <v>124</v>
      </c>
      <c r="P53" s="42"/>
      <c r="Q53" s="42"/>
    </row>
    <row r="54" spans="3:17" x14ac:dyDescent="0.45">
      <c r="C54" s="42"/>
      <c r="D54" s="42" t="s">
        <v>175</v>
      </c>
      <c r="E54" s="42">
        <v>400</v>
      </c>
      <c r="F54" s="42" t="s">
        <v>4</v>
      </c>
      <c r="G54" s="42"/>
      <c r="H54" s="42" t="s">
        <v>175</v>
      </c>
      <c r="I54" s="42">
        <v>400</v>
      </c>
      <c r="J54" s="42" t="s">
        <v>4</v>
      </c>
      <c r="K54" s="42"/>
      <c r="L54" s="42" t="s">
        <v>175</v>
      </c>
      <c r="M54" s="42">
        <v>250</v>
      </c>
      <c r="N54" s="42" t="s">
        <v>4</v>
      </c>
      <c r="O54" s="42" t="s">
        <v>179</v>
      </c>
      <c r="P54" s="42">
        <v>3.125</v>
      </c>
      <c r="Q54" s="42" t="s">
        <v>110</v>
      </c>
    </row>
    <row r="55" spans="3:17" x14ac:dyDescent="0.45">
      <c r="C55" s="42"/>
      <c r="D55" s="42" t="s">
        <v>176</v>
      </c>
      <c r="E55" s="42">
        <v>400</v>
      </c>
      <c r="F55" s="42" t="s">
        <v>4</v>
      </c>
      <c r="G55" s="42"/>
      <c r="H55" s="42" t="s">
        <v>176</v>
      </c>
      <c r="I55" s="42">
        <v>400</v>
      </c>
      <c r="J55" s="42" t="s">
        <v>4</v>
      </c>
      <c r="K55" s="42"/>
      <c r="L55" s="42" t="s">
        <v>176</v>
      </c>
      <c r="M55" s="42">
        <v>500</v>
      </c>
      <c r="N55" s="42" t="s">
        <v>4</v>
      </c>
      <c r="O55" s="42" t="s">
        <v>180</v>
      </c>
      <c r="P55" s="42">
        <f>P54*(M57/1000)^2/12</f>
        <v>0.42333984375</v>
      </c>
      <c r="Q55" s="42" t="s">
        <v>30</v>
      </c>
    </row>
    <row r="56" spans="3:17" x14ac:dyDescent="0.45">
      <c r="C56" s="42"/>
      <c r="D56" s="42" t="s">
        <v>122</v>
      </c>
      <c r="E56" s="42">
        <f>(E54*E55^3)/12</f>
        <v>2133333333.3333333</v>
      </c>
      <c r="F56" s="42"/>
      <c r="G56" s="42"/>
      <c r="H56" s="42" t="s">
        <v>122</v>
      </c>
      <c r="I56" s="42">
        <f>(I54*I55^3)/12</f>
        <v>2133333333.3333333</v>
      </c>
      <c r="J56" s="42"/>
      <c r="K56" s="42"/>
      <c r="L56" s="42" t="s">
        <v>122</v>
      </c>
      <c r="M56" s="42">
        <f>(M54*M55^3)/12</f>
        <v>2604166666.6666665</v>
      </c>
      <c r="N56" s="42"/>
      <c r="O56" s="42"/>
      <c r="P56" s="42"/>
      <c r="Q56" s="42"/>
    </row>
    <row r="57" spans="3:17" x14ac:dyDescent="0.45">
      <c r="C57" s="42"/>
      <c r="D57" s="42" t="s">
        <v>177</v>
      </c>
      <c r="E57" s="42">
        <v>2500</v>
      </c>
      <c r="F57" s="42" t="s">
        <v>4</v>
      </c>
      <c r="G57" s="42"/>
      <c r="H57" s="42" t="s">
        <v>177</v>
      </c>
      <c r="I57" s="42">
        <v>1225</v>
      </c>
      <c r="J57" s="42" t="s">
        <v>4</v>
      </c>
      <c r="K57" s="42"/>
      <c r="L57" s="42" t="s">
        <v>177</v>
      </c>
      <c r="M57" s="42">
        <v>1275</v>
      </c>
      <c r="N57" s="42" t="s">
        <v>4</v>
      </c>
      <c r="O57" s="42"/>
      <c r="P57" s="42"/>
      <c r="Q57" s="42"/>
    </row>
    <row r="58" spans="3:17" x14ac:dyDescent="0.45">
      <c r="C58" s="42"/>
      <c r="D58" s="42" t="s">
        <v>178</v>
      </c>
      <c r="E58" s="42">
        <f>E56/E57</f>
        <v>853333.33333333326</v>
      </c>
      <c r="F58" s="42"/>
      <c r="G58" s="42"/>
      <c r="H58" s="42" t="s">
        <v>178</v>
      </c>
      <c r="I58" s="42">
        <f>I56/I57</f>
        <v>1741496.5986394556</v>
      </c>
      <c r="J58" s="42"/>
      <c r="K58" s="42"/>
      <c r="L58" s="42" t="s">
        <v>178</v>
      </c>
      <c r="M58" s="42">
        <f>M56/M57</f>
        <v>2042483.6601307187</v>
      </c>
      <c r="N58" s="42"/>
      <c r="O58" s="42"/>
      <c r="P58" s="42"/>
      <c r="Q58" s="42"/>
    </row>
    <row r="59" spans="3:17" x14ac:dyDescent="0.45">
      <c r="C59" s="42"/>
      <c r="D59" s="42"/>
      <c r="E59" s="42"/>
      <c r="F59" s="42"/>
      <c r="G59" s="42"/>
      <c r="H59" s="42"/>
      <c r="I59" s="42"/>
      <c r="J59" s="42"/>
      <c r="K59" s="42"/>
      <c r="L59" s="42" t="s">
        <v>181</v>
      </c>
      <c r="M59" s="42">
        <f>M58*0.5</f>
        <v>1021241.8300653594</v>
      </c>
      <c r="N59" s="42"/>
      <c r="O59" s="42"/>
      <c r="P59" s="42"/>
      <c r="Q59" s="42"/>
    </row>
    <row r="60" spans="3:17" x14ac:dyDescent="0.45">
      <c r="C60" s="42"/>
      <c r="D60" s="42" t="s">
        <v>185</v>
      </c>
      <c r="E60" s="42">
        <f>P55*E58/(E58+I58+M59)</f>
        <v>9.9901225355214313E-2</v>
      </c>
      <c r="F60" s="42" t="s">
        <v>30</v>
      </c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</row>
    <row r="61" spans="3:17" x14ac:dyDescent="0.45">
      <c r="C61" s="42"/>
      <c r="D61" s="42" t="s">
        <v>186</v>
      </c>
      <c r="E61" s="42">
        <f>I58*P55/(E58+I58+M59)</f>
        <v>0.20388005174533533</v>
      </c>
      <c r="F61" s="42" t="s">
        <v>30</v>
      </c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</row>
    <row r="62" spans="3:17" x14ac:dyDescent="0.45">
      <c r="C62" s="42"/>
      <c r="D62" s="42" t="s">
        <v>193</v>
      </c>
      <c r="E62">
        <f>P54*M57/2000</f>
        <v>1.9921875</v>
      </c>
      <c r="F62" t="s">
        <v>48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</row>
    <row r="64" spans="3:17" x14ac:dyDescent="0.45">
      <c r="C64" s="41" t="s">
        <v>192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</row>
    <row r="65" spans="2:24" x14ac:dyDescent="0.45">
      <c r="C65" s="41"/>
      <c r="D65" s="41" t="s">
        <v>187</v>
      </c>
      <c r="E65" s="41"/>
      <c r="F65" s="41"/>
      <c r="G65" s="41"/>
      <c r="H65" s="41" t="s">
        <v>188</v>
      </c>
      <c r="I65" s="41"/>
      <c r="J65" s="41"/>
      <c r="K65" s="41"/>
      <c r="L65" s="41" t="s">
        <v>121</v>
      </c>
      <c r="M65" s="41"/>
      <c r="N65" s="41"/>
      <c r="O65" s="41" t="s">
        <v>124</v>
      </c>
      <c r="P65" s="41"/>
      <c r="Q65" s="41"/>
    </row>
    <row r="66" spans="2:24" x14ac:dyDescent="0.45">
      <c r="C66" s="41"/>
      <c r="D66" s="41" t="s">
        <v>175</v>
      </c>
      <c r="E66" s="41">
        <v>400</v>
      </c>
      <c r="F66" s="41" t="s">
        <v>4</v>
      </c>
      <c r="G66" s="41"/>
      <c r="H66" s="41" t="s">
        <v>175</v>
      </c>
      <c r="I66" s="41">
        <v>400</v>
      </c>
      <c r="J66" s="41" t="s">
        <v>4</v>
      </c>
      <c r="K66" s="41"/>
      <c r="L66" s="41" t="s">
        <v>175</v>
      </c>
      <c r="M66" s="41">
        <v>250</v>
      </c>
      <c r="N66" s="41" t="s">
        <v>4</v>
      </c>
      <c r="O66" s="41" t="s">
        <v>179</v>
      </c>
      <c r="P66" s="41">
        <v>3.125</v>
      </c>
      <c r="Q66" s="41" t="s">
        <v>110</v>
      </c>
    </row>
    <row r="67" spans="2:24" x14ac:dyDescent="0.45">
      <c r="C67" s="41"/>
      <c r="D67" s="41" t="s">
        <v>176</v>
      </c>
      <c r="E67" s="41">
        <v>400</v>
      </c>
      <c r="F67" s="41" t="s">
        <v>4</v>
      </c>
      <c r="G67" s="41"/>
      <c r="H67" s="41" t="s">
        <v>176</v>
      </c>
      <c r="I67" s="41">
        <v>400</v>
      </c>
      <c r="J67" s="41" t="s">
        <v>4</v>
      </c>
      <c r="K67" s="41"/>
      <c r="L67" s="41" t="s">
        <v>176</v>
      </c>
      <c r="M67" s="41">
        <v>500</v>
      </c>
      <c r="N67" s="41" t="s">
        <v>4</v>
      </c>
      <c r="O67" s="41" t="s">
        <v>180</v>
      </c>
      <c r="P67" s="41">
        <f>P66*(M69/1000)^2/12</f>
        <v>1.8287760416666667</v>
      </c>
      <c r="Q67" s="41" t="s">
        <v>30</v>
      </c>
    </row>
    <row r="68" spans="2:24" x14ac:dyDescent="0.45">
      <c r="C68" s="41"/>
      <c r="D68" s="41" t="s">
        <v>122</v>
      </c>
      <c r="E68" s="41">
        <f>(E66*E67^3)/12</f>
        <v>2133333333.3333333</v>
      </c>
      <c r="F68" s="41"/>
      <c r="G68" s="41"/>
      <c r="H68" s="41" t="s">
        <v>122</v>
      </c>
      <c r="I68" s="41">
        <f>(I66*I67^3)/12</f>
        <v>2133333333.3333333</v>
      </c>
      <c r="J68" s="41"/>
      <c r="K68" s="41"/>
      <c r="L68" s="41" t="s">
        <v>122</v>
      </c>
      <c r="M68" s="41">
        <f>(M66*M67^3)/12</f>
        <v>2604166666.6666665</v>
      </c>
      <c r="N68" s="41"/>
      <c r="O68" s="41"/>
      <c r="P68" s="41"/>
      <c r="Q68" s="41"/>
    </row>
    <row r="69" spans="2:24" x14ac:dyDescent="0.45">
      <c r="C69" s="41"/>
      <c r="D69" s="41" t="s">
        <v>177</v>
      </c>
      <c r="E69" s="41">
        <v>2500</v>
      </c>
      <c r="F69" s="41" t="s">
        <v>4</v>
      </c>
      <c r="G69" s="41"/>
      <c r="H69" s="41" t="s">
        <v>177</v>
      </c>
      <c r="I69" s="41">
        <v>1225</v>
      </c>
      <c r="J69" s="41" t="s">
        <v>4</v>
      </c>
      <c r="K69" s="41"/>
      <c r="L69" s="41" t="s">
        <v>177</v>
      </c>
      <c r="M69" s="41">
        <v>2650</v>
      </c>
      <c r="N69" s="41" t="s">
        <v>4</v>
      </c>
      <c r="O69" s="41"/>
      <c r="P69" s="41"/>
      <c r="Q69" s="41"/>
    </row>
    <row r="70" spans="2:24" x14ac:dyDescent="0.45">
      <c r="C70" s="41"/>
      <c r="D70" s="41" t="s">
        <v>178</v>
      </c>
      <c r="E70" s="41">
        <f>E68/E69</f>
        <v>853333.33333333326</v>
      </c>
      <c r="F70" s="41"/>
      <c r="G70" s="41"/>
      <c r="H70" s="41" t="s">
        <v>178</v>
      </c>
      <c r="I70" s="41">
        <f>I68/I69</f>
        <v>1741496.5986394556</v>
      </c>
      <c r="J70" s="41"/>
      <c r="K70" s="41"/>
      <c r="L70" s="41" t="s">
        <v>178</v>
      </c>
      <c r="M70" s="41">
        <f>M68/M69</f>
        <v>982704.40251572325</v>
      </c>
      <c r="N70" s="41"/>
      <c r="O70" s="41"/>
      <c r="P70" s="41"/>
      <c r="Q70" s="41"/>
    </row>
    <row r="71" spans="2:24" x14ac:dyDescent="0.45">
      <c r="C71" s="41"/>
      <c r="D71" s="41"/>
      <c r="E71" s="41"/>
      <c r="F71" s="41"/>
      <c r="G71" s="41"/>
      <c r="H71" s="41"/>
      <c r="I71" s="41"/>
      <c r="J71" s="41"/>
      <c r="K71" s="41"/>
      <c r="L71" s="41" t="s">
        <v>181</v>
      </c>
      <c r="M71" s="41">
        <f>M70*0.5</f>
        <v>491352.20125786163</v>
      </c>
      <c r="N71" s="41"/>
      <c r="O71" s="41"/>
      <c r="P71" s="41"/>
      <c r="Q71" s="41"/>
    </row>
    <row r="72" spans="2:24" x14ac:dyDescent="0.45">
      <c r="C72" s="41"/>
      <c r="D72" s="41" t="s">
        <v>185</v>
      </c>
      <c r="E72" s="41">
        <f>P67*E70/(E70+I70+M71)</f>
        <v>0.50565893009105989</v>
      </c>
      <c r="F72" s="41" t="s">
        <v>30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</row>
    <row r="73" spans="2:24" x14ac:dyDescent="0.45">
      <c r="C73" s="41"/>
      <c r="D73" s="41" t="s">
        <v>186</v>
      </c>
      <c r="E73" s="41">
        <f>I70*P67/(E70+I70+M71)</f>
        <v>1.0319570001858365</v>
      </c>
      <c r="F73" s="41" t="s">
        <v>30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</row>
    <row r="74" spans="2:24" x14ac:dyDescent="0.45">
      <c r="D74" s="42" t="s">
        <v>193</v>
      </c>
      <c r="E74">
        <f>P66*M69/2000</f>
        <v>4.140625</v>
      </c>
      <c r="F74" t="s">
        <v>48</v>
      </c>
    </row>
    <row r="77" spans="2:24" x14ac:dyDescent="0.45">
      <c r="C77" t="s">
        <v>194</v>
      </c>
      <c r="D77">
        <f>E74+E62+E49+E37+E24+E12</f>
        <v>31.890625</v>
      </c>
    </row>
    <row r="80" spans="2:24" x14ac:dyDescent="0.4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2" spans="2:24" x14ac:dyDescent="0.45">
      <c r="C82" t="s">
        <v>195</v>
      </c>
      <c r="I82" t="s">
        <v>205</v>
      </c>
      <c r="O82" t="s">
        <v>206</v>
      </c>
      <c r="T82" t="s">
        <v>243</v>
      </c>
    </row>
    <row r="83" spans="2:24" x14ac:dyDescent="0.45">
      <c r="I83" s="25" t="s">
        <v>241</v>
      </c>
      <c r="J83" s="25">
        <v>3000</v>
      </c>
      <c r="K83" s="25"/>
      <c r="O83" t="s">
        <v>207</v>
      </c>
      <c r="P83">
        <f>-G85+T83</f>
        <v>0.33174386869339556</v>
      </c>
      <c r="Q83" t="s">
        <v>69</v>
      </c>
      <c r="R83">
        <v>400</v>
      </c>
      <c r="T83">
        <f>D77*(2.5/400)</f>
        <v>0.19931640625000002</v>
      </c>
    </row>
    <row r="84" spans="2:24" x14ac:dyDescent="0.45">
      <c r="C84" t="s">
        <v>196</v>
      </c>
      <c r="D84">
        <v>0.7</v>
      </c>
      <c r="F84" t="s">
        <v>199</v>
      </c>
      <c r="G84">
        <f>E60</f>
        <v>9.9901225355214313E-2</v>
      </c>
      <c r="I84" s="25" t="s">
        <v>242</v>
      </c>
      <c r="J84" s="25">
        <f>3000-500</f>
        <v>2500</v>
      </c>
      <c r="K84" s="25"/>
      <c r="O84" t="s">
        <v>208</v>
      </c>
      <c r="P84">
        <f>34.03+T83</f>
        <v>34.22931640625</v>
      </c>
      <c r="Q84" t="s">
        <v>211</v>
      </c>
      <c r="R84">
        <v>400</v>
      </c>
    </row>
    <row r="85" spans="2:24" x14ac:dyDescent="0.45">
      <c r="C85" t="s">
        <v>197</v>
      </c>
      <c r="D85">
        <v>1.1000000000000001</v>
      </c>
      <c r="F85" t="s">
        <v>200</v>
      </c>
      <c r="G85">
        <f>-E36</f>
        <v>-0.13242746244339554</v>
      </c>
      <c r="I85" s="25"/>
      <c r="J85" s="25"/>
      <c r="K85" s="25"/>
    </row>
    <row r="86" spans="2:24" x14ac:dyDescent="0.45">
      <c r="C86" t="s">
        <v>198</v>
      </c>
      <c r="D86">
        <f>1.4-G85/G84</f>
        <v>2.7255839652870035</v>
      </c>
      <c r="I86" s="25"/>
      <c r="J86" s="25"/>
      <c r="K86" s="25"/>
      <c r="O86" t="s">
        <v>209</v>
      </c>
      <c r="P86">
        <f>P83*1000/D77</f>
        <v>10.40255149259055</v>
      </c>
      <c r="R86" t="s">
        <v>212</v>
      </c>
      <c r="S86">
        <f>P86/R83</f>
        <v>2.6006378731476376E-2</v>
      </c>
    </row>
    <row r="87" spans="2:24" x14ac:dyDescent="0.45">
      <c r="F87" t="s">
        <v>204</v>
      </c>
      <c r="G87">
        <f>J84*0.75</f>
        <v>1875</v>
      </c>
      <c r="I87" s="25"/>
      <c r="J87" s="25"/>
      <c r="K87" s="25"/>
      <c r="O87" t="s">
        <v>210</v>
      </c>
      <c r="P87">
        <f>P84*1000/E74</f>
        <v>8266.7028301886785</v>
      </c>
      <c r="R87" t="s">
        <v>213</v>
      </c>
      <c r="S87">
        <f>P87/R84</f>
        <v>20.666757075471697</v>
      </c>
    </row>
    <row r="88" spans="2:24" x14ac:dyDescent="0.45">
      <c r="C88" t="s">
        <v>201</v>
      </c>
      <c r="D88">
        <f>D77*1000/(E66*E67*0.85*30/1.5)</f>
        <v>1.1724494485294118E-2</v>
      </c>
    </row>
    <row r="89" spans="2:24" x14ac:dyDescent="0.45">
      <c r="O89" t="s">
        <v>214</v>
      </c>
      <c r="P89">
        <f>S86/S87</f>
        <v>1.2583676595464511E-3</v>
      </c>
    </row>
    <row r="90" spans="2:24" x14ac:dyDescent="0.45">
      <c r="C90" t="s">
        <v>202</v>
      </c>
      <c r="D90">
        <f>20*D84*D85*D86/D88^0.5</f>
        <v>387.64413994655371</v>
      </c>
      <c r="E90" t="s">
        <v>203</v>
      </c>
      <c r="F90">
        <f>G87/(E68/(E5*E6))^0.5</f>
        <v>16.237976320958225</v>
      </c>
      <c r="P90">
        <f>1/P89</f>
        <v>794.68030858360294</v>
      </c>
    </row>
    <row r="91" spans="2:24" x14ac:dyDescent="0.45">
      <c r="C91" t="s">
        <v>216</v>
      </c>
      <c r="O91" t="s">
        <v>215</v>
      </c>
    </row>
    <row r="94" spans="2:24" x14ac:dyDescent="0.4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2:24" x14ac:dyDescent="0.45">
      <c r="D95" t="s">
        <v>219</v>
      </c>
    </row>
    <row r="96" spans="2:24" x14ac:dyDescent="0.45">
      <c r="C96" t="s">
        <v>218</v>
      </c>
      <c r="D96">
        <f>400-20-8-16/2</f>
        <v>364</v>
      </c>
      <c r="F96" t="s">
        <v>220</v>
      </c>
      <c r="G96">
        <f>D96</f>
        <v>364</v>
      </c>
      <c r="I96" t="s">
        <v>228</v>
      </c>
      <c r="J96">
        <f>20+8+8</f>
        <v>36</v>
      </c>
    </row>
    <row r="97" spans="2:24" x14ac:dyDescent="0.45">
      <c r="C97" t="s">
        <v>217</v>
      </c>
      <c r="D97">
        <f>P84*1000*1000/D96</f>
        <v>94036.583533653844</v>
      </c>
      <c r="F97" t="s">
        <v>221</v>
      </c>
      <c r="G97">
        <f>P83*1000*1000/G96</f>
        <v>911.38425465218552</v>
      </c>
      <c r="I97" t="s">
        <v>229</v>
      </c>
      <c r="J97">
        <f>J96/400</f>
        <v>0.09</v>
      </c>
    </row>
    <row r="99" spans="2:24" x14ac:dyDescent="0.45">
      <c r="C99" t="s">
        <v>223</v>
      </c>
      <c r="D99">
        <f>1-D77*1000/(E54*E55*30)</f>
        <v>0.99335611979166671</v>
      </c>
    </row>
    <row r="100" spans="2:24" x14ac:dyDescent="0.45">
      <c r="F100" t="s">
        <v>225</v>
      </c>
    </row>
    <row r="101" spans="2:24" x14ac:dyDescent="0.45">
      <c r="C101" t="s">
        <v>222</v>
      </c>
      <c r="D101">
        <f>D97+D99*P83</f>
        <v>94036.913073456017</v>
      </c>
      <c r="E101" s="43" t="s">
        <v>224</v>
      </c>
      <c r="F101" s="7"/>
      <c r="G101" s="7"/>
      <c r="H101" s="7"/>
      <c r="I101" s="7"/>
      <c r="J101" t="s">
        <v>226</v>
      </c>
      <c r="K101">
        <f>D77*1000/(E66*E67*30)</f>
        <v>6.6438802083333337E-3</v>
      </c>
      <c r="M101" t="s">
        <v>42</v>
      </c>
      <c r="N101">
        <f>0.1*D77*1000/(0.87*500)</f>
        <v>7.3311781609195412</v>
      </c>
    </row>
    <row r="102" spans="2:24" x14ac:dyDescent="0.45">
      <c r="J102" t="s">
        <v>227</v>
      </c>
      <c r="K102">
        <f>D101*1000/(E66*E67*E67*30)</f>
        <v>4.8977558892425013E-2</v>
      </c>
    </row>
    <row r="103" spans="2:24" x14ac:dyDescent="0.45">
      <c r="J103" t="s">
        <v>230</v>
      </c>
      <c r="K103">
        <f>0.05</f>
        <v>0.05</v>
      </c>
      <c r="M103" t="s">
        <v>43</v>
      </c>
      <c r="N103">
        <f>0.04*400*400</f>
        <v>6400</v>
      </c>
    </row>
    <row r="105" spans="2:24" x14ac:dyDescent="0.45">
      <c r="J105" t="s">
        <v>231</v>
      </c>
      <c r="K105">
        <f>K103*E66*E67*30/500</f>
        <v>480</v>
      </c>
      <c r="M105" t="s">
        <v>232</v>
      </c>
      <c r="N105">
        <v>804</v>
      </c>
      <c r="O105" t="s">
        <v>240</v>
      </c>
    </row>
    <row r="106" spans="2:24" x14ac:dyDescent="0.4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8" spans="2:24" ht="14.65" thickBot="1" x14ac:dyDescent="0.5">
      <c r="C108" t="s">
        <v>233</v>
      </c>
      <c r="D108">
        <f xml:space="preserve"> 0.25*16</f>
        <v>4</v>
      </c>
      <c r="F108" t="s">
        <v>234</v>
      </c>
    </row>
    <row r="109" spans="2:24" x14ac:dyDescent="0.45">
      <c r="D109">
        <v>6</v>
      </c>
      <c r="K109" s="44"/>
      <c r="L109" s="3"/>
      <c r="M109" s="45"/>
      <c r="O109" t="s">
        <v>244</v>
      </c>
      <c r="P109">
        <f>N105</f>
        <v>804</v>
      </c>
    </row>
    <row r="110" spans="2:24" x14ac:dyDescent="0.45">
      <c r="K110" s="5"/>
      <c r="M110" s="6"/>
      <c r="O110" t="s">
        <v>245</v>
      </c>
      <c r="P110">
        <f>J96/400</f>
        <v>0.09</v>
      </c>
    </row>
    <row r="111" spans="2:24" x14ac:dyDescent="0.45">
      <c r="C111" t="s">
        <v>235</v>
      </c>
      <c r="D111">
        <f>400</f>
        <v>400</v>
      </c>
      <c r="K111" s="5"/>
      <c r="M111" s="6"/>
    </row>
    <row r="112" spans="2:24" x14ac:dyDescent="0.45">
      <c r="D112">
        <v>400</v>
      </c>
      <c r="F112" t="s">
        <v>236</v>
      </c>
      <c r="G112" t="s">
        <v>237</v>
      </c>
      <c r="K112" s="5"/>
      <c r="M112" s="6"/>
      <c r="O112" t="s">
        <v>230</v>
      </c>
      <c r="P112">
        <f>(N105*500)/(400*400*30)</f>
        <v>8.3750000000000005E-2</v>
      </c>
    </row>
    <row r="113" spans="4:20" ht="14.65" thickBot="1" x14ac:dyDescent="0.5">
      <c r="D113">
        <f>20*16</f>
        <v>320</v>
      </c>
      <c r="F113" t="s">
        <v>238</v>
      </c>
      <c r="H113">
        <f>0.6*300</f>
        <v>180</v>
      </c>
      <c r="K113" s="46"/>
      <c r="L113" s="9"/>
      <c r="M113" s="47"/>
      <c r="O113" t="s">
        <v>226</v>
      </c>
      <c r="P113">
        <f>K101</f>
        <v>6.6438802083333337E-3</v>
      </c>
    </row>
    <row r="114" spans="4:20" x14ac:dyDescent="0.45">
      <c r="G114" t="s">
        <v>239</v>
      </c>
      <c r="O114" t="s">
        <v>227</v>
      </c>
      <c r="P114">
        <f>0.058</f>
        <v>5.8000000000000003E-2</v>
      </c>
    </row>
    <row r="115" spans="4:20" x14ac:dyDescent="0.45">
      <c r="O115" t="s">
        <v>246</v>
      </c>
      <c r="P115">
        <f>P114*400^3*30/(1*10^6)</f>
        <v>111.36</v>
      </c>
    </row>
    <row r="117" spans="4:20" x14ac:dyDescent="0.45">
      <c r="O117" t="s">
        <v>247</v>
      </c>
      <c r="P117">
        <f>0.567*30*400*400+0.87*500*N105</f>
        <v>3071339.9999999995</v>
      </c>
      <c r="R117" t="s">
        <v>250</v>
      </c>
    </row>
    <row r="118" spans="4:20" x14ac:dyDescent="0.45">
      <c r="O118" t="s">
        <v>248</v>
      </c>
      <c r="P118">
        <f>D77*1000/P117</f>
        <v>1.0383293611257628E-2</v>
      </c>
      <c r="R118">
        <f>(P83/P115)+(P84/P115)</f>
        <v>0.3103543487333279</v>
      </c>
      <c r="S118" t="s">
        <v>251</v>
      </c>
      <c r="T118" t="s">
        <v>252</v>
      </c>
    </row>
    <row r="119" spans="4:20" x14ac:dyDescent="0.45">
      <c r="O119" t="s">
        <v>249</v>
      </c>
      <c r="P11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84BC-F248-4C27-B01C-B805B0847288}">
  <dimension ref="B2:N82"/>
  <sheetViews>
    <sheetView tabSelected="1" workbookViewId="0">
      <selection activeCell="I24" sqref="I24"/>
    </sheetView>
  </sheetViews>
  <sheetFormatPr defaultRowHeight="14.25" x14ac:dyDescent="0.45"/>
  <cols>
    <col min="5" max="5" width="15" customWidth="1"/>
    <col min="10" max="10" width="17.19921875" customWidth="1"/>
  </cols>
  <sheetData>
    <row r="2" spans="2:14" x14ac:dyDescent="0.45">
      <c r="B2" t="s">
        <v>253</v>
      </c>
      <c r="C2">
        <f>'Column design'!D77</f>
        <v>31.890625</v>
      </c>
      <c r="D2" t="s">
        <v>48</v>
      </c>
      <c r="E2" t="s">
        <v>259</v>
      </c>
      <c r="H2">
        <v>150</v>
      </c>
      <c r="I2" t="s">
        <v>260</v>
      </c>
      <c r="J2" t="s">
        <v>261</v>
      </c>
    </row>
    <row r="3" spans="2:14" x14ac:dyDescent="0.45">
      <c r="B3" t="s">
        <v>254</v>
      </c>
      <c r="C3">
        <f>C2/1.4</f>
        <v>22.779017857142858</v>
      </c>
      <c r="D3" t="s">
        <v>48</v>
      </c>
    </row>
    <row r="4" spans="2:14" x14ac:dyDescent="0.45">
      <c r="I4" t="s">
        <v>275</v>
      </c>
      <c r="J4">
        <v>20</v>
      </c>
    </row>
    <row r="5" spans="2:14" x14ac:dyDescent="0.45">
      <c r="B5" t="s">
        <v>255</v>
      </c>
    </row>
    <row r="6" spans="2:14" x14ac:dyDescent="0.45">
      <c r="B6" t="s">
        <v>197</v>
      </c>
      <c r="C6">
        <v>1.3</v>
      </c>
      <c r="D6" t="s">
        <v>28</v>
      </c>
      <c r="E6" t="s">
        <v>257</v>
      </c>
      <c r="F6">
        <f>C6*C7*C8*25</f>
        <v>10.562500000000002</v>
      </c>
      <c r="G6" t="s">
        <v>48</v>
      </c>
    </row>
    <row r="7" spans="2:14" x14ac:dyDescent="0.45">
      <c r="B7" t="s">
        <v>299</v>
      </c>
      <c r="C7">
        <v>1.3</v>
      </c>
      <c r="D7" t="s">
        <v>28</v>
      </c>
    </row>
    <row r="8" spans="2:14" x14ac:dyDescent="0.45">
      <c r="B8" t="s">
        <v>256</v>
      </c>
      <c r="C8">
        <v>0.25</v>
      </c>
      <c r="D8" t="s">
        <v>28</v>
      </c>
      <c r="E8" t="s">
        <v>258</v>
      </c>
      <c r="F8">
        <f>(F6+C3)/H2</f>
        <v>0.22227678571428575</v>
      </c>
      <c r="I8" t="s">
        <v>266</v>
      </c>
      <c r="J8">
        <v>8</v>
      </c>
      <c r="K8" t="s">
        <v>4</v>
      </c>
    </row>
    <row r="9" spans="2:14" x14ac:dyDescent="0.45">
      <c r="E9" t="s">
        <v>262</v>
      </c>
      <c r="F9">
        <f>C6*C7</f>
        <v>1.6900000000000002</v>
      </c>
      <c r="G9" t="str">
        <f>IF(F9&gt;F8,"Ok!","Not Ok")</f>
        <v>Ok!</v>
      </c>
    </row>
    <row r="10" spans="2:14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2" spans="2:14" x14ac:dyDescent="0.45">
      <c r="B12" t="s">
        <v>263</v>
      </c>
      <c r="D12">
        <f>C2/F9</f>
        <v>18.870192307692307</v>
      </c>
      <c r="E12" t="s">
        <v>8</v>
      </c>
      <c r="H12" t="s">
        <v>265</v>
      </c>
      <c r="I12">
        <f>C8*1000-20-1.5*J8</f>
        <v>218</v>
      </c>
    </row>
    <row r="13" spans="2:14" x14ac:dyDescent="0.45">
      <c r="B13" t="s">
        <v>264</v>
      </c>
      <c r="D13">
        <f>D12*(I14/1000)^2/2</f>
        <v>1.9106069711538463</v>
      </c>
      <c r="E13" t="s">
        <v>30</v>
      </c>
    </row>
    <row r="14" spans="2:14" x14ac:dyDescent="0.45">
      <c r="H14" t="s">
        <v>276</v>
      </c>
      <c r="I14">
        <f>(C6-0.4)/2*1000</f>
        <v>450</v>
      </c>
    </row>
    <row r="15" spans="2:14" x14ac:dyDescent="0.45">
      <c r="B15" t="s">
        <v>34</v>
      </c>
      <c r="C15">
        <f>D13*1*10^6/(C6*1000*I12^2*30)</f>
        <v>1.0308459375742384E-3</v>
      </c>
      <c r="D15" t="s">
        <v>267</v>
      </c>
    </row>
    <row r="16" spans="2:14" x14ac:dyDescent="0.45">
      <c r="B16" t="s">
        <v>36</v>
      </c>
      <c r="C16">
        <f>0.5+(0.25-C15/1.134)^0.5</f>
        <v>0.999090136930876</v>
      </c>
    </row>
    <row r="17" spans="2:14" x14ac:dyDescent="0.45">
      <c r="B17" t="s">
        <v>268</v>
      </c>
      <c r="C17">
        <f>IF(C16&gt;0.95,0.95,C16)</f>
        <v>0.95</v>
      </c>
      <c r="D17" t="s">
        <v>37</v>
      </c>
    </row>
    <row r="18" spans="2:14" x14ac:dyDescent="0.45">
      <c r="B18" t="s">
        <v>40</v>
      </c>
      <c r="C18">
        <f>D13*1*10^6/(0.87*500*C17*I12)</f>
        <v>21.208111702979252</v>
      </c>
      <c r="D18" t="s">
        <v>240</v>
      </c>
    </row>
    <row r="20" spans="2:14" x14ac:dyDescent="0.45">
      <c r="B20" t="s">
        <v>42</v>
      </c>
      <c r="C20">
        <f>0.0013*C6*1000*I12</f>
        <v>368.42</v>
      </c>
      <c r="D20" t="s">
        <v>240</v>
      </c>
    </row>
    <row r="21" spans="2:14" x14ac:dyDescent="0.45">
      <c r="B21" t="s">
        <v>269</v>
      </c>
      <c r="C21">
        <f>0.04*C6*1000*C8*1000</f>
        <v>13000.000000000002</v>
      </c>
      <c r="D21" t="s">
        <v>240</v>
      </c>
    </row>
    <row r="23" spans="2:14" x14ac:dyDescent="0.45">
      <c r="B23" t="s">
        <v>270</v>
      </c>
      <c r="C23">
        <f>IF(C18&gt;C20,C18,C20)</f>
        <v>368.42</v>
      </c>
      <c r="D23" t="s">
        <v>240</v>
      </c>
    </row>
    <row r="24" spans="2:14" x14ac:dyDescent="0.45">
      <c r="C24" t="s">
        <v>277</v>
      </c>
      <c r="D24">
        <v>402</v>
      </c>
      <c r="E24" t="s">
        <v>240</v>
      </c>
    </row>
    <row r="26" spans="2:14" x14ac:dyDescent="0.4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8" spans="2:14" x14ac:dyDescent="0.45">
      <c r="B28" t="s">
        <v>271</v>
      </c>
      <c r="I28" t="s">
        <v>274</v>
      </c>
    </row>
    <row r="29" spans="2:14" x14ac:dyDescent="0.45">
      <c r="F29" t="s">
        <v>178</v>
      </c>
      <c r="G29">
        <f>1+(200/I12)^0.5</f>
        <v>1.9578262852211514</v>
      </c>
      <c r="I29">
        <f>550-I12-20</f>
        <v>312</v>
      </c>
      <c r="J29" t="str">
        <f>IF(K29&lt;I29,D24,"No need for calc")</f>
        <v>No need for calc</v>
      </c>
      <c r="K29">
        <f>40*J8+I12</f>
        <v>538</v>
      </c>
    </row>
    <row r="30" spans="2:14" x14ac:dyDescent="0.45">
      <c r="B30" t="s">
        <v>272</v>
      </c>
      <c r="C30">
        <f>D12*(C8-I12/1000)</f>
        <v>0.60384615384615381</v>
      </c>
      <c r="D30" t="s">
        <v>48</v>
      </c>
      <c r="G30">
        <f>IF(G29&lt;2,G29,2)</f>
        <v>1.9578262852211514</v>
      </c>
    </row>
    <row r="32" spans="2:14" x14ac:dyDescent="0.45">
      <c r="B32" t="s">
        <v>273</v>
      </c>
    </row>
    <row r="34" spans="2:14" x14ac:dyDescent="0.45">
      <c r="B34" t="s">
        <v>55</v>
      </c>
      <c r="C34">
        <f>0.035*G30^1.5*30^0.5*C6*1000*I12/1000</f>
        <v>148.82974923534923</v>
      </c>
      <c r="D34" t="s">
        <v>48</v>
      </c>
      <c r="E34" t="str">
        <f>IF(C34&gt;C30,"ok","not ok")</f>
        <v>ok</v>
      </c>
    </row>
    <row r="36" spans="2:14" x14ac:dyDescent="0.4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8" spans="2:14" x14ac:dyDescent="0.45">
      <c r="B38" t="s">
        <v>278</v>
      </c>
    </row>
    <row r="40" spans="2:14" x14ac:dyDescent="0.45">
      <c r="B40" t="s">
        <v>279</v>
      </c>
      <c r="C40">
        <f>2*I12</f>
        <v>436</v>
      </c>
      <c r="D40" t="str">
        <f>IF(C40&lt;I14,"Punching check needed","Punching not needed")</f>
        <v>Punching check needed</v>
      </c>
    </row>
    <row r="42" spans="2:14" x14ac:dyDescent="0.45">
      <c r="B42" t="s">
        <v>280</v>
      </c>
      <c r="C42">
        <f>2*PI()*C40+4*400</f>
        <v>4339.4687939302994</v>
      </c>
      <c r="D42" t="s">
        <v>4</v>
      </c>
    </row>
    <row r="43" spans="2:14" x14ac:dyDescent="0.45">
      <c r="B43" t="s">
        <v>281</v>
      </c>
      <c r="C43">
        <f>PI()*C40^2+400^2+4*400*C40</f>
        <v>1454804.1970768054</v>
      </c>
      <c r="D43" t="s">
        <v>240</v>
      </c>
    </row>
    <row r="44" spans="2:14" x14ac:dyDescent="0.45">
      <c r="E44" t="s">
        <v>282</v>
      </c>
      <c r="F44">
        <f>40*J8+I12</f>
        <v>538</v>
      </c>
    </row>
    <row r="45" spans="2:14" x14ac:dyDescent="0.45">
      <c r="E45" t="s">
        <v>283</v>
      </c>
      <c r="F45">
        <f>I14-I12</f>
        <v>232</v>
      </c>
    </row>
    <row r="46" spans="2:14" x14ac:dyDescent="0.45">
      <c r="F46" t="str">
        <f>IF(F45&lt;F44,"Reinforcement bar does not help with punching","Reinforcement bar helps with ounching shear")</f>
        <v>Reinforcement bar does not help with punching</v>
      </c>
    </row>
    <row r="47" spans="2:14" x14ac:dyDescent="0.45">
      <c r="B47" t="s">
        <v>55</v>
      </c>
      <c r="C47">
        <f>0.035*G30^1.5*30^0.5*C42*I12/1000</f>
        <v>496.80157878097668</v>
      </c>
      <c r="D47" t="s">
        <v>48</v>
      </c>
    </row>
    <row r="49" spans="2:14" x14ac:dyDescent="0.45">
      <c r="B49" t="s">
        <v>284</v>
      </c>
      <c r="C49">
        <f>D12*(F9-C43/(1000^2))</f>
        <v>4.4381900311227875</v>
      </c>
      <c r="D49" t="s">
        <v>48</v>
      </c>
    </row>
    <row r="51" spans="2:14" x14ac:dyDescent="0.45">
      <c r="B51" t="s">
        <v>285</v>
      </c>
    </row>
    <row r="52" spans="2:14" x14ac:dyDescent="0.45">
      <c r="B52">
        <f>0.5*C42*I12*(0.6*(1-30/250)*(30/1.5))/1000</f>
        <v>4994.9021605655316</v>
      </c>
      <c r="C52" t="s">
        <v>48</v>
      </c>
    </row>
    <row r="54" spans="2:14" x14ac:dyDescent="0.45">
      <c r="B54" t="s">
        <v>286</v>
      </c>
      <c r="C54">
        <f>C2</f>
        <v>31.890625</v>
      </c>
    </row>
    <row r="55" spans="2:14" x14ac:dyDescent="0.45">
      <c r="C55" t="str">
        <f>IF(B52&gt;C54,"ok","Notok")</f>
        <v>ok</v>
      </c>
    </row>
    <row r="57" spans="2:14" x14ac:dyDescent="0.4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60" spans="2:14" x14ac:dyDescent="0.45">
      <c r="B60" t="s">
        <v>68</v>
      </c>
    </row>
    <row r="61" spans="2:14" x14ac:dyDescent="0.45">
      <c r="B61" t="s">
        <v>69</v>
      </c>
      <c r="C61">
        <f>C8*1000</f>
        <v>250</v>
      </c>
      <c r="D61" t="s">
        <v>4</v>
      </c>
      <c r="E61" t="s">
        <v>287</v>
      </c>
    </row>
    <row r="62" spans="2:14" x14ac:dyDescent="0.45">
      <c r="B62" t="s">
        <v>288</v>
      </c>
      <c r="C62">
        <f>0.6*(D24/C23)*(500/1.15)</f>
        <v>284.64677600942207</v>
      </c>
    </row>
    <row r="63" spans="2:14" x14ac:dyDescent="0.45">
      <c r="B63" t="s">
        <v>290</v>
      </c>
    </row>
    <row r="64" spans="2:14" x14ac:dyDescent="0.45">
      <c r="B64" t="s">
        <v>289</v>
      </c>
    </row>
    <row r="66" spans="2:14" x14ac:dyDescent="0.45">
      <c r="B66" t="s">
        <v>291</v>
      </c>
      <c r="C66">
        <v>100</v>
      </c>
      <c r="E66" t="s">
        <v>292</v>
      </c>
      <c r="F66">
        <v>10</v>
      </c>
      <c r="G66" t="str">
        <f>IF(F66&gt;J8,"ok","Notok")</f>
        <v>ok</v>
      </c>
    </row>
    <row r="68" spans="2:14" x14ac:dyDescent="0.45">
      <c r="B68" t="s">
        <v>293</v>
      </c>
      <c r="C68">
        <f>(C6*1000-2*0.02-J8)/8</f>
        <v>161.495</v>
      </c>
    </row>
    <row r="70" spans="2:14" x14ac:dyDescent="0.45">
      <c r="B70" t="s">
        <v>294</v>
      </c>
      <c r="C70">
        <f>(C6*1000-2*0.02-J8)/C66</f>
        <v>12.919600000000001</v>
      </c>
    </row>
    <row r="71" spans="2:14" x14ac:dyDescent="0.45">
      <c r="B71" t="s">
        <v>295</v>
      </c>
    </row>
    <row r="72" spans="2:14" x14ac:dyDescent="0.45">
      <c r="B72" t="s">
        <v>296</v>
      </c>
    </row>
    <row r="74" spans="2:14" x14ac:dyDescent="0.4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6" spans="2:14" x14ac:dyDescent="0.45">
      <c r="B76" t="s">
        <v>300</v>
      </c>
      <c r="C76" s="48" t="s">
        <v>301</v>
      </c>
    </row>
    <row r="78" spans="2:14" x14ac:dyDescent="0.45">
      <c r="B78" t="s">
        <v>297</v>
      </c>
      <c r="C78">
        <f>C6*C7^3/12</f>
        <v>0.23800833333333341</v>
      </c>
    </row>
    <row r="79" spans="2:14" x14ac:dyDescent="0.45">
      <c r="B79" t="s">
        <v>298</v>
      </c>
      <c r="C79">
        <f>C7/2</f>
        <v>0.65</v>
      </c>
    </row>
    <row r="81" spans="2:4" x14ac:dyDescent="0.45">
      <c r="B81" t="s">
        <v>302</v>
      </c>
      <c r="C81">
        <f>C3+F6</f>
        <v>33.341517857142861</v>
      </c>
    </row>
    <row r="82" spans="2:4" x14ac:dyDescent="0.45">
      <c r="B82" t="s">
        <v>303</v>
      </c>
      <c r="C82">
        <f>(H2-C81/F9)*C78/C79</f>
        <v>47.701004464285724</v>
      </c>
      <c r="D82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Staircase design</vt:lpstr>
      <vt:lpstr>Frame Design</vt:lpstr>
      <vt:lpstr>Column design</vt:lpstr>
      <vt:lpstr>Foundation desing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.</dc:creator>
  <cp:lastModifiedBy>Solaiman Shahriar</cp:lastModifiedBy>
  <dcterms:created xsi:type="dcterms:W3CDTF">2023-04-03T15:17:07Z</dcterms:created>
  <dcterms:modified xsi:type="dcterms:W3CDTF">2023-07-13T13:26:59Z</dcterms:modified>
</cp:coreProperties>
</file>