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2.xml" ContentType="application/vnd.ms-office.chartcolorstyle+xml"/>
  <Override PartName="/xl/charts/style2.xml" ContentType="application/vnd.ms-office.chartstyle+xml"/>
  <Override PartName="/xl/charts/chart2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2-3" sheetId="1" state="visible" r:id="rId1"/>
    <sheet name="2-4" sheetId="2" state="visible" r:id="rId2"/>
    <sheet name="2-2" sheetId="3" state="visible" r:id="rId3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<sst xmlns="http://schemas.openxmlformats.org/spreadsheetml/2006/main" count="66" uniqueCount="66">
  <si>
    <t>f</t>
  </si>
  <si>
    <r>
      <rPr>
        <sz val="10"/>
        <color theme="1"/>
        <rFont val="Calibri"/>
        <scheme val="minor"/>
      </rPr>
      <t xml:space="preserve">U = 6 В; R</t>
    </r>
    <r>
      <rPr>
        <vertAlign val="subscript"/>
        <sz val="10"/>
        <color theme="1"/>
        <rFont val="Calibri"/>
        <scheme val="minor"/>
      </rPr>
      <t>1</t>
    </r>
    <r>
      <rPr>
        <sz val="10"/>
        <color theme="1"/>
        <rFont val="Calibri"/>
        <scheme val="minor"/>
      </rPr>
      <t xml:space="preserve"> =17 Ом; R</t>
    </r>
    <r>
      <rPr>
        <vertAlign val="subscript"/>
        <sz val="10"/>
        <color theme="1"/>
        <rFont val="Calibri"/>
        <scheme val="minor"/>
      </rPr>
      <t>k</t>
    </r>
    <r>
      <rPr>
        <sz val="10"/>
        <color theme="1"/>
        <rFont val="Calibri"/>
        <scheme val="minor"/>
      </rPr>
      <t xml:space="preserve"> = 5 Ом; L = 23,094 мГн; C = 71,454 мкФ; f</t>
    </r>
    <r>
      <rPr>
        <vertAlign val="subscript"/>
        <sz val="10"/>
        <color theme="1"/>
        <rFont val="Calibri"/>
        <scheme val="minor"/>
      </rPr>
      <t>0</t>
    </r>
    <r>
      <rPr>
        <sz val="10"/>
        <color theme="1"/>
        <rFont val="Calibri"/>
        <scheme val="minor"/>
      </rPr>
      <t xml:space="preserve"> = 123,896 Гц</t>
    </r>
  </si>
  <si>
    <t>Расчёт</t>
  </si>
  <si>
    <t>Эксперимент</t>
  </si>
  <si>
    <r>
      <rPr>
        <sz val="11"/>
        <color theme="1"/>
        <rFont val="Calibri"/>
        <scheme val="minor"/>
      </rPr>
      <t>Q</t>
    </r>
    <r>
      <rPr>
        <vertAlign val="subscript"/>
        <sz val="11"/>
        <color theme="1"/>
        <rFont val="Calibri"/>
        <scheme val="minor"/>
      </rPr>
      <t>p</t>
    </r>
  </si>
  <si>
    <r>
      <rPr>
        <sz val="11"/>
        <color theme="1"/>
        <rFont val="Calibri"/>
        <scheme val="minor"/>
      </rPr>
      <t>Q</t>
    </r>
    <r>
      <rPr>
        <vertAlign val="subscript"/>
        <sz val="11"/>
        <color theme="1"/>
        <rFont val="Calibri"/>
        <scheme val="minor"/>
      </rPr>
      <t>e</t>
    </r>
  </si>
  <si>
    <r>
      <rPr>
        <sz val="11"/>
        <color theme="1"/>
        <rFont val="Calibri"/>
        <scheme val="minor"/>
      </rPr>
      <t>Q</t>
    </r>
    <r>
      <rPr>
        <vertAlign val="subscript"/>
        <sz val="11"/>
        <color theme="1"/>
        <rFont val="Calibri"/>
        <scheme val="minor"/>
      </rPr>
      <t>p</t>
    </r>
    <r>
      <rPr>
        <sz val="11"/>
        <color theme="1"/>
        <rFont val="Calibri"/>
        <scheme val="minor"/>
      </rPr>
      <t xml:space="preserve"> = 0.817</t>
    </r>
  </si>
  <si>
    <r>
      <rPr>
        <sz val="11"/>
        <color theme="1"/>
        <rFont val="Calibri"/>
        <scheme val="minor"/>
      </rPr>
      <t>Q</t>
    </r>
    <r>
      <rPr>
        <vertAlign val="subscript"/>
        <sz val="11"/>
        <color theme="1"/>
        <rFont val="Calibri"/>
        <scheme val="minor"/>
      </rPr>
      <t>e</t>
    </r>
    <r>
      <rPr>
        <sz val="11"/>
        <color theme="1"/>
        <rFont val="Calibri"/>
        <scheme val="minor"/>
      </rPr>
      <t xml:space="preserve"> = 0.818</t>
    </r>
  </si>
  <si>
    <t>φ</t>
  </si>
  <si>
    <t>I</t>
  </si>
  <si>
    <r>
      <rPr>
        <sz val="11"/>
        <color theme="1"/>
        <rFont val="Calibri"/>
        <scheme val="minor"/>
      </rPr>
      <t>U</t>
    </r>
    <r>
      <rPr>
        <vertAlign val="subscript"/>
        <sz val="11"/>
        <color theme="1"/>
        <rFont val="Calibri"/>
        <scheme val="minor"/>
      </rPr>
      <t>R1</t>
    </r>
  </si>
  <si>
    <r>
      <rPr>
        <sz val="11"/>
        <color theme="1"/>
        <rFont val="Calibri"/>
        <scheme val="minor"/>
      </rPr>
      <t>U</t>
    </r>
    <r>
      <rPr>
        <vertAlign val="subscript"/>
        <sz val="11"/>
        <color theme="1"/>
        <rFont val="Calibri"/>
        <scheme val="minor"/>
      </rPr>
      <t>k</t>
    </r>
  </si>
  <si>
    <r>
      <rPr>
        <sz val="11"/>
        <color theme="1"/>
        <rFont val="Calibri"/>
        <scheme val="minor"/>
      </rPr>
      <t>U</t>
    </r>
    <r>
      <rPr>
        <vertAlign val="subscript"/>
        <sz val="11"/>
        <color theme="1"/>
        <rFont val="Calibri"/>
        <scheme val="minor"/>
      </rPr>
      <t>C</t>
    </r>
  </si>
  <si>
    <t>Гц</t>
  </si>
  <si>
    <t>°</t>
  </si>
  <si>
    <t>А</t>
  </si>
  <si>
    <t>В</t>
  </si>
  <si>
    <t>dfl</t>
  </si>
  <si>
    <t>dfr</t>
  </si>
  <si>
    <t>fl</t>
  </si>
  <si>
    <t>fr</t>
  </si>
  <si>
    <t>Im</t>
  </si>
  <si>
    <r>
      <rPr>
        <sz val="11"/>
        <color theme="1"/>
        <rFont val="Calibri"/>
        <scheme val="minor"/>
      </rPr>
      <t>U</t>
    </r>
    <r>
      <rPr>
        <vertAlign val="subscript"/>
        <sz val="11"/>
        <color theme="1"/>
        <rFont val="Calibri"/>
        <scheme val="minor"/>
      </rPr>
      <t>R1m</t>
    </r>
  </si>
  <si>
    <r>
      <rPr>
        <sz val="11"/>
        <color theme="1"/>
        <rFont val="Calibri"/>
        <scheme val="minor"/>
      </rPr>
      <t>U</t>
    </r>
    <r>
      <rPr>
        <vertAlign val="subscript"/>
        <sz val="11"/>
        <color theme="1"/>
        <rFont val="Calibri"/>
        <scheme val="minor"/>
      </rPr>
      <t>km</t>
    </r>
  </si>
  <si>
    <r>
      <rPr>
        <sz val="11"/>
        <color theme="1"/>
        <rFont val="Calibri"/>
        <scheme val="minor"/>
      </rPr>
      <t>U</t>
    </r>
    <r>
      <rPr>
        <vertAlign val="subscript"/>
        <sz val="11"/>
        <color theme="1"/>
        <rFont val="Calibri"/>
        <scheme val="minor"/>
      </rPr>
      <t>Cm</t>
    </r>
  </si>
  <si>
    <t xml:space="preserve">Я ЗАЕБАЛСЯ</t>
  </si>
  <si>
    <t xml:space="preserve">Uд [В]</t>
  </si>
  <si>
    <t xml:space="preserve">C [Ф]</t>
  </si>
  <si>
    <t xml:space="preserve">Lк [мГн]</t>
  </si>
  <si>
    <t xml:space="preserve">R1 [Ом]</t>
  </si>
  <si>
    <t xml:space="preserve">Rk [Ом]</t>
  </si>
  <si>
    <t xml:space="preserve">U = 6 В; R1 =17 Ом; Rk = 5 Ом; L = 23,094 мГн; C = 71,454 мкФ; f0 = 365.806 Гц</t>
  </si>
  <si>
    <r>
      <rPr>
        <sz val="11"/>
        <color theme="1"/>
        <rFont val="Calibri"/>
        <scheme val="minor"/>
      </rPr>
      <t>I</t>
    </r>
    <r>
      <rPr>
        <vertAlign val="subscript"/>
        <sz val="11"/>
        <color theme="1"/>
        <rFont val="Calibri"/>
        <scheme val="minor"/>
      </rPr>
      <t>1</t>
    </r>
  </si>
  <si>
    <r>
      <rPr>
        <sz val="11"/>
        <color theme="1"/>
        <rFont val="Calibri"/>
        <scheme val="minor"/>
      </rPr>
      <t>I</t>
    </r>
    <r>
      <rPr>
        <vertAlign val="subscript"/>
        <sz val="11"/>
        <color theme="1"/>
        <rFont val="Calibri"/>
        <scheme val="minor"/>
      </rPr>
      <t>2</t>
    </r>
  </si>
  <si>
    <t>Xc</t>
  </si>
  <si>
    <t>XL</t>
  </si>
  <si>
    <t>G1</t>
  </si>
  <si>
    <t>Gk</t>
  </si>
  <si>
    <t>B1</t>
  </si>
  <si>
    <t>Bk</t>
  </si>
  <si>
    <t>G</t>
  </si>
  <si>
    <t>B</t>
  </si>
  <si>
    <t xml:space="preserve">φ (calculated)</t>
  </si>
  <si>
    <t xml:space="preserve">I (calculated)</t>
  </si>
  <si>
    <t xml:space="preserve">I1 (calculated)</t>
  </si>
  <si>
    <t xml:space="preserve">I2 (calculated)</t>
  </si>
  <si>
    <t xml:space="preserve">φ (experiment)</t>
  </si>
  <si>
    <t xml:space="preserve">I (experiment)</t>
  </si>
  <si>
    <t xml:space="preserve">I1 (experiment)</t>
  </si>
  <si>
    <t xml:space="preserve">I2 (experiment)</t>
  </si>
  <si>
    <t>T</t>
  </si>
  <si>
    <t xml:space="preserve">Номер схемы цепи</t>
  </si>
  <si>
    <t xml:space="preserve">Параметры двухполюсников</t>
  </si>
  <si>
    <t xml:space="preserve">Результаты измерений</t>
  </si>
  <si>
    <t xml:space="preserve">Результаты вычислений</t>
  </si>
  <si>
    <r>
      <rPr>
        <sz val="10"/>
        <rFont val="Calibri"/>
      </rPr>
      <t>R</t>
    </r>
    <r>
      <rPr>
        <vertAlign val="subscript"/>
        <sz val="10"/>
        <rFont val="Calibri"/>
      </rPr>
      <t>1</t>
    </r>
  </si>
  <si>
    <r>
      <rPr>
        <sz val="10"/>
        <rFont val="Calibri"/>
      </rPr>
      <t>R</t>
    </r>
    <r>
      <rPr>
        <vertAlign val="subscript"/>
        <sz val="10"/>
        <rFont val="Calibri"/>
      </rPr>
      <t>k</t>
    </r>
  </si>
  <si>
    <t>L</t>
  </si>
  <si>
    <t>C</t>
  </si>
  <si>
    <t>U</t>
  </si>
  <si>
    <t>Ом</t>
  </si>
  <si>
    <t>Гн</t>
  </si>
  <si>
    <t>мкФ</t>
  </si>
  <si>
    <t>Imax</t>
  </si>
  <si>
    <t>Umax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</si>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</sst>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0">
    <font>
      <sz val="11.000000"/>
      <color theme="1"/>
      <name val="Calibri"/>
      <scheme val="minor"/>
    </font>
    <font>
      <sz val="11.000000"/>
      <color rgb="FF9C6500"/>
      <name val="Calibri"/>
      <scheme val="minor"/>
    </font>
    <font>
      <sz val="10.000000"/>
      <color theme="1"/>
      <name val="Calibri"/>
      <scheme val="minor"/>
    </font>
    <font>
      <sz val="11.000000"/>
      <color theme="1"/>
      <name val="Asana"/>
    </font>
    <font>
      <sz val="11.000000"/>
      <color theme="1"/>
      <name val="Arial"/>
    </font>
    <font>
      <sz val="10.000000"/>
      <name val="Calibri"/>
    </font>
    <font>
      <sz val="11.000000"/>
      <name val="Calibri"/>
      <scheme val="minor"/>
    </font>
    <font>
      <sz val="11.000000"/>
      <color indexed="64"/>
      <name val="Times New Roman"/>
    </font>
    <font>
      <sz val="12.000000"/>
      <color indexed="64"/>
      <name val="Times New Roman"/>
    </font>
    <font>
      <b/>
      <sz val="12.000000"/>
      <color indexed="64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rgb="FFBDFCF0"/>
        <bgColor rgb="FFBDFCF0"/>
      </patternFill>
    </fill>
    <fill>
      <patternFill patternType="solid">
        <fgColor rgb="FF8CF2FF"/>
        <bgColor rgb="FF8CF2FF"/>
      </patternFill>
    </fill>
  </fills>
  <borders count="61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 tint="0"/>
      </left>
      <right style="thin">
        <color theme="1" tint="0"/>
      </right>
      <top style="thin">
        <color theme="1" tint="0"/>
      </top>
      <bottom style="none"/>
      <diagonal style="none"/>
    </border>
    <border>
      <left style="thin">
        <color theme="1" tint="0"/>
      </left>
      <right style="thin">
        <color theme="1"/>
      </right>
      <top style="thin">
        <color theme="1" tint="0"/>
      </top>
      <bottom style="thin">
        <color theme="1" tint="0"/>
      </bottom>
      <diagonal style="none"/>
    </border>
    <border>
      <left style="thin">
        <color theme="1"/>
      </left>
      <right style="thin">
        <color theme="1"/>
      </right>
      <top style="thin">
        <color theme="1" tint="0"/>
      </top>
      <bottom style="thin">
        <color theme="1" tint="0"/>
      </bottom>
      <diagonal style="none"/>
    </border>
    <border>
      <left style="thin">
        <color theme="1"/>
      </left>
      <right style="thin">
        <color theme="1" tint="0"/>
      </right>
      <top style="thin">
        <color theme="1" tint="0"/>
      </top>
      <bottom style="thin">
        <color theme="1" tint="0"/>
      </bottom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theme="1"/>
      </left>
      <right style="none"/>
      <top style="thin">
        <color theme="1"/>
      </top>
      <bottom style="thin">
        <color theme="2" tint="-0.099978637043366805"/>
      </bottom>
      <diagonal style="none"/>
    </border>
    <border>
      <left style="thin">
        <color theme="1"/>
      </left>
      <right style="thin">
        <color theme="2" tint="-0.099978637043366805"/>
      </right>
      <top style="thin">
        <color theme="1"/>
      </top>
      <bottom style="thin">
        <color theme="2" tint="-0.099978637043366805"/>
      </bottom>
      <diagonal style="none"/>
    </border>
    <border>
      <left style="thin">
        <color theme="2" tint="-0.099978637043366805"/>
      </left>
      <right style="thin">
        <color theme="2" tint="-0.099978637043366805"/>
      </right>
      <top style="thin">
        <color auto="1"/>
      </top>
      <bottom style="thin">
        <color theme="2" tint="-0.099978637043366805"/>
      </bottom>
      <diagonal style="none"/>
    </border>
    <border>
      <left style="thin">
        <color theme="2" tint="-0.099978637043366805"/>
      </left>
      <right style="thin">
        <color theme="2" tint="-0.099978637043366805"/>
      </right>
      <top style="thin">
        <color theme="1"/>
      </top>
      <bottom style="thin">
        <color theme="2" tint="-0.099978637043366805"/>
      </bottom>
      <diagonal style="none"/>
    </border>
    <border>
      <left style="thin">
        <color theme="2" tint="-0.099978637043366805"/>
      </left>
      <right style="none"/>
      <top style="thin">
        <color theme="1"/>
      </top>
      <bottom style="thin">
        <color theme="2" tint="-0.099978637043366805"/>
      </bottom>
      <diagonal style="none"/>
    </border>
    <border>
      <left style="thin">
        <color theme="1" tint="0"/>
      </left>
      <right style="thin">
        <color theme="2" tint="-0.099978637043366805"/>
      </right>
      <top style="thin">
        <color theme="1" tint="0"/>
      </top>
      <bottom style="thin">
        <color theme="2" tint="-0.099978637043366805"/>
      </bottom>
      <diagonal style="none"/>
    </border>
    <border>
      <left style="thin">
        <color theme="2" tint="-0.099978637043366805"/>
      </left>
      <right style="thin">
        <color theme="2" tint="-0.099978637043366805"/>
      </right>
      <top style="thin">
        <color theme="1" tint="0"/>
      </top>
      <bottom style="thin">
        <color theme="2" tint="-0.099978637043366805"/>
      </bottom>
      <diagonal style="none"/>
    </border>
    <border>
      <left style="thin">
        <color theme="2" tint="-0.099978637043366805"/>
      </left>
      <right style="thin">
        <color theme="1" tint="0"/>
      </right>
      <top style="thin">
        <color theme="1" tint="0"/>
      </top>
      <bottom style="thin">
        <color theme="2" tint="-0.099978637043366805"/>
      </bottom>
      <diagonal style="none"/>
    </border>
    <border>
      <left style="thin">
        <color theme="1"/>
      </left>
      <right style="none"/>
      <top style="thin">
        <color theme="2" tint="-0.099978637043366805"/>
      </top>
      <bottom style="thin">
        <color theme="2" tint="-0.099978637043366805"/>
      </bottom>
      <diagonal style="none"/>
    </border>
    <border>
      <left style="thin">
        <color theme="1"/>
      </left>
      <right style="thin">
        <color theme="2" tint="-0.099978637043366805"/>
      </right>
      <top style="thin">
        <color theme="2" tint="-0.099978637043366805"/>
      </top>
      <bottom style="thin">
        <color theme="2" tint="-0.099978637043366805"/>
      </bottom>
      <diagonal style="none"/>
    </border>
    <border>
      <left style="thin">
        <color theme="2" tint="-0.099978637043366805"/>
      </left>
      <right style="thin">
        <color theme="2" tint="-0.099978637043366805"/>
      </right>
      <top style="thin">
        <color theme="2" tint="-0.099978637043366805"/>
      </top>
      <bottom style="thin">
        <color theme="2" tint="-0.099978637043366805"/>
      </bottom>
      <diagonal style="none"/>
    </border>
    <border>
      <left style="thin">
        <color theme="2" tint="-0.099978637043366805"/>
      </left>
      <right style="none"/>
      <top style="thin">
        <color theme="2" tint="-0.099978637043366805"/>
      </top>
      <bottom style="thin">
        <color theme="2" tint="-0.099978637043366805"/>
      </bottom>
      <diagonal style="none"/>
    </border>
    <border>
      <left style="thin">
        <color theme="1" tint="0"/>
      </left>
      <right style="thin">
        <color theme="2" tint="-0.099978637043366805"/>
      </right>
      <top style="thin">
        <color theme="2" tint="-0.099978637043366805"/>
      </top>
      <bottom style="thin">
        <color theme="2" tint="-0.099978637043366805"/>
      </bottom>
      <diagonal style="none"/>
    </border>
    <border>
      <left style="thin">
        <color theme="2" tint="-0.099978637043366805"/>
      </left>
      <right style="thin">
        <color theme="1" tint="0"/>
      </right>
      <top style="thin">
        <color theme="2" tint="-0.099978637043366805"/>
      </top>
      <bottom style="thin">
        <color theme="2" tint="-0.099978637043366805"/>
      </bottom>
      <diagonal style="none"/>
    </border>
    <border>
      <left style="thin">
        <color theme="1"/>
      </left>
      <right style="none"/>
      <top style="thin">
        <color theme="2" tint="-0.099978637043366805"/>
      </top>
      <bottom style="thin">
        <color theme="1"/>
      </bottom>
      <diagonal style="none"/>
    </border>
    <border>
      <left style="thin">
        <color theme="1"/>
      </left>
      <right style="thin">
        <color theme="2" tint="-0.099978637043366805"/>
      </right>
      <top style="thin">
        <color theme="2" tint="-0.099978637043366805"/>
      </top>
      <bottom style="thin">
        <color theme="1"/>
      </bottom>
      <diagonal style="none"/>
    </border>
    <border>
      <left style="thin">
        <color theme="2" tint="-0.099978637043366805"/>
      </left>
      <right style="thin">
        <color theme="2" tint="-0.099978637043366805"/>
      </right>
      <top style="thin">
        <color theme="2" tint="-0.099978637043366805"/>
      </top>
      <bottom style="thin">
        <color auto="1"/>
      </bottom>
      <diagonal style="none"/>
    </border>
    <border>
      <left style="thin">
        <color theme="2" tint="-0.099978637043366805"/>
      </left>
      <right style="thin">
        <color theme="2" tint="-0.099978637043366805"/>
      </right>
      <top style="thin">
        <color theme="2" tint="-0.099978637043366805"/>
      </top>
      <bottom style="thin">
        <color theme="1"/>
      </bottom>
      <diagonal style="none"/>
    </border>
    <border>
      <left style="thin">
        <color theme="2" tint="-0.099978637043366805"/>
      </left>
      <right style="none"/>
      <top style="thin">
        <color theme="2" tint="-0.099978637043366805"/>
      </top>
      <bottom style="thin">
        <color theme="1"/>
      </bottom>
      <diagonal style="none"/>
    </border>
    <border>
      <left style="thin">
        <color theme="1" tint="0"/>
      </left>
      <right style="thin">
        <color theme="2" tint="-0.099978637043366805"/>
      </right>
      <top style="thin">
        <color theme="2" tint="-0.099978637043366805"/>
      </top>
      <bottom style="thin">
        <color theme="1" tint="0"/>
      </bottom>
      <diagonal style="none"/>
    </border>
    <border>
      <left style="thin">
        <color theme="2" tint="-0.099978637043366805"/>
      </left>
      <right style="thin">
        <color theme="2" tint="-0.099978637043366805"/>
      </right>
      <top style="thin">
        <color theme="2" tint="-0.099978637043366805"/>
      </top>
      <bottom style="thin">
        <color theme="1" tint="0"/>
      </bottom>
      <diagonal style="none"/>
    </border>
    <border>
      <left style="thin">
        <color theme="2" tint="-0.099978637043366805"/>
      </left>
      <right style="thin">
        <color theme="1" tint="0"/>
      </right>
      <top style="thin">
        <color theme="2" tint="-0.099978637043366805"/>
      </top>
      <bottom style="thin">
        <color theme="1" tint="0"/>
      </bottom>
      <diagonal style="none"/>
    </border>
    <border>
      <left style="thin">
        <color theme="1"/>
      </left>
      <right style="thin">
        <color auto="1"/>
      </right>
      <top style="thin">
        <color theme="1"/>
      </top>
      <bottom style="none"/>
      <diagonal style="none"/>
    </border>
    <border>
      <left style="thin">
        <color theme="1"/>
      </left>
      <right style="thin">
        <color auto="1"/>
      </right>
      <top style="none"/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none"/>
      <diagonal/>
    </border>
    <border>
      <left/>
      <right/>
      <top style="thin">
        <color theme="1"/>
      </top>
      <bottom style="none"/>
      <diagonal/>
    </border>
    <border>
      <left/>
      <right style="thin">
        <color theme="1"/>
      </right>
      <top style="thin">
        <color theme="1"/>
      </top>
      <bottom style="none"/>
      <diagonal/>
    </border>
    <border>
      <left style="thin">
        <color theme="2" tint="-0.099978637043366805"/>
      </left>
      <right style="thin">
        <color theme="1"/>
      </right>
      <top style="thin">
        <color theme="1"/>
      </top>
      <bottom style="thin">
        <color theme="2" tint="-0.099978637043366805"/>
      </bottom>
      <diagonal style="none"/>
    </border>
    <border>
      <left style="thin">
        <color theme="2" tint="-0.099978637043366805"/>
      </left>
      <right style="thin">
        <color theme="1"/>
      </right>
      <top style="thin">
        <color theme="2" tint="-0.099978637043366805"/>
      </top>
      <bottom style="thin">
        <color theme="2" tint="-0.099978637043366805"/>
      </bottom>
      <diagonal style="none"/>
    </border>
    <border>
      <left style="thin">
        <color theme="2" tint="-0.099978637043366805"/>
      </left>
      <right style="thin">
        <color theme="1"/>
      </right>
      <top style="thin">
        <color theme="2" tint="-0.099978637043366805"/>
      </top>
      <bottom style="thin">
        <color theme="1"/>
      </bottom>
      <diagonal style="none"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rgb="FFCCCCCC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rgb="FFCCCCCC"/>
      </right>
      <top style="thin">
        <color rgb="FFCCCCCC"/>
      </top>
      <bottom style="thin">
        <color rgb="FFCCCCCC"/>
      </bottom>
      <diagonal style="none"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 style="none"/>
    </border>
    <border>
      <left style="thin">
        <color rgb="FFCCCCCC"/>
      </left>
      <right style="thin">
        <color auto="1"/>
      </right>
      <top style="thin">
        <color rgb="FFCCCCCC"/>
      </top>
      <bottom style="thin">
        <color auto="1"/>
      </bottom>
      <diagonal style="none"/>
    </border>
    <border>
      <left style="thin">
        <color rgb="FFCCCCCC"/>
      </left>
      <right style="none"/>
      <top style="thin">
        <color rgb="FFCCCCCC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rgb="FFCCCCCC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rgb="FFCCCCCC"/>
      </top>
      <bottom style="thin">
        <color auto="1"/>
      </bottom>
      <diagonal style="none"/>
    </border>
    <border>
      <left style="thin">
        <color rgb="FFCCCCCC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rgb="FFCCCCCC"/>
      </top>
      <bottom style="thin">
        <color rgb="FFCCCCCC"/>
      </bottom>
      <diagonal style="none"/>
    </border>
    <border>
      <left style="thin">
        <color rgb="FFCCCCCC"/>
      </left>
      <right style="thin">
        <color auto="1"/>
      </right>
      <top style="thin">
        <color rgb="FFCCCCCC"/>
      </top>
      <bottom style="thin">
        <color rgb="FFCCCCCC"/>
      </bottom>
      <diagonal style="none"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auto="1"/>
      </bottom>
      <diagonal style="none"/>
    </border>
  </borders>
  <cellStyleXfs count="2">
    <xf fontId="0" fillId="0" borderId="0" numFmtId="0" applyNumberFormat="1" applyFont="1" applyFill="1" applyBorder="1"/>
    <xf fontId="1" fillId="2" borderId="0" numFmtId="0" applyNumberFormat="0" applyFont="1" applyFill="1" applyBorder="0"/>
  </cellStyleXfs>
  <cellXfs count="131">
    <xf fontId="0" fillId="0" borderId="0" numFmtId="0" xfId="0"/>
    <xf fontId="0" fillId="0" borderId="1" numFmtId="0" xfId="0" applyBorder="1" applyAlignment="1">
      <alignment horizontal="center" vertical="center"/>
    </xf>
    <xf fontId="2" fillId="0" borderId="1" numFmtId="0" xfId="0" applyFont="1" applyBorder="1" applyAlignment="1">
      <alignment horizontal="center" vertical="center"/>
    </xf>
    <xf fontId="0" fillId="0" borderId="1" numFmtId="0" xfId="0" applyBorder="1" applyAlignment="1">
      <alignment horizontal="center"/>
    </xf>
    <xf fontId="0" fillId="0" borderId="2" numFmtId="0" xfId="0" applyBorder="1" applyAlignment="1">
      <alignment horizontal="center" vertical="center"/>
    </xf>
    <xf fontId="0" fillId="0" borderId="1" numFmtId="0" xfId="0" applyBorder="1" applyAlignment="1">
      <alignment horizontal="center" vertical="center"/>
    </xf>
    <xf fontId="0" fillId="0" borderId="1" numFmtId="0" xfId="0" applyBorder="1" applyAlignment="1">
      <alignment horizontal="center"/>
    </xf>
    <xf fontId="3" fillId="0" borderId="1" numFmtId="0" xfId="0" applyFont="1" applyBorder="1" applyAlignment="1">
      <alignment horizontal="center" vertical="center"/>
    </xf>
    <xf fontId="4" fillId="0" borderId="3" numFmtId="0" xfId="0" applyFont="1" applyBorder="1" applyAlignment="1">
      <alignment horizontal="center" vertical="center"/>
    </xf>
    <xf fontId="0" fillId="0" borderId="4" numFmtId="0" xfId="0" applyBorder="1" applyAlignment="1">
      <alignment horizontal="center" vertical="center"/>
    </xf>
    <xf fontId="0" fillId="0" borderId="5" numFmtId="0" xfId="0" applyBorder="1" applyAlignment="1">
      <alignment horizontal="center" vertical="center"/>
    </xf>
    <xf fontId="0" fillId="0" borderId="6" numFmtId="0" xfId="0" applyBorder="1" applyAlignment="1">
      <alignment horizontal="center" vertical="center"/>
    </xf>
    <xf fontId="0" fillId="0" borderId="7" numFmtId="0" xfId="0" applyBorder="1" applyAlignment="1">
      <alignment horizontal="center" vertical="center"/>
    </xf>
    <xf fontId="0" fillId="0" borderId="3" numFmtId="0" xfId="0" applyBorder="1" applyAlignment="1">
      <alignment horizontal="center" vertical="center"/>
    </xf>
    <xf fontId="5" fillId="0" borderId="0" numFmtId="0" xfId="0" applyFont="1" applyAlignment="1">
      <alignment horizontal="center" vertical="center" wrapText="1"/>
    </xf>
    <xf fontId="5" fillId="0" borderId="8" numFmtId="0" xfId="0" applyFont="1" applyBorder="1" applyAlignment="1">
      <alignment horizontal="center" vertical="center" wrapText="1"/>
    </xf>
    <xf fontId="0" fillId="0" borderId="0" numFmtId="0" xfId="0" applyAlignment="1">
      <alignment horizontal="center" vertical="center"/>
    </xf>
    <xf fontId="0" fillId="0" borderId="9" numFmtId="0" xfId="0" applyBorder="1" applyAlignment="1">
      <alignment horizontal="center" vertical="center"/>
    </xf>
    <xf fontId="0" fillId="0" borderId="10" numFmtId="0" xfId="0" applyBorder="1" applyAlignment="1">
      <alignment horizontal="center" vertical="center"/>
    </xf>
    <xf fontId="0" fillId="0" borderId="11" numFmtId="0" xfId="0" applyBorder="1" applyAlignment="1">
      <alignment horizontal="center" vertical="center"/>
    </xf>
    <xf fontId="0" fillId="0" borderId="12" numFmtId="0" xfId="0" applyBorder="1" applyAlignment="1">
      <alignment horizontal="center" vertical="center"/>
    </xf>
    <xf fontId="0" fillId="0" borderId="13" numFmtId="0" xfId="0" applyBorder="1" applyAlignment="1">
      <alignment horizontal="center" vertical="center"/>
    </xf>
    <xf fontId="0" fillId="0" borderId="14" numFmtId="0" xfId="0" applyBorder="1" applyAlignment="1">
      <alignment horizontal="center" vertical="center"/>
    </xf>
    <xf fontId="0" fillId="0" borderId="15" numFmtId="0" xfId="0" applyBorder="1" applyAlignment="1">
      <alignment horizontal="center" vertical="center"/>
    </xf>
    <xf fontId="0" fillId="0" borderId="16" numFmtId="0" xfId="0" applyBorder="1" applyAlignment="1">
      <alignment horizontal="center" vertical="center"/>
    </xf>
    <xf fontId="0" fillId="0" borderId="17" numFmtId="0" xfId="0" applyBorder="1" applyAlignment="1">
      <alignment horizontal="center" vertical="center"/>
    </xf>
    <xf fontId="0" fillId="0" borderId="18" numFmtId="0" xfId="0" applyBorder="1" applyAlignment="1">
      <alignment horizontal="center" vertical="center"/>
    </xf>
    <xf fontId="0" fillId="0" borderId="19" numFmtId="0" xfId="0" applyBorder="1" applyAlignment="1">
      <alignment horizontal="center" vertical="center"/>
    </xf>
    <xf fontId="0" fillId="0" borderId="20" numFmtId="0" xfId="0" applyBorder="1" applyAlignment="1">
      <alignment horizontal="center" vertical="center"/>
    </xf>
    <xf fontId="0" fillId="0" borderId="21" numFmtId="0" xfId="0" applyBorder="1" applyAlignment="1">
      <alignment horizontal="center" vertical="center"/>
    </xf>
    <xf fontId="0" fillId="0" borderId="22" numFmtId="0" xfId="0" applyBorder="1" applyAlignment="1">
      <alignment horizontal="center" vertical="center"/>
    </xf>
    <xf fontId="0" fillId="0" borderId="8" numFmtId="0" xfId="0" applyBorder="1" applyAlignment="1">
      <alignment horizontal="center" vertical="center"/>
    </xf>
    <xf fontId="6" fillId="3" borderId="17" numFmtId="0" xfId="1" applyFont="1" applyFill="1" applyBorder="1" applyAlignment="1">
      <alignment horizontal="center" vertical="center"/>
    </xf>
    <xf fontId="6" fillId="3" borderId="18" numFmtId="0" xfId="1" applyFont="1" applyFill="1" applyBorder="1" applyAlignment="1">
      <alignment horizontal="center" vertical="center"/>
    </xf>
    <xf fontId="6" fillId="3" borderId="19" numFmtId="0" xfId="1" applyFont="1" applyFill="1" applyBorder="1" applyAlignment="1">
      <alignment horizontal="center" vertical="center"/>
    </xf>
    <xf fontId="6" fillId="3" borderId="20" numFmtId="0" xfId="1" applyFont="1" applyFill="1" applyBorder="1" applyAlignment="1">
      <alignment horizontal="center" vertical="center"/>
    </xf>
    <xf fontId="0" fillId="3" borderId="21" numFmtId="0" xfId="0" applyFill="1" applyBorder="1" applyAlignment="1">
      <alignment horizontal="center" vertical="center"/>
    </xf>
    <xf fontId="0" fillId="3" borderId="19" numFmtId="0" xfId="0" applyFill="1" applyBorder="1" applyAlignment="1">
      <alignment horizontal="center" vertical="center"/>
    </xf>
    <xf fontId="0" fillId="3" borderId="22" numFmtId="0" xfId="0" applyFill="1" applyBorder="1" applyAlignment="1">
      <alignment horizontal="center" vertical="center"/>
    </xf>
    <xf fontId="0" fillId="0" borderId="23" numFmtId="0" xfId="0" applyBorder="1" applyAlignment="1">
      <alignment horizontal="center" vertical="center"/>
    </xf>
    <xf fontId="0" fillId="0" borderId="24" numFmtId="0" xfId="0" applyBorder="1" applyAlignment="1">
      <alignment horizontal="center" vertical="center"/>
    </xf>
    <xf fontId="0" fillId="0" borderId="25" numFmtId="0" xfId="0" applyBorder="1" applyAlignment="1">
      <alignment horizontal="center" vertical="center"/>
    </xf>
    <xf fontId="0" fillId="0" borderId="26" numFmtId="0" xfId="0" applyBorder="1" applyAlignment="1">
      <alignment horizontal="center" vertical="center"/>
    </xf>
    <xf fontId="0" fillId="0" borderId="27" numFmtId="0" xfId="0" applyBorder="1" applyAlignment="1">
      <alignment horizontal="center" vertical="center"/>
    </xf>
    <xf fontId="0" fillId="0" borderId="28" numFmtId="0" xfId="0" applyBorder="1" applyAlignment="1">
      <alignment horizontal="center" vertical="center"/>
    </xf>
    <xf fontId="0" fillId="0" borderId="29" numFmtId="0" xfId="0" applyBorder="1" applyAlignment="1">
      <alignment horizontal="center" vertical="center"/>
    </xf>
    <xf fontId="0" fillId="0" borderId="30" numFmtId="0" xfId="0" applyBorder="1" applyAlignment="1">
      <alignment horizontal="center" vertical="center"/>
    </xf>
    <xf fontId="0" fillId="0" borderId="31" numFmtId="0" xfId="0" applyBorder="1" applyAlignment="1">
      <alignment horizontal="center" vertical="center"/>
    </xf>
    <xf fontId="0" fillId="0" borderId="32" numFmtId="0" xfId="0" applyBorder="1" applyAlignment="1">
      <alignment horizontal="center" vertical="center"/>
    </xf>
    <xf fontId="0" fillId="0" borderId="33" numFmtId="0" xfId="0" applyBorder="1" applyAlignment="1">
      <alignment horizontal="center" vertical="center"/>
    </xf>
    <xf fontId="2" fillId="0" borderId="34" numFmtId="0" xfId="0" applyFont="1" applyBorder="1" applyAlignment="1">
      <alignment horizontal="center" vertical="center"/>
    </xf>
    <xf fontId="0" fillId="0" borderId="35" numFmtId="0" xfId="0" applyBorder="1" applyAlignment="1">
      <alignment horizontal="center" vertical="center"/>
    </xf>
    <xf fontId="0" fillId="0" borderId="36" numFmtId="0" xfId="0" applyBorder="1" applyAlignment="1">
      <alignment horizontal="center" vertical="center"/>
    </xf>
    <xf fontId="0" fillId="0" borderId="37" numFmtId="0" xfId="0" applyBorder="1" applyAlignment="1">
      <alignment horizontal="center" vertical="center"/>
    </xf>
    <xf fontId="0" fillId="0" borderId="34" numFmtId="0" xfId="0" applyBorder="1" applyAlignment="1">
      <alignment horizontal="center" vertical="center"/>
    </xf>
    <xf fontId="0" fillId="0" borderId="35" numFmtId="0" xfId="0" applyBorder="1" applyAlignment="1">
      <alignment horizontal="center" vertical="center"/>
    </xf>
    <xf fontId="0" fillId="0" borderId="36" numFmtId="0" xfId="0" applyBorder="1" applyAlignment="1">
      <alignment horizontal="center" vertical="center"/>
    </xf>
    <xf fontId="0" fillId="0" borderId="34" numFmtId="0" xfId="0" applyBorder="1" applyAlignment="1">
      <alignment horizontal="center"/>
    </xf>
    <xf fontId="0" fillId="0" borderId="35" numFmtId="0" xfId="0" applyBorder="1" applyAlignment="1">
      <alignment horizontal="center"/>
    </xf>
    <xf fontId="0" fillId="0" borderId="36" numFmtId="0" xfId="0" applyBorder="1" applyAlignment="1">
      <alignment horizontal="center"/>
    </xf>
    <xf fontId="0" fillId="0" borderId="38" numFmtId="0" xfId="0" applyBorder="1" applyAlignment="1">
      <alignment horizontal="center" vertical="center"/>
    </xf>
    <xf fontId="0" fillId="0" borderId="0" numFmtId="0" xfId="0" applyAlignment="1">
      <alignment horizontal="center" vertical="center"/>
    </xf>
    <xf fontId="0" fillId="0" borderId="39" numFmtId="0" xfId="0" applyBorder="1" applyAlignment="1">
      <alignment horizontal="center" vertical="center"/>
    </xf>
    <xf fontId="0" fillId="0" borderId="40" numFmtId="0" xfId="0" applyBorder="1" applyAlignment="1">
      <alignment horizontal="center" vertical="center"/>
    </xf>
    <xf fontId="0" fillId="0" borderId="41" numFmtId="0" xfId="0" applyBorder="1" applyAlignment="1">
      <alignment horizontal="center" vertical="center"/>
    </xf>
    <xf fontId="7" fillId="0" borderId="0" numFmtId="0" xfId="0" applyFont="1" applyAlignment="1">
      <alignment horizontal="center" vertical="center"/>
    </xf>
    <xf fontId="0" fillId="0" borderId="10" numFmtId="164" xfId="0" applyNumberFormat="1" applyBorder="1" applyAlignment="1">
      <alignment horizontal="center" vertical="center"/>
    </xf>
    <xf fontId="0" fillId="0" borderId="12" numFmtId="165" xfId="0" applyNumberFormat="1" applyBorder="1" applyAlignment="1">
      <alignment horizontal="center" vertical="center"/>
    </xf>
    <xf fontId="0" fillId="0" borderId="12" numFmtId="165" xfId="0" applyNumberFormat="1" applyBorder="1" applyAlignment="1">
      <alignment horizontal="center" vertical="center"/>
    </xf>
    <xf fontId="0" fillId="0" borderId="13" numFmtId="165" xfId="0" applyNumberFormat="1" applyBorder="1" applyAlignment="1">
      <alignment horizontal="center" vertical="center"/>
    </xf>
    <xf fontId="8" fillId="0" borderId="10" numFmtId="165" xfId="0" applyNumberFormat="1" applyFont="1" applyBorder="1" applyAlignment="1">
      <alignment horizontal="center" vertical="center" wrapText="1"/>
    </xf>
    <xf fontId="8" fillId="0" borderId="12" numFmtId="165" xfId="0" applyNumberFormat="1" applyFont="1" applyBorder="1" applyAlignment="1">
      <alignment horizontal="center" vertical="center" wrapText="1"/>
    </xf>
    <xf fontId="8" fillId="0" borderId="42" numFmtId="165" xfId="0" applyNumberFormat="1" applyFont="1" applyBorder="1" applyAlignment="1">
      <alignment horizontal="center" vertical="center" wrapText="1"/>
    </xf>
    <xf fontId="0" fillId="0" borderId="18" numFmtId="164" xfId="0" applyNumberFormat="1" applyBorder="1" applyAlignment="1">
      <alignment horizontal="center" vertical="center"/>
    </xf>
    <xf fontId="0" fillId="0" borderId="19" numFmtId="165" xfId="0" applyNumberFormat="1" applyBorder="1" applyAlignment="1">
      <alignment horizontal="center" vertical="center"/>
    </xf>
    <xf fontId="0" fillId="0" borderId="19" numFmtId="165" xfId="0" applyNumberFormat="1" applyBorder="1" applyAlignment="1">
      <alignment horizontal="center" vertical="center"/>
    </xf>
    <xf fontId="0" fillId="0" borderId="20" numFmtId="165" xfId="0" applyNumberFormat="1" applyBorder="1" applyAlignment="1">
      <alignment horizontal="center" vertical="center"/>
    </xf>
    <xf fontId="8" fillId="0" borderId="18" numFmtId="165" xfId="0" applyNumberFormat="1" applyFont="1" applyBorder="1" applyAlignment="1">
      <alignment horizontal="center" vertical="center" wrapText="1"/>
    </xf>
    <xf fontId="8" fillId="0" borderId="19" numFmtId="165" xfId="0" applyNumberFormat="1" applyFont="1" applyBorder="1" applyAlignment="1">
      <alignment horizontal="center" vertical="center" wrapText="1"/>
    </xf>
    <xf fontId="8" fillId="0" borderId="43" numFmtId="165" xfId="0" applyNumberFormat="1" applyFont="1" applyBorder="1" applyAlignment="1">
      <alignment horizontal="center" vertical="center" wrapText="1"/>
    </xf>
    <xf fontId="0" fillId="3" borderId="17" numFmtId="0" xfId="0" applyFill="1" applyBorder="1" applyAlignment="1">
      <alignment horizontal="center" vertical="center"/>
    </xf>
    <xf fontId="0" fillId="3" borderId="18" numFmtId="164" xfId="0" applyNumberFormat="1" applyFill="1" applyBorder="1" applyAlignment="1">
      <alignment horizontal="center" vertical="center"/>
    </xf>
    <xf fontId="0" fillId="3" borderId="19" numFmtId="165" xfId="0" applyNumberFormat="1" applyFill="1" applyBorder="1" applyAlignment="1">
      <alignment horizontal="center" vertical="center"/>
    </xf>
    <xf fontId="0" fillId="3" borderId="19" numFmtId="165" xfId="0" applyNumberFormat="1" applyFill="1" applyBorder="1" applyAlignment="1">
      <alignment horizontal="center" vertical="center"/>
    </xf>
    <xf fontId="0" fillId="3" borderId="20" numFmtId="165" xfId="0" applyNumberFormat="1" applyFill="1" applyBorder="1" applyAlignment="1">
      <alignment horizontal="center" vertical="center"/>
    </xf>
    <xf fontId="8" fillId="3" borderId="18" numFmtId="165" xfId="0" applyNumberFormat="1" applyFont="1" applyFill="1" applyBorder="1" applyAlignment="1">
      <alignment horizontal="center" vertical="center" wrapText="1"/>
    </xf>
    <xf fontId="8" fillId="3" borderId="19" numFmtId="165" xfId="0" applyNumberFormat="1" applyFont="1" applyFill="1" applyBorder="1" applyAlignment="1">
      <alignment horizontal="center" vertical="center" wrapText="1"/>
    </xf>
    <xf fontId="8" fillId="3" borderId="43" numFmtId="165" xfId="0" applyNumberFormat="1" applyFont="1" applyFill="1" applyBorder="1" applyAlignment="1">
      <alignment horizontal="center" vertical="center" wrapText="1"/>
    </xf>
    <xf fontId="0" fillId="0" borderId="18" numFmtId="1" xfId="0" applyNumberFormat="1" applyBorder="1" applyAlignment="1">
      <alignment horizontal="center" vertical="center"/>
    </xf>
    <xf fontId="0" fillId="0" borderId="24" numFmtId="1" xfId="0" applyNumberFormat="1" applyBorder="1" applyAlignment="1">
      <alignment horizontal="center" vertical="center"/>
    </xf>
    <xf fontId="0" fillId="0" borderId="26" numFmtId="165" xfId="0" applyNumberFormat="1" applyBorder="1" applyAlignment="1">
      <alignment horizontal="center" vertical="center"/>
    </xf>
    <xf fontId="0" fillId="0" borderId="26" numFmtId="165" xfId="0" applyNumberFormat="1" applyBorder="1" applyAlignment="1">
      <alignment horizontal="center" vertical="center"/>
    </xf>
    <xf fontId="0" fillId="0" borderId="27" numFmtId="165" xfId="0" applyNumberFormat="1" applyBorder="1" applyAlignment="1">
      <alignment horizontal="center" vertical="center"/>
    </xf>
    <xf fontId="8" fillId="0" borderId="24" numFmtId="165" xfId="0" applyNumberFormat="1" applyFont="1" applyBorder="1" applyAlignment="1">
      <alignment horizontal="center" vertical="center" wrapText="1"/>
    </xf>
    <xf fontId="8" fillId="0" borderId="26" numFmtId="165" xfId="0" applyNumberFormat="1" applyFont="1" applyBorder="1" applyAlignment="1">
      <alignment horizontal="center" vertical="center" wrapText="1"/>
    </xf>
    <xf fontId="8" fillId="0" borderId="44" numFmtId="165" xfId="0" applyNumberFormat="1" applyFont="1" applyBorder="1" applyAlignment="1">
      <alignment horizontal="center" vertical="center" wrapText="1"/>
    </xf>
    <xf fontId="9" fillId="0" borderId="45" numFmtId="0" xfId="0" applyFont="1" applyBorder="1" applyAlignment="1">
      <alignment horizontal="center" vertical="center" wrapText="1"/>
    </xf>
    <xf fontId="8" fillId="0" borderId="45" numFmtId="0" xfId="0" applyFont="1" applyBorder="1" applyAlignment="1">
      <alignment horizontal="left" vertical="center" wrapText="1"/>
    </xf>
    <xf fontId="8" fillId="0" borderId="0" numFmtId="0" xfId="0" applyFont="1" applyAlignment="1">
      <alignment horizontal="left"/>
    </xf>
    <xf fontId="5" fillId="0" borderId="46" numFmtId="0" xfId="0" applyFont="1" applyBorder="1" applyAlignment="1">
      <alignment horizontal="center" vertical="center" wrapText="1"/>
    </xf>
    <xf fontId="5" fillId="0" borderId="47" numFmtId="0" xfId="0" applyFont="1" applyBorder="1" applyAlignment="1">
      <alignment horizontal="center" vertical="center" wrapText="1"/>
    </xf>
    <xf fontId="5" fillId="0" borderId="48" numFmtId="0" xfId="0" applyFont="1" applyBorder="1" applyAlignment="1">
      <alignment horizontal="center" vertical="center" wrapText="1"/>
    </xf>
    <xf fontId="5" fillId="0" borderId="49" numFmtId="0" xfId="0" applyFont="1" applyBorder="1" applyAlignment="1">
      <alignment horizontal="center" vertical="center" wrapText="1"/>
    </xf>
    <xf fontId="5" fillId="0" borderId="50" numFmtId="0" xfId="0" applyFont="1" applyBorder="1" applyAlignment="1">
      <alignment horizontal="center" vertical="center" wrapText="1"/>
    </xf>
    <xf fontId="0" fillId="0" borderId="0" numFmtId="0" xfId="0" applyAlignment="1">
      <alignment horizontal="left" wrapText="1"/>
    </xf>
    <xf fontId="0" fillId="0" borderId="51" numFmtId="0" xfId="0" applyBorder="1" applyAlignment="1">
      <alignment horizontal="left" wrapText="1"/>
    </xf>
    <xf fontId="0" fillId="0" borderId="52" numFmtId="0" xfId="0" applyBorder="1" applyAlignment="1">
      <alignment horizontal="left" wrapText="1"/>
    </xf>
    <xf fontId="5" fillId="0" borderId="2" numFmtId="0" xfId="0" applyFont="1" applyBorder="1" applyAlignment="1">
      <alignment horizontal="left" vertical="top" wrapText="1"/>
    </xf>
    <xf fontId="5" fillId="0" borderId="53" numFmtId="0" xfId="0" applyFont="1" applyBorder="1" applyAlignment="1">
      <alignment horizontal="center" vertical="center" wrapText="1"/>
    </xf>
    <xf fontId="5" fillId="0" borderId="54" numFmtId="0" xfId="0" applyFont="1" applyBorder="1" applyAlignment="1">
      <alignment horizontal="center" vertical="center" wrapText="1"/>
    </xf>
    <xf fontId="5" fillId="0" borderId="55" numFmtId="0" xfId="0" applyFont="1" applyBorder="1" applyAlignment="1">
      <alignment horizontal="center" vertical="center" wrapText="1"/>
    </xf>
    <xf fontId="5" fillId="0" borderId="56" numFmtId="0" xfId="0" applyFont="1" applyBorder="1" applyAlignment="1">
      <alignment horizontal="center" vertical="center" wrapText="1"/>
    </xf>
    <xf fontId="5" fillId="0" borderId="57" numFmtId="0" xfId="0" applyFont="1" applyBorder="1" applyAlignment="1">
      <alignment horizontal="center" vertical="center" wrapText="1"/>
    </xf>
    <xf fontId="5" fillId="0" borderId="52" numFmtId="0" xfId="0" applyFont="1" applyBorder="1" applyAlignment="1">
      <alignment horizontal="center" wrapText="1"/>
    </xf>
    <xf fontId="5" fillId="0" borderId="52" numFmtId="0" xfId="0" applyFont="1" applyBorder="1" applyAlignment="1">
      <alignment horizontal="left" wrapText="1"/>
    </xf>
    <xf fontId="5" fillId="4" borderId="58" numFmtId="0" xfId="0" applyFont="1" applyFill="1" applyBorder="1" applyAlignment="1">
      <alignment horizontal="center" vertical="center" wrapText="1"/>
    </xf>
    <xf fontId="5" fillId="4" borderId="52" numFmtId="0" xfId="0" applyFont="1" applyFill="1" applyBorder="1" applyAlignment="1">
      <alignment horizontal="center" vertical="center" wrapText="1"/>
    </xf>
    <xf fontId="5" fillId="4" borderId="59" numFmtId="0" xfId="0" applyFont="1" applyFill="1" applyBorder="1" applyAlignment="1">
      <alignment horizontal="center" vertical="center" wrapText="1"/>
    </xf>
    <xf fontId="5" fillId="5" borderId="58" numFmtId="0" xfId="0" applyFont="1" applyFill="1" applyBorder="1" applyAlignment="1">
      <alignment horizontal="center" vertical="center" wrapText="1"/>
    </xf>
    <xf fontId="5" fillId="5" borderId="52" numFmtId="0" xfId="0" applyFont="1" applyFill="1" applyBorder="1" applyAlignment="1">
      <alignment horizontal="center" vertical="center" wrapText="1"/>
    </xf>
    <xf fontId="5" fillId="5" borderId="59" numFmtId="0" xfId="0" applyFont="1" applyFill="1" applyBorder="1" applyAlignment="1">
      <alignment horizontal="center" vertical="center" wrapText="1"/>
    </xf>
    <xf fontId="5" fillId="0" borderId="52" numFmtId="0" xfId="0" applyFont="1" applyBorder="1" applyAlignment="1">
      <alignment horizontal="right" wrapText="1"/>
    </xf>
    <xf fontId="5" fillId="6" borderId="58" numFmtId="0" xfId="0" applyFont="1" applyFill="1" applyBorder="1" applyAlignment="1">
      <alignment horizontal="center" vertical="center" wrapText="1"/>
    </xf>
    <xf fontId="5" fillId="6" borderId="52" numFmtId="0" xfId="0" applyFont="1" applyFill="1" applyBorder="1" applyAlignment="1">
      <alignment horizontal="center" vertical="center" wrapText="1"/>
    </xf>
    <xf fontId="5" fillId="6" borderId="59" numFmtId="0" xfId="0" applyFont="1" applyFill="1" applyBorder="1" applyAlignment="1">
      <alignment horizontal="center" vertical="center" wrapText="1"/>
    </xf>
    <xf fontId="5" fillId="3" borderId="58" numFmtId="0" xfId="0" applyFont="1" applyFill="1" applyBorder="1" applyAlignment="1">
      <alignment horizontal="center" vertical="center" wrapText="1"/>
    </xf>
    <xf fontId="5" fillId="3" borderId="52" numFmtId="0" xfId="0" applyFont="1" applyFill="1" applyBorder="1" applyAlignment="1">
      <alignment horizontal="center" vertical="center" wrapText="1"/>
    </xf>
    <xf fontId="5" fillId="3" borderId="59" numFmtId="0" xfId="0" applyFont="1" applyFill="1" applyBorder="1" applyAlignment="1">
      <alignment horizontal="center" vertical="center" wrapText="1"/>
    </xf>
    <xf fontId="5" fillId="3" borderId="55" numFmtId="0" xfId="0" applyFont="1" applyFill="1" applyBorder="1" applyAlignment="1">
      <alignment horizontal="center" vertical="center" wrapText="1"/>
    </xf>
    <xf fontId="5" fillId="3" borderId="60" numFmtId="0" xfId="0" applyFont="1" applyFill="1" applyBorder="1" applyAlignment="1">
      <alignment horizontal="center" vertical="center" wrapText="1"/>
    </xf>
    <xf fontId="5" fillId="3" borderId="53" numFmtId="0" xfId="0" applyFont="1" applyFill="1" applyBorder="1" applyAlignment="1">
      <alignment horizontal="center" vertical="center" wrapText="1"/>
    </xf>
  </cellXfs>
  <cellStyles count="2">
    <cellStyle name="Normal" xfId="0" builtinId="0"/>
    <cellStyle name="Neutral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093010"/>
          <c:y val="0.429780"/>
          <c:w val="0.890260"/>
          <c:h val="0.501520"/>
        </c:manualLayout>
      </c:layout>
      <c:lineChart>
        <c:grouping val="stack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val>
            <c:numRef>
              <c:f>'2-3'!$B$16</c:f>
            </c:numRef>
          </c:val>
          <c:smooth val="0"/>
        </c:ser>
        <c:marker val="0"/>
        <c:smooth val="0"/>
        <c:axId val="511721971"/>
        <c:axId val="511721972"/>
      </c:lineChart>
      <c:catAx>
        <c:axId val="511721971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72"/>
        <c:crosses val="autoZero"/>
        <c:auto val="1"/>
        <c:lblAlgn val="ctr"/>
        <c:lblOffset val="100"/>
        <c:noMultiLvlLbl val="0"/>
      </c:catAx>
      <c:valAx>
        <c:axId val="51172197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7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>
        <c:manualLayout>
          <c:x val="-0.031350"/>
          <c:y val="-0.013960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 bwMode="auto">
    <a:xfrm>
      <a:off x="6184322" y="4918363"/>
      <a:ext cx="4381499" cy="2663536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none"/>
          </c:marker>
          <c:xVal>
            <c:numRef>
              <c:f>'2-3'!$B$7:$B$26</c:f>
            </c:numRef>
          </c:xVal>
          <c:yVal>
            <c:numRef>
              <c:f>'2-3'!$C$7:$C$26</c:f>
            </c:numRef>
          </c:yVal>
          <c:smooth val="1"/>
        </c:ser>
        <c:ser>
          <c:idx val="1"/>
          <c:order val="1"/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none"/>
          </c:marker>
          <c:xVal>
            <c:numRef>
              <c:f>'2-3'!$B$7:$B$26</c:f>
            </c:numRef>
          </c:xVal>
          <c:yVal>
            <c:numRef>
              <c:f>'2-3'!$D$7:$D$26</c:f>
            </c:numRef>
          </c:yVal>
          <c:smooth val="1"/>
        </c:ser>
        <c:axId val="2140841601"/>
        <c:axId val="2140841602"/>
      </c:scatterChart>
      <c:valAx>
        <c:axId val="2140841601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602"/>
        <c:crosses val="autoZero"/>
      </c:valAx>
      <c:valAx>
        <c:axId val="214084160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60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 rot="0" flipH="0" flipV="0">
      <a:off x="1402772" y="5340927"/>
      <a:ext cx="4142508" cy="247996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13</xdr:col>
      <xdr:colOff>233795</xdr:colOff>
      <xdr:row>27</xdr:row>
      <xdr:rowOff>41563</xdr:rowOff>
    </xdr:from>
    <xdr:to>
      <xdr:col>22</xdr:col>
      <xdr:colOff>133349</xdr:colOff>
      <xdr:row>42</xdr:row>
      <xdr:rowOff>3463</xdr:rowOff>
    </xdr:to>
    <xdr:graphicFrame>
      <xdr:nvGraphicFramePr>
        <xdr:cNvPr id="1207679805" name=""/>
        <xdr:cNvGraphicFramePr>
          <a:graphicFrameLocks xmlns:a="http://schemas.openxmlformats.org/drawingml/2006/main"/>
        </xdr:cNvGraphicFramePr>
      </xdr:nvGraphicFramePr>
      <xdr:xfrm>
        <a:off x="6184322" y="4918363"/>
        <a:ext cx="4381499" cy="2663536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2</xdr:col>
      <xdr:colOff>211281</xdr:colOff>
      <xdr:row>29</xdr:row>
      <xdr:rowOff>103908</xdr:rowOff>
    </xdr:from>
    <xdr:to>
      <xdr:col>12</xdr:col>
      <xdr:colOff>24245</xdr:colOff>
      <xdr:row>43</xdr:row>
      <xdr:rowOff>62345</xdr:rowOff>
    </xdr:to>
    <xdr:graphicFrame>
      <xdr:nvGraphicFramePr>
        <xdr:cNvPr id="1066965138" name=""/>
        <xdr:cNvGraphicFramePr>
          <a:graphicFrameLocks xmlns:a="http://schemas.openxmlformats.org/drawingml/2006/main"/>
        </xdr:cNvGraphicFramePr>
      </xdr:nvGraphicFramePr>
      <xdr:xfrm rot="0" flipH="0" flipV="0">
        <a:off x="1402772" y="5340927"/>
        <a:ext cx="4142508" cy="247996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showRowColHeaders="1" showZeros="1" zoomScale="100" workbookViewId="0">
      <selection activeCell="A1" activeCellId="0" sqref="A1"/>
    </sheetView>
  </sheetViews>
  <sheetFormatPr defaultRowHeight="14.25"/>
  <cols>
    <col customWidth="1" min="2" max="2" width="8.7109375"/>
    <col customWidth="1" min="3" max="3" width="3.7109375"/>
    <col customWidth="1" min="4" max="4" width="7.140625"/>
    <col customWidth="1" min="5" max="5" width="7.00390625"/>
    <col customWidth="1" min="6" max="7" width="7.140625"/>
    <col customWidth="1" min="8" max="8" width="4.57421875"/>
    <col customWidth="1" min="9" max="12" width="7.140625"/>
    <col customWidth="1" min="13" max="13" width="6.421875"/>
    <col customWidth="1" min="14" max="14" width="7.8515625"/>
    <col customWidth="1" min="15" max="15" width="7.57421875"/>
    <col customWidth="1" min="16" max="16" width="6.421875"/>
    <col customWidth="1" min="17" max="18" width="6.7109375"/>
    <col customWidth="1" min="19" max="19" width="13.140625"/>
    <col customWidth="1" min="20" max="20" width="6.7109375"/>
  </cols>
  <sheetData>
    <row r="2" ht="14.25">
      <c r="B2" s="1" t="s">
        <v>0</v>
      </c>
      <c r="C2" s="2" t="s">
        <v>1</v>
      </c>
      <c r="D2" s="2"/>
      <c r="E2" s="2"/>
      <c r="F2" s="2"/>
      <c r="G2" s="2"/>
      <c r="H2" s="2"/>
      <c r="I2" s="2"/>
      <c r="J2" s="2"/>
      <c r="K2" s="2"/>
      <c r="L2" s="2"/>
    </row>
    <row r="3" ht="14.25">
      <c r="B3" s="1"/>
      <c r="C3" s="1" t="s">
        <v>2</v>
      </c>
      <c r="D3" s="1"/>
      <c r="E3" s="1"/>
      <c r="F3" s="1"/>
      <c r="G3" s="1"/>
      <c r="H3" s="3" t="s">
        <v>3</v>
      </c>
      <c r="I3" s="3"/>
      <c r="J3" s="3"/>
      <c r="K3" s="3"/>
      <c r="L3" s="3"/>
      <c r="O3" s="4" t="s">
        <v>4</v>
      </c>
      <c r="P3" s="4" t="s">
        <v>5</v>
      </c>
    </row>
    <row r="4" ht="14.25">
      <c r="B4" s="1"/>
      <c r="C4" s="5" t="s">
        <v>6</v>
      </c>
      <c r="D4" s="1"/>
      <c r="E4" s="1"/>
      <c r="F4" s="1"/>
      <c r="G4" s="1"/>
      <c r="H4" s="6" t="s">
        <v>7</v>
      </c>
      <c r="I4" s="3"/>
      <c r="J4" s="3"/>
      <c r="K4" s="3"/>
      <c r="L4" s="3"/>
      <c r="O4" s="4">
        <f>SQRT(0.023094/0.000071454)/22</f>
        <v>0.8171722818055126</v>
      </c>
      <c r="P4" s="4">
        <f>(U16/SQRT(2))/6</f>
        <v>0.8179693393635783</v>
      </c>
    </row>
    <row r="5" ht="15">
      <c r="B5" s="1"/>
      <c r="C5" s="7" t="s">
        <v>8</v>
      </c>
      <c r="D5" s="1" t="s">
        <v>9</v>
      </c>
      <c r="E5" s="1" t="s">
        <v>10</v>
      </c>
      <c r="F5" s="1" t="s">
        <v>11</v>
      </c>
      <c r="G5" s="1" t="s">
        <v>12</v>
      </c>
      <c r="H5" s="7" t="s">
        <v>8</v>
      </c>
      <c r="I5" s="1" t="s">
        <v>9</v>
      </c>
      <c r="J5" s="1" t="s">
        <v>10</v>
      </c>
      <c r="K5" s="1" t="s">
        <v>11</v>
      </c>
      <c r="L5" s="1" t="s">
        <v>12</v>
      </c>
    </row>
    <row r="6" ht="14.25">
      <c r="B6" s="1" t="s">
        <v>13</v>
      </c>
      <c r="C6" s="8" t="s">
        <v>14</v>
      </c>
      <c r="D6" s="9" t="s">
        <v>15</v>
      </c>
      <c r="E6" s="10" t="s">
        <v>16</v>
      </c>
      <c r="F6" s="11"/>
      <c r="G6" s="12"/>
      <c r="H6" s="8" t="s">
        <v>14</v>
      </c>
      <c r="I6" s="13" t="s">
        <v>15</v>
      </c>
      <c r="J6" s="13" t="s">
        <v>16</v>
      </c>
      <c r="K6" s="13"/>
      <c r="L6" s="13"/>
      <c r="N6" s="14" t="s">
        <v>17</v>
      </c>
      <c r="O6" s="14" t="s">
        <v>18</v>
      </c>
      <c r="P6" s="14" t="s">
        <v>19</v>
      </c>
      <c r="Q6" s="15" t="s">
        <v>20</v>
      </c>
      <c r="R6" s="16" t="s">
        <v>21</v>
      </c>
      <c r="S6" s="16" t="s">
        <v>22</v>
      </c>
      <c r="T6" s="16" t="s">
        <v>23</v>
      </c>
      <c r="U6" s="16" t="s">
        <v>24</v>
      </c>
    </row>
    <row r="7" ht="14.25">
      <c r="B7" s="17">
        <f>ROUND(0.1*123.896,3)</f>
        <v>12.390000000000001</v>
      </c>
      <c r="C7" s="18">
        <f t="shared" ref="C7:C9" si="0">ROUND(DEGREES(ATAN((2*PI()*B7*0.023094-(1/(2*PI()*B7*71.454*10^(-6))))/(17+5))),3)</f>
        <v>-82.953000000000003</v>
      </c>
      <c r="D7" s="19">
        <f t="shared" ref="D7:D9" si="1">ROUND(6/SQRT((17+5)^2+(2*PI()*B7*0.023094-1/(2*PI()*B7*71.454*10^(-6)))^2),3)</f>
        <v>0.033000000000000002</v>
      </c>
      <c r="E7" s="20">
        <f t="shared" ref="E7:E9" si="2">D7*17</f>
        <v>0.56100000000000005</v>
      </c>
      <c r="F7" s="20">
        <f t="shared" ref="F7:F9" si="3">ROUND(D7*SQRT(25+(2*PI()*B7*0.023094)^2),3)</f>
        <v>0.17500000000000002</v>
      </c>
      <c r="G7" s="21">
        <f t="shared" ref="G7:G9" si="4">ROUND(D7/(2*PI()*B7*71.454*10^(-6)),3)</f>
        <v>5.9320000000000004</v>
      </c>
      <c r="H7" s="22">
        <v>-84</v>
      </c>
      <c r="I7" s="23">
        <f t="shared" ref="I7:I9" si="5">ROUND(R7/SQRT(2),3)</f>
        <v>0.033000000000000002</v>
      </c>
      <c r="J7" s="23">
        <f t="shared" ref="J7:J9" si="6">ROUND(S7/SQRT(2),3)</f>
        <v>0.56900000000000006</v>
      </c>
      <c r="K7" s="23">
        <f t="shared" ref="K7:K9" si="7">ROUND(T7/SQRT(2),3)</f>
        <v>0.17799999999999999</v>
      </c>
      <c r="L7" s="24">
        <f t="shared" ref="L7:L9" si="8">ROUND(U7/SQRT(2),3)</f>
        <v>6.016</v>
      </c>
      <c r="N7" s="14">
        <v>-92.709999999999994</v>
      </c>
      <c r="O7" s="14">
        <v>114.34</v>
      </c>
      <c r="P7" s="14">
        <v>73.989999999999995</v>
      </c>
      <c r="Q7" s="15">
        <v>33.609999999999999</v>
      </c>
      <c r="R7" s="16">
        <v>0.047320000000000001</v>
      </c>
      <c r="S7" s="16">
        <v>0.80435999999999996</v>
      </c>
      <c r="T7" s="16">
        <v>0.251413</v>
      </c>
      <c r="U7" s="16">
        <v>8.5079999999999991</v>
      </c>
    </row>
    <row r="8" ht="14.25">
      <c r="B8" s="25">
        <f>ROUND(0.2*123.896,3)</f>
        <v>24.779</v>
      </c>
      <c r="C8" s="26">
        <f t="shared" si="0"/>
        <v>-75.698000000000008</v>
      </c>
      <c r="D8" s="27">
        <f t="shared" si="1"/>
        <v>0.067000000000000004</v>
      </c>
      <c r="E8" s="27">
        <f t="shared" si="2"/>
        <v>1.139</v>
      </c>
      <c r="F8" s="27">
        <f t="shared" si="3"/>
        <v>0.41300000000000003</v>
      </c>
      <c r="G8" s="28">
        <f t="shared" si="4"/>
        <v>6.0229999999999997</v>
      </c>
      <c r="H8" s="29">
        <f t="shared" ref="H8:H9" si="9">ROUND(180*(O8-N8)/(Q8-P8),3)</f>
        <v>-75.564000000000007</v>
      </c>
      <c r="I8" s="27">
        <f t="shared" si="5"/>
        <v>0.067000000000000004</v>
      </c>
      <c r="J8" s="27">
        <f t="shared" si="6"/>
        <v>1.1460000000000001</v>
      </c>
      <c r="K8" s="27">
        <f t="shared" si="7"/>
        <v>0.41500000000000004</v>
      </c>
      <c r="L8" s="30">
        <f t="shared" si="8"/>
        <v>6.056</v>
      </c>
      <c r="N8" s="16">
        <v>169.75999999999999</v>
      </c>
      <c r="O8" s="16">
        <v>178.24000000000001</v>
      </c>
      <c r="P8" s="16">
        <v>158.06999999999999</v>
      </c>
      <c r="Q8" s="31">
        <v>137.87</v>
      </c>
      <c r="R8" s="16">
        <v>0.095280000000000004</v>
      </c>
      <c r="S8" s="16">
        <v>1.6200000000000001</v>
      </c>
      <c r="T8" s="16">
        <v>0.58720000000000006</v>
      </c>
      <c r="U8" s="16">
        <v>8.5640000000000001</v>
      </c>
    </row>
    <row r="9" ht="14.25">
      <c r="B9" s="25">
        <f>ROUND(0.3*123.896,3)</f>
        <v>37.169000000000004</v>
      </c>
      <c r="C9" s="26">
        <f t="shared" si="0"/>
        <v>-68.028999999999996</v>
      </c>
      <c r="D9" s="27">
        <f t="shared" si="1"/>
        <v>0.10200000000000001</v>
      </c>
      <c r="E9" s="27">
        <f t="shared" si="2"/>
        <v>1.7340000000000002</v>
      </c>
      <c r="F9" s="27">
        <f t="shared" si="3"/>
        <v>0.75</v>
      </c>
      <c r="G9" s="28">
        <f t="shared" si="4"/>
        <v>6.1120000000000001</v>
      </c>
      <c r="H9" s="29">
        <f t="shared" si="9"/>
        <v>-68.060000000000002</v>
      </c>
      <c r="I9" s="27">
        <f t="shared" si="5"/>
        <v>0.10200000000000001</v>
      </c>
      <c r="J9" s="27">
        <f t="shared" si="6"/>
        <v>1.7630000000000001</v>
      </c>
      <c r="K9" s="27">
        <f t="shared" si="7"/>
        <v>0.77300000000000002</v>
      </c>
      <c r="L9" s="30">
        <f t="shared" si="8"/>
        <v>6.1160000000000005</v>
      </c>
      <c r="N9" s="16">
        <v>33.021999999999998</v>
      </c>
      <c r="O9" s="16">
        <v>38.100000000000001</v>
      </c>
      <c r="P9" s="16">
        <v>24.66</v>
      </c>
      <c r="Q9" s="31">
        <v>11.23</v>
      </c>
      <c r="R9" s="16">
        <v>0.14449999999999999</v>
      </c>
      <c r="S9" s="16">
        <v>2.4929999999999999</v>
      </c>
      <c r="T9" s="16">
        <v>1.093</v>
      </c>
      <c r="U9" s="16">
        <v>8.6489999999999991</v>
      </c>
    </row>
    <row r="10" ht="14.25">
      <c r="B10" s="25">
        <f>ROUND(0.4*123.896,3)</f>
        <v>49.558</v>
      </c>
      <c r="C10" s="26">
        <f t="shared" ref="C10:C26" si="10">ROUND(DEGREES(ATAN((2*PI()*B10*0.023094-(1/(2*PI()*B10*71.454*10^(-6))))/(17+5))),3)</f>
        <v>-59.770000000000003</v>
      </c>
      <c r="D10" s="27">
        <f t="shared" ref="D10:D26" si="11">ROUND(6/SQRT((17+5)^2+(2*PI()*B10*0.023094-1/(2*PI()*B10*71.454*10^(-6)))^2),3)</f>
        <v>0.13700000000000001</v>
      </c>
      <c r="E10" s="27">
        <f t="shared" ref="E10:E26" si="12">D10*17</f>
        <v>2.3290000000000002</v>
      </c>
      <c r="F10" s="27">
        <f t="shared" ref="F10:F26" si="13">ROUND(D10*SQRT(25+(2*PI()*B10*0.023094)^2),3)</f>
        <v>1.2</v>
      </c>
      <c r="G10" s="28">
        <f t="shared" ref="G10:G26" si="14">ROUND(D10/(2*PI()*B10*71.454*10^(-6)),3)</f>
        <v>6.157</v>
      </c>
      <c r="H10" s="29">
        <f t="shared" ref="H10:H12" si="15">ROUND(-180*(O10-N10)/(Q10-P10),3)</f>
        <v>-59.566000000000003</v>
      </c>
      <c r="I10" s="27">
        <f t="shared" ref="I10:I26" si="16">ROUND(R10/SQRT(2),3)</f>
        <v>0.13700000000000001</v>
      </c>
      <c r="J10" s="27">
        <f t="shared" ref="J10:J26" si="17">ROUND(S10/SQRT(2),3)</f>
        <v>2.3370000000000002</v>
      </c>
      <c r="K10" s="27">
        <f t="shared" ref="K10:K26" si="18">ROUND(T10/SQRT(2),3)</f>
        <v>1.208</v>
      </c>
      <c r="L10" s="30">
        <f t="shared" ref="L10:L26" si="19">ROUND(U10/SQRT(2),3)</f>
        <v>6.1790000000000003</v>
      </c>
      <c r="N10" s="16">
        <v>25.222999999999999</v>
      </c>
      <c r="O10" s="16">
        <v>28.562000000000001</v>
      </c>
      <c r="P10" s="16">
        <v>8.4100000000000001</v>
      </c>
      <c r="Q10" s="31">
        <v>18.5</v>
      </c>
      <c r="R10" s="16">
        <v>0.19420000000000001</v>
      </c>
      <c r="S10" s="16">
        <v>3.3050000000000002</v>
      </c>
      <c r="T10" s="16">
        <v>1.7090000000000001</v>
      </c>
      <c r="U10" s="16">
        <v>8.7379999999999995</v>
      </c>
    </row>
    <row r="11" ht="14.25">
      <c r="B11" s="25">
        <f>ROUND(0.5*123.896,3)</f>
        <v>61.948</v>
      </c>
      <c r="C11" s="26">
        <f t="shared" si="10"/>
        <v>-50.792000000000002</v>
      </c>
      <c r="D11" s="27">
        <f t="shared" si="11"/>
        <v>0.17200000000000001</v>
      </c>
      <c r="E11" s="27">
        <f t="shared" si="12"/>
        <v>2.9240000000000004</v>
      </c>
      <c r="F11" s="27">
        <f t="shared" si="13"/>
        <v>1.7690000000000001</v>
      </c>
      <c r="G11" s="28">
        <f t="shared" si="14"/>
        <v>6.1840000000000002</v>
      </c>
      <c r="H11" s="29">
        <f t="shared" si="15"/>
        <v>-50.703000000000003</v>
      </c>
      <c r="I11" s="27">
        <f t="shared" si="16"/>
        <v>0.17300000000000001</v>
      </c>
      <c r="J11" s="27">
        <f t="shared" si="17"/>
        <v>2.948</v>
      </c>
      <c r="K11" s="27">
        <f t="shared" si="18"/>
        <v>1.7890000000000001</v>
      </c>
      <c r="L11" s="30">
        <f t="shared" si="19"/>
        <v>6.2039999999999997</v>
      </c>
      <c r="N11" s="16">
        <v>36.723999999999997</v>
      </c>
      <c r="O11" s="16">
        <v>39</v>
      </c>
      <c r="P11" s="16">
        <v>22.859999999999999</v>
      </c>
      <c r="Q11" s="31">
        <v>30.940000000000001</v>
      </c>
      <c r="R11" s="16">
        <v>0.24399999999999999</v>
      </c>
      <c r="S11" s="16">
        <v>4.1689999999999996</v>
      </c>
      <c r="T11" s="16">
        <v>2.5299999999999998</v>
      </c>
      <c r="U11" s="16">
        <v>8.7739999999999991</v>
      </c>
    </row>
    <row r="12" ht="14.25">
      <c r="B12" s="25">
        <f>ROUND(0.6*123.896,3)</f>
        <v>74.338000000000008</v>
      </c>
      <c r="C12" s="26">
        <f t="shared" si="10"/>
        <v>-41.076999999999998</v>
      </c>
      <c r="D12" s="27">
        <f t="shared" si="11"/>
        <v>0.20600000000000002</v>
      </c>
      <c r="E12" s="27">
        <f t="shared" si="12"/>
        <v>3.5020000000000002</v>
      </c>
      <c r="F12" s="27">
        <f t="shared" si="13"/>
        <v>2.4489999999999998</v>
      </c>
      <c r="G12" s="28">
        <f t="shared" si="14"/>
        <v>6.1719999999999997</v>
      </c>
      <c r="H12" s="29">
        <f t="shared" si="15"/>
        <v>-42.422000000000004</v>
      </c>
      <c r="I12" s="27">
        <f t="shared" si="16"/>
        <v>0.20600000000000002</v>
      </c>
      <c r="J12" s="27">
        <f t="shared" si="17"/>
        <v>3.4950000000000001</v>
      </c>
      <c r="K12" s="27">
        <f t="shared" si="18"/>
        <v>2.444</v>
      </c>
      <c r="L12" s="30">
        <f t="shared" si="19"/>
        <v>6.1600000000000001</v>
      </c>
      <c r="N12" s="16">
        <v>44.371000000000002</v>
      </c>
      <c r="O12" s="16">
        <v>45.959000000000003</v>
      </c>
      <c r="P12" s="16">
        <v>32.502000000000002</v>
      </c>
      <c r="Q12" s="31">
        <v>39.240000000000002</v>
      </c>
      <c r="R12" s="16">
        <v>0.29099999999999998</v>
      </c>
      <c r="S12" s="16">
        <v>4.9429999999999996</v>
      </c>
      <c r="T12" s="16">
        <v>3.4569999999999999</v>
      </c>
      <c r="U12" s="16">
        <v>8.7112999999999996</v>
      </c>
    </row>
    <row r="13" ht="14.25">
      <c r="B13" s="25">
        <f>ROUND(0.7*123.896,3)</f>
        <v>86.727000000000004</v>
      </c>
      <c r="C13" s="26">
        <f t="shared" si="10"/>
        <v>-30.768000000000001</v>
      </c>
      <c r="D13" s="27">
        <f t="shared" si="11"/>
        <v>0.23400000000000001</v>
      </c>
      <c r="E13" s="27">
        <f t="shared" si="12"/>
        <v>3.9780000000000002</v>
      </c>
      <c r="F13" s="27">
        <f t="shared" si="13"/>
        <v>3.169</v>
      </c>
      <c r="G13" s="28">
        <f t="shared" si="14"/>
        <v>6.0099999999999998</v>
      </c>
      <c r="H13" s="29">
        <v>-31</v>
      </c>
      <c r="I13" s="27">
        <f t="shared" si="16"/>
        <v>0.23400000000000001</v>
      </c>
      <c r="J13" s="27">
        <f t="shared" si="17"/>
        <v>3.9830000000000001</v>
      </c>
      <c r="K13" s="27">
        <f t="shared" si="18"/>
        <v>3.173</v>
      </c>
      <c r="L13" s="30">
        <f t="shared" si="19"/>
        <v>6.0179999999999998</v>
      </c>
      <c r="N13" s="16" t="s">
        <v>25</v>
      </c>
      <c r="O13" s="16"/>
      <c r="P13" s="16"/>
      <c r="Q13" s="31"/>
      <c r="R13" s="16">
        <v>0.33138000000000001</v>
      </c>
      <c r="S13" s="16">
        <v>5.633</v>
      </c>
      <c r="T13" s="16">
        <v>4.4880000000000004</v>
      </c>
      <c r="U13" s="16">
        <v>8.5109999999999992</v>
      </c>
    </row>
    <row r="14" ht="14.25">
      <c r="B14" s="25">
        <f>ROUND(0.8*123.896,3)</f>
        <v>99.117000000000004</v>
      </c>
      <c r="C14" s="26">
        <f t="shared" si="10"/>
        <v>-20.190000000000001</v>
      </c>
      <c r="D14" s="27">
        <f t="shared" si="11"/>
        <v>0.25600000000000001</v>
      </c>
      <c r="E14" s="27">
        <f t="shared" si="12"/>
        <v>4.3520000000000003</v>
      </c>
      <c r="F14" s="27">
        <f t="shared" si="13"/>
        <v>3.8980000000000001</v>
      </c>
      <c r="G14" s="28">
        <f t="shared" si="14"/>
        <v>5.7530000000000001</v>
      </c>
      <c r="H14" s="29">
        <v>-20</v>
      </c>
      <c r="I14" s="27">
        <f t="shared" si="16"/>
        <v>0.25600000000000001</v>
      </c>
      <c r="J14" s="27">
        <f t="shared" si="17"/>
        <v>4.351</v>
      </c>
      <c r="K14" s="27">
        <f t="shared" si="18"/>
        <v>3.8980000000000001</v>
      </c>
      <c r="L14" s="30">
        <f t="shared" si="19"/>
        <v>5.7519999999999998</v>
      </c>
      <c r="N14" s="16"/>
      <c r="O14" s="16"/>
      <c r="P14" s="16"/>
      <c r="Q14" s="31"/>
      <c r="R14" s="16">
        <v>0.36194399999999999</v>
      </c>
      <c r="S14" s="16">
        <v>6.1534000000000004</v>
      </c>
      <c r="T14" s="16">
        <v>5.5119999999999996</v>
      </c>
      <c r="U14" s="16">
        <v>8.1344999999999992</v>
      </c>
    </row>
    <row r="15" ht="14.25">
      <c r="B15" s="25">
        <f>ROUND(0.9*123.896,3)</f>
        <v>111.506</v>
      </c>
      <c r="C15" s="26">
        <v>-10</v>
      </c>
      <c r="D15" s="27">
        <f t="shared" si="11"/>
        <v>0.26900000000000002</v>
      </c>
      <c r="E15" s="27">
        <f t="shared" si="12"/>
        <v>4.5730000000000004</v>
      </c>
      <c r="F15" s="27">
        <f t="shared" si="13"/>
        <v>4.5549999999999997</v>
      </c>
      <c r="G15" s="28">
        <f t="shared" si="14"/>
        <v>5.3730000000000002</v>
      </c>
      <c r="H15" s="29">
        <v>-10</v>
      </c>
      <c r="I15" s="27">
        <f t="shared" si="16"/>
        <v>0.26900000000000002</v>
      </c>
      <c r="J15" s="27">
        <f t="shared" si="17"/>
        <v>4.5680000000000005</v>
      </c>
      <c r="K15" s="27">
        <f t="shared" si="18"/>
        <v>4.5510000000000002</v>
      </c>
      <c r="L15" s="30">
        <f t="shared" si="19"/>
        <v>5.3680000000000003</v>
      </c>
      <c r="N15" s="16"/>
      <c r="O15" s="16"/>
      <c r="P15" s="16"/>
      <c r="Q15" s="31"/>
      <c r="R15" s="16">
        <v>0.38</v>
      </c>
      <c r="S15" s="16">
        <v>6.46</v>
      </c>
      <c r="T15" s="16">
        <v>6.4359999999999999</v>
      </c>
      <c r="U15" s="16">
        <v>7.5919999999999996</v>
      </c>
    </row>
    <row r="16" ht="14.25">
      <c r="B16" s="32">
        <f>ROUND(123.896,3)</f>
        <v>123.896</v>
      </c>
      <c r="C16" s="33">
        <f t="shared" si="10"/>
        <v>0</v>
      </c>
      <c r="D16" s="34">
        <f t="shared" si="11"/>
        <v>0.27300000000000002</v>
      </c>
      <c r="E16" s="34">
        <f t="shared" si="12"/>
        <v>4.641</v>
      </c>
      <c r="F16" s="34">
        <f t="shared" si="13"/>
        <v>5.0940000000000003</v>
      </c>
      <c r="G16" s="35">
        <f t="shared" si="14"/>
        <v>4.9080000000000004</v>
      </c>
      <c r="H16" s="36">
        <v>0</v>
      </c>
      <c r="I16" s="37">
        <f t="shared" si="16"/>
        <v>0.27400000000000002</v>
      </c>
      <c r="J16" s="37">
        <f t="shared" si="17"/>
        <v>4.6450000000000005</v>
      </c>
      <c r="K16" s="37">
        <f t="shared" si="18"/>
        <v>5.0860000000000003</v>
      </c>
      <c r="L16" s="38">
        <f t="shared" si="19"/>
        <v>4.9080000000000004</v>
      </c>
      <c r="N16" s="16">
        <v>11.4267</v>
      </c>
      <c r="O16" s="16">
        <v>11.433999999999999</v>
      </c>
      <c r="P16" s="16">
        <v>3.3620000000000001</v>
      </c>
      <c r="Q16" s="31">
        <v>7.399</v>
      </c>
      <c r="R16" s="16">
        <v>0.38691999999999999</v>
      </c>
      <c r="S16" s="16">
        <f>6.5691</f>
        <v>6.5690999999999997</v>
      </c>
      <c r="T16" s="16">
        <v>7.1920000000000002</v>
      </c>
      <c r="U16" s="16">
        <v>6.9406999999999996</v>
      </c>
    </row>
    <row r="17" ht="14.25">
      <c r="B17" s="25">
        <f>ROUND(1.1*123.896,3)</f>
        <v>136.286</v>
      </c>
      <c r="C17" s="26">
        <v>9</v>
      </c>
      <c r="D17" s="27">
        <f t="shared" si="11"/>
        <v>0.26900000000000002</v>
      </c>
      <c r="E17" s="27">
        <f t="shared" si="12"/>
        <v>4.5730000000000004</v>
      </c>
      <c r="F17" s="27">
        <f t="shared" si="13"/>
        <v>5.4870000000000001</v>
      </c>
      <c r="G17" s="28">
        <f t="shared" si="14"/>
        <v>4.3959999999999999</v>
      </c>
      <c r="H17" s="29">
        <v>9</v>
      </c>
      <c r="I17" s="27">
        <f t="shared" si="16"/>
        <v>0.26900000000000002</v>
      </c>
      <c r="J17" s="27">
        <f t="shared" si="17"/>
        <v>4.601</v>
      </c>
      <c r="K17" s="27">
        <f t="shared" si="18"/>
        <v>5.4960000000000004</v>
      </c>
      <c r="L17" s="30">
        <f t="shared" si="19"/>
        <v>4.4039999999999999</v>
      </c>
      <c r="N17" s="16" t="s">
        <v>25</v>
      </c>
      <c r="O17" s="16"/>
      <c r="P17" s="16"/>
      <c r="Q17" s="31"/>
      <c r="R17" s="16">
        <v>0.38100000000000001</v>
      </c>
      <c r="S17" s="16">
        <v>6.5069999999999997</v>
      </c>
      <c r="T17" s="16">
        <v>7.7729999999999997</v>
      </c>
      <c r="U17" s="16">
        <v>6.2279999999999998</v>
      </c>
    </row>
    <row r="18" ht="14.25">
      <c r="B18" s="25">
        <f>ROUND(1.2*123.896,3)</f>
        <v>148.67500000000001</v>
      </c>
      <c r="C18" s="26">
        <f t="shared" si="10"/>
        <v>16.68</v>
      </c>
      <c r="D18" s="27">
        <f t="shared" si="11"/>
        <v>0.26100000000000001</v>
      </c>
      <c r="E18" s="27">
        <f t="shared" si="12"/>
        <v>4.4370000000000003</v>
      </c>
      <c r="F18" s="27">
        <f t="shared" si="13"/>
        <v>5.7800000000000002</v>
      </c>
      <c r="G18" s="28">
        <f t="shared" si="14"/>
        <v>3.9100000000000001</v>
      </c>
      <c r="H18" s="29">
        <v>17</v>
      </c>
      <c r="I18" s="27">
        <f t="shared" si="16"/>
        <v>0.26100000000000001</v>
      </c>
      <c r="J18" s="27">
        <f t="shared" si="17"/>
        <v>4.4409999999999998</v>
      </c>
      <c r="K18" s="27">
        <f t="shared" si="18"/>
        <v>5.7850000000000001</v>
      </c>
      <c r="L18" s="30">
        <f t="shared" si="19"/>
        <v>3.9140000000000001</v>
      </c>
      <c r="N18" s="16"/>
      <c r="O18" s="16"/>
      <c r="P18" s="16"/>
      <c r="Q18" s="31"/>
      <c r="R18" s="16">
        <v>0.36940000000000001</v>
      </c>
      <c r="S18" s="16">
        <v>6.2809999999999997</v>
      </c>
      <c r="T18" s="16">
        <v>8.1807999999999996</v>
      </c>
      <c r="U18" s="16">
        <v>5.5353000000000003</v>
      </c>
    </row>
    <row r="19" ht="14.25">
      <c r="B19" s="25">
        <f>ROUND(1.3*123.896,3)</f>
        <v>161.065</v>
      </c>
      <c r="C19" s="26">
        <f t="shared" si="10"/>
        <v>23.448</v>
      </c>
      <c r="D19" s="27">
        <f t="shared" si="11"/>
        <v>0.25</v>
      </c>
      <c r="E19" s="27">
        <f t="shared" si="12"/>
        <v>4.25</v>
      </c>
      <c r="F19" s="27">
        <f t="shared" si="13"/>
        <v>5.9750000000000005</v>
      </c>
      <c r="G19" s="28">
        <f t="shared" si="14"/>
        <v>3.4569999999999999</v>
      </c>
      <c r="H19" s="29">
        <v>23</v>
      </c>
      <c r="I19" s="27">
        <f t="shared" si="16"/>
        <v>0.25</v>
      </c>
      <c r="J19" s="27">
        <f t="shared" si="17"/>
        <v>4.2540000000000004</v>
      </c>
      <c r="K19" s="27">
        <f t="shared" si="18"/>
        <v>5.9790000000000001</v>
      </c>
      <c r="L19" s="30">
        <f t="shared" si="19"/>
        <v>3.4609999999999999</v>
      </c>
      <c r="N19" s="16"/>
      <c r="O19" s="16"/>
      <c r="P19" s="16"/>
      <c r="Q19" s="31"/>
      <c r="R19" s="16">
        <v>0.353821</v>
      </c>
      <c r="S19" s="16">
        <v>6.0153999999999996</v>
      </c>
      <c r="T19" s="16">
        <v>8.4559999999999995</v>
      </c>
      <c r="U19" s="16">
        <v>4.8940000000000001</v>
      </c>
    </row>
    <row r="20" ht="14.25">
      <c r="B20" s="25">
        <f>ROUND(1.4*123.896,3)</f>
        <v>173.45400000000001</v>
      </c>
      <c r="C20" s="26">
        <f t="shared" si="10"/>
        <v>29.263999999999999</v>
      </c>
      <c r="D20" s="27">
        <f t="shared" si="11"/>
        <v>0.23800000000000002</v>
      </c>
      <c r="E20" s="27">
        <f t="shared" si="12"/>
        <v>4.0460000000000003</v>
      </c>
      <c r="F20" s="27">
        <f t="shared" si="13"/>
        <v>6.1070000000000002</v>
      </c>
      <c r="G20" s="28">
        <f t="shared" si="14"/>
        <v>3.056</v>
      </c>
      <c r="H20" s="29">
        <v>29</v>
      </c>
      <c r="I20" s="27">
        <f t="shared" si="16"/>
        <v>0.23700000000000002</v>
      </c>
      <c r="J20" s="27">
        <f t="shared" si="17"/>
        <v>4.0449999999999999</v>
      </c>
      <c r="K20" s="27">
        <f t="shared" si="18"/>
        <v>6.1050000000000004</v>
      </c>
      <c r="L20" s="30">
        <f t="shared" si="19"/>
        <v>3.0550000000000002</v>
      </c>
      <c r="N20" s="16"/>
      <c r="O20" s="16"/>
      <c r="P20" s="16"/>
      <c r="Q20" s="31"/>
      <c r="R20" s="16">
        <v>0.33521800000000002</v>
      </c>
      <c r="S20" s="16">
        <v>5.7199999999999998</v>
      </c>
      <c r="T20" s="16">
        <v>8.6340000000000003</v>
      </c>
      <c r="U20" s="16">
        <v>4.3200000000000003</v>
      </c>
    </row>
    <row r="21" ht="14.25">
      <c r="B21" s="25">
        <f>ROUND(1.5*123.896,3)</f>
        <v>185.84399999999999</v>
      </c>
      <c r="C21" s="26">
        <f t="shared" si="10"/>
        <v>34.253999999999998</v>
      </c>
      <c r="D21" s="27">
        <f t="shared" si="11"/>
        <v>0.22500000000000001</v>
      </c>
      <c r="E21" s="27">
        <f t="shared" si="12"/>
        <v>3.8250000000000002</v>
      </c>
      <c r="F21" s="27">
        <f t="shared" si="13"/>
        <v>6.1710000000000003</v>
      </c>
      <c r="G21" s="28">
        <f t="shared" si="14"/>
        <v>2.6970000000000001</v>
      </c>
      <c r="H21" s="29">
        <v>35</v>
      </c>
      <c r="I21" s="27">
        <f t="shared" si="16"/>
        <v>0.22500000000000001</v>
      </c>
      <c r="J21" s="27">
        <f t="shared" si="17"/>
        <v>3.8320000000000003</v>
      </c>
      <c r="K21" s="27">
        <f t="shared" si="18"/>
        <v>6.1820000000000004</v>
      </c>
      <c r="L21" s="30">
        <f t="shared" si="19"/>
        <v>2.7010000000000001</v>
      </c>
      <c r="N21" s="16"/>
      <c r="O21" s="16"/>
      <c r="P21" s="16"/>
      <c r="Q21" s="31"/>
      <c r="R21" s="16">
        <v>0.31875500000000001</v>
      </c>
      <c r="S21" s="16">
        <v>5.4189999999999996</v>
      </c>
      <c r="T21" s="16">
        <v>8.7430000000000003</v>
      </c>
      <c r="U21" s="16">
        <v>3.8199999999999998</v>
      </c>
    </row>
    <row r="22" ht="14.25">
      <c r="B22" s="25">
        <f>ROUND(1.6*123.896,3)</f>
        <v>198.23400000000001</v>
      </c>
      <c r="C22" s="26">
        <f t="shared" si="10"/>
        <v>38.545999999999999</v>
      </c>
      <c r="D22" s="27">
        <f t="shared" si="11"/>
        <v>0.21299999999999999</v>
      </c>
      <c r="E22" s="27">
        <f t="shared" si="12"/>
        <v>3.621</v>
      </c>
      <c r="F22" s="27">
        <f t="shared" si="13"/>
        <v>6.2190000000000003</v>
      </c>
      <c r="G22" s="28">
        <f t="shared" si="14"/>
        <v>2.3930000000000002</v>
      </c>
      <c r="H22" s="29">
        <v>39</v>
      </c>
      <c r="I22" s="27">
        <f t="shared" si="16"/>
        <v>0.21299999999999999</v>
      </c>
      <c r="J22" s="27">
        <f t="shared" si="17"/>
        <v>3.6259999999999999</v>
      </c>
      <c r="K22" s="27">
        <f t="shared" si="18"/>
        <v>6.2270000000000003</v>
      </c>
      <c r="L22" s="30">
        <f t="shared" si="19"/>
        <v>2.3970000000000002</v>
      </c>
      <c r="N22" s="16"/>
      <c r="O22" s="16"/>
      <c r="P22" s="16"/>
      <c r="Q22" s="31"/>
      <c r="R22" s="16">
        <v>0.301647</v>
      </c>
      <c r="S22" s="16">
        <v>5.1280000000000001</v>
      </c>
      <c r="T22" s="16">
        <v>8.8064</v>
      </c>
      <c r="U22" s="16">
        <v>3.3893</v>
      </c>
    </row>
    <row r="23" ht="14.25">
      <c r="B23" s="25">
        <f>ROUND(1.7*123.896,3)</f>
        <v>210.62299999999999</v>
      </c>
      <c r="C23" s="26">
        <f t="shared" si="10"/>
        <v>42.255000000000003</v>
      </c>
      <c r="D23" s="27">
        <f t="shared" si="11"/>
        <v>0.20200000000000001</v>
      </c>
      <c r="E23" s="27">
        <f t="shared" si="12"/>
        <v>3.4340000000000002</v>
      </c>
      <c r="F23" s="27">
        <f t="shared" si="13"/>
        <v>6.2560000000000002</v>
      </c>
      <c r="G23" s="28">
        <f t="shared" si="14"/>
        <v>2.1360000000000001</v>
      </c>
      <c r="H23" s="29">
        <v>42</v>
      </c>
      <c r="I23" s="27">
        <f t="shared" si="16"/>
        <v>0.20200000000000001</v>
      </c>
      <c r="J23" s="27">
        <f t="shared" si="17"/>
        <v>3.4319999999999999</v>
      </c>
      <c r="K23" s="27">
        <f t="shared" si="18"/>
        <v>6.2510000000000003</v>
      </c>
      <c r="L23" s="30">
        <f t="shared" si="19"/>
        <v>2.1350000000000002</v>
      </c>
      <c r="N23" s="16"/>
      <c r="O23" s="16"/>
      <c r="P23" s="16"/>
      <c r="Q23" s="31"/>
      <c r="R23" s="16">
        <v>0.28544000000000003</v>
      </c>
      <c r="S23" s="16">
        <v>4.8529999999999998</v>
      </c>
      <c r="T23" s="16">
        <v>8.8399999999999999</v>
      </c>
      <c r="U23" s="16">
        <v>3.0186999999999999</v>
      </c>
    </row>
    <row r="24" ht="14.25">
      <c r="B24" s="25">
        <f>ROUND(1.8*123.896,3)</f>
        <v>223.01300000000001</v>
      </c>
      <c r="C24" s="26">
        <f t="shared" si="10"/>
        <v>45.481000000000002</v>
      </c>
      <c r="D24" s="27">
        <f t="shared" si="11"/>
        <v>0.191</v>
      </c>
      <c r="E24" s="27">
        <f t="shared" si="12"/>
        <v>3.2469999999999999</v>
      </c>
      <c r="F24" s="27">
        <f t="shared" si="13"/>
        <v>6.2540000000000004</v>
      </c>
      <c r="G24" s="28">
        <f t="shared" si="14"/>
        <v>1.9080000000000001</v>
      </c>
      <c r="H24" s="29">
        <v>45</v>
      </c>
      <c r="I24" s="27">
        <f t="shared" si="16"/>
        <v>0.191</v>
      </c>
      <c r="J24" s="27">
        <f t="shared" si="17"/>
        <v>3.2509999999999999</v>
      </c>
      <c r="K24" s="27">
        <f t="shared" si="18"/>
        <v>6.2610000000000001</v>
      </c>
      <c r="L24" s="30">
        <f t="shared" si="19"/>
        <v>1.9060000000000001</v>
      </c>
      <c r="N24" s="16"/>
      <c r="O24" s="16"/>
      <c r="P24" s="16"/>
      <c r="Q24" s="31"/>
      <c r="R24" s="16">
        <v>0.27039999999999997</v>
      </c>
      <c r="S24" s="16">
        <v>4.5970000000000004</v>
      </c>
      <c r="T24" s="16">
        <v>8.8539999999999992</v>
      </c>
      <c r="U24" s="16">
        <v>2.6953</v>
      </c>
    </row>
    <row r="25" ht="14.25">
      <c r="B25" s="25">
        <f>ROUND(1.9*123.896,3)</f>
        <v>235.40200000000002</v>
      </c>
      <c r="C25" s="26">
        <f t="shared" si="10"/>
        <v>48.304000000000002</v>
      </c>
      <c r="D25" s="27">
        <f t="shared" si="11"/>
        <v>0.18099999999999999</v>
      </c>
      <c r="E25" s="27">
        <f t="shared" si="12"/>
        <v>3.077</v>
      </c>
      <c r="F25" s="27">
        <f t="shared" si="13"/>
        <v>6.2480000000000002</v>
      </c>
      <c r="G25" s="28">
        <f t="shared" si="14"/>
        <v>1.7130000000000001</v>
      </c>
      <c r="H25" s="29">
        <v>49</v>
      </c>
      <c r="I25" s="27">
        <f t="shared" si="16"/>
        <v>0.18099999999999999</v>
      </c>
      <c r="J25" s="27">
        <f t="shared" si="17"/>
        <v>3.0840000000000001</v>
      </c>
      <c r="K25" s="27">
        <f t="shared" si="18"/>
        <v>6.2620000000000005</v>
      </c>
      <c r="L25" s="30">
        <f t="shared" si="19"/>
        <v>1.716</v>
      </c>
      <c r="N25" s="16"/>
      <c r="O25" s="16"/>
      <c r="P25" s="16"/>
      <c r="Q25" s="31"/>
      <c r="R25" s="16">
        <v>0.256523</v>
      </c>
      <c r="S25" s="16">
        <v>4.3613</v>
      </c>
      <c r="T25" s="16">
        <v>8.8559999999999999</v>
      </c>
      <c r="U25" s="16">
        <v>2.4272999999999998</v>
      </c>
    </row>
    <row r="26" ht="14.25">
      <c r="B26" s="39">
        <f>ROUND(2*123.896,3)</f>
        <v>247.792</v>
      </c>
      <c r="C26" s="40">
        <f t="shared" si="10"/>
        <v>50.792000000000002</v>
      </c>
      <c r="D26" s="41">
        <f t="shared" si="11"/>
        <v>0.17200000000000001</v>
      </c>
      <c r="E26" s="42">
        <f t="shared" si="12"/>
        <v>2.9240000000000004</v>
      </c>
      <c r="F26" s="42">
        <f t="shared" si="13"/>
        <v>6.2439999999999998</v>
      </c>
      <c r="G26" s="43">
        <f t="shared" si="14"/>
        <v>1.546</v>
      </c>
      <c r="H26" s="44">
        <v>51</v>
      </c>
      <c r="I26" s="45">
        <f t="shared" si="16"/>
        <v>0.17200000000000001</v>
      </c>
      <c r="J26" s="45">
        <f t="shared" si="17"/>
        <v>2.931</v>
      </c>
      <c r="K26" s="45">
        <f t="shared" si="18"/>
        <v>6.258</v>
      </c>
      <c r="L26" s="46">
        <f t="shared" si="19"/>
        <v>1.55</v>
      </c>
      <c r="N26" s="16"/>
      <c r="O26" s="16"/>
      <c r="P26" s="16"/>
      <c r="Q26" s="31"/>
      <c r="R26" s="16">
        <v>0.243785</v>
      </c>
      <c r="S26" s="16">
        <v>4.1444999999999999</v>
      </c>
      <c r="T26" s="16">
        <v>8.8499999999999996</v>
      </c>
      <c r="U26" s="16">
        <v>2.1913999999999998</v>
      </c>
    </row>
    <row r="28" ht="14.25">
      <c r="B28" s="47" t="s">
        <v>26</v>
      </c>
      <c r="D28" s="4" t="s">
        <v>27</v>
      </c>
      <c r="E28" s="4"/>
      <c r="F28" s="4" t="s">
        <v>28</v>
      </c>
      <c r="G28" s="4"/>
      <c r="I28" s="4" t="s">
        <v>29</v>
      </c>
      <c r="J28" s="4"/>
      <c r="K28" s="4" t="s">
        <v>30</v>
      </c>
      <c r="L28" s="4"/>
    </row>
    <row r="29" ht="14.25">
      <c r="B29" s="48">
        <f>6</f>
        <v>6</v>
      </c>
      <c r="D29" s="4">
        <f>71.454*10^(-6)</f>
        <v>7.1453999999999984e-05</v>
      </c>
      <c r="E29" s="4"/>
      <c r="F29" s="4">
        <f>23.094*10^(-3)</f>
        <v>0.023094</v>
      </c>
      <c r="G29" s="4"/>
      <c r="I29" s="4">
        <v>17</v>
      </c>
      <c r="J29" s="4"/>
      <c r="K29" s="4">
        <v>5</v>
      </c>
      <c r="L29" s="4"/>
    </row>
  </sheetData>
  <mergeCells count="17">
    <mergeCell ref="B2:B5"/>
    <mergeCell ref="C2:L2"/>
    <mergeCell ref="C3:G3"/>
    <mergeCell ref="H3:L3"/>
    <mergeCell ref="C4:G4"/>
    <mergeCell ref="H4:L4"/>
    <mergeCell ref="E6:G6"/>
    <mergeCell ref="J6:L6"/>
    <mergeCell ref="N13:Q15"/>
    <mergeCell ref="N17:Q26"/>
    <mergeCell ref="D28:E28"/>
    <mergeCell ref="F28:G29"/>
    <mergeCell ref="I28:J28"/>
    <mergeCell ref="K28:L28"/>
    <mergeCell ref="D29:E29"/>
    <mergeCell ref="I29:J29"/>
    <mergeCell ref="K29:L29"/>
  </mergeCells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topLeftCell="D1" zoomScale="100" workbookViewId="0">
      <selection activeCell="A1" activeCellId="0" sqref="A1"/>
    </sheetView>
  </sheetViews>
  <sheetFormatPr defaultRowHeight="14.25"/>
  <cols>
    <col customWidth="1" min="8" max="8" width="4.140625"/>
    <col customWidth="1" min="9" max="9" width="10.8515625"/>
    <col customWidth="1" min="10" max="10" width="6.8515625"/>
    <col customWidth="1" min="12" max="12" width="6.8515625"/>
    <col customWidth="1" min="16" max="16" width="8.57421875"/>
  </cols>
  <sheetData>
    <row r="2" ht="14.25">
      <c r="K2" s="49" t="s">
        <v>0</v>
      </c>
      <c r="L2" s="50" t="s">
        <v>31</v>
      </c>
      <c r="M2" s="51"/>
      <c r="N2" s="51"/>
      <c r="O2" s="51"/>
      <c r="P2" s="51"/>
      <c r="Q2" s="51"/>
      <c r="R2" s="51"/>
      <c r="S2" s="52"/>
    </row>
    <row r="3" ht="14.25">
      <c r="K3" s="53"/>
      <c r="L3" s="54" t="s">
        <v>2</v>
      </c>
      <c r="M3" s="55"/>
      <c r="N3" s="55"/>
      <c r="O3" s="56"/>
      <c r="P3" s="57" t="s">
        <v>3</v>
      </c>
      <c r="Q3" s="58"/>
      <c r="R3" s="58"/>
      <c r="S3" s="59"/>
    </row>
    <row r="4" ht="15">
      <c r="K4" s="60"/>
      <c r="L4" s="7" t="s">
        <v>8</v>
      </c>
      <c r="M4" s="1" t="s">
        <v>9</v>
      </c>
      <c r="N4" s="1" t="s">
        <v>32</v>
      </c>
      <c r="O4" s="1" t="s">
        <v>33</v>
      </c>
      <c r="P4" s="7" t="s">
        <v>8</v>
      </c>
      <c r="Q4" s="1" t="s">
        <v>9</v>
      </c>
      <c r="R4" s="1" t="s">
        <v>32</v>
      </c>
      <c r="S4" s="1" t="s">
        <v>33</v>
      </c>
    </row>
    <row r="5" ht="14.25">
      <c r="B5" s="16" t="s">
        <v>34</v>
      </c>
      <c r="C5" s="61" t="s">
        <v>35</v>
      </c>
      <c r="D5" s="61" t="s">
        <v>36</v>
      </c>
      <c r="E5" s="61" t="s">
        <v>37</v>
      </c>
      <c r="F5" s="61" t="s">
        <v>38</v>
      </c>
      <c r="G5" s="16" t="s">
        <v>39</v>
      </c>
      <c r="H5" s="16" t="s">
        <v>40</v>
      </c>
      <c r="I5" s="16" t="s">
        <v>41</v>
      </c>
      <c r="K5" s="1" t="s">
        <v>13</v>
      </c>
      <c r="L5" s="8" t="s">
        <v>14</v>
      </c>
      <c r="M5" s="62" t="s">
        <v>15</v>
      </c>
      <c r="N5" s="63"/>
      <c r="O5" s="64"/>
      <c r="P5" s="8" t="s">
        <v>14</v>
      </c>
      <c r="Q5" s="62" t="s">
        <v>15</v>
      </c>
      <c r="R5" s="63"/>
      <c r="S5" s="64"/>
    </row>
    <row r="6" ht="15">
      <c r="B6" s="65">
        <f>1/(2*PI()*K6*71.454*10^(-6))</f>
        <v>60.888883774060908</v>
      </c>
      <c r="C6" s="16">
        <f>2*PI()*K6*23.094*10^(-3)</f>
        <v>5.3080450885664012</v>
      </c>
      <c r="D6" s="16">
        <f>17/(17^2+B6^2)</f>
        <v>0.0042537686611719286</v>
      </c>
      <c r="E6" s="16">
        <f>5/(5^2+C6^2)</f>
        <v>0.09402854311175339</v>
      </c>
      <c r="F6" s="16">
        <f>B6/(17^2+B6^2)</f>
        <v>0.015235719153637662</v>
      </c>
      <c r="G6" s="16">
        <f>C6/(5^2+C6^2)</f>
        <v>0.099821549289879338</v>
      </c>
      <c r="H6" s="16">
        <f>E6+D6</f>
        <v>0.098282311772925318</v>
      </c>
      <c r="I6" s="16">
        <f>G6-F6</f>
        <v>0.084585830136241671</v>
      </c>
      <c r="K6" s="17">
        <v>36.581000000000003</v>
      </c>
      <c r="L6" s="66">
        <f>DEGREES(ATAN(I6/H6))</f>
        <v>40.716650859719955</v>
      </c>
      <c r="M6" s="67">
        <f>6*SQRT(H6^2+I6^2)</f>
        <v>0.7780169129406086</v>
      </c>
      <c r="N6" s="68">
        <f>6/SQRT(5^2+C6^2)</f>
        <v>0.82280344579044173</v>
      </c>
      <c r="O6" s="69">
        <f>6/SQRT(17^2+B6^2)</f>
        <v>0.094910382436519752</v>
      </c>
      <c r="P6" s="70">
        <v>40.982999999999997</v>
      </c>
      <c r="Q6" s="71">
        <v>0.77781699999999998</v>
      </c>
      <c r="R6" s="71">
        <v>0.82268300000000005</v>
      </c>
      <c r="S6" s="72">
        <v>0.094908999999999993</v>
      </c>
      <c r="Y6">
        <v>1.1000000000000001</v>
      </c>
      <c r="Z6">
        <v>1.1634500000000001</v>
      </c>
      <c r="AA6">
        <v>0.13422200000000001</v>
      </c>
    </row>
    <row r="7" ht="15">
      <c r="B7" s="16">
        <f>1/(2*PI()*K7*71.454*10^(-6))</f>
        <v>30.444858016414788</v>
      </c>
      <c r="C7" s="16">
        <f>2*PI()*K7*23.094*10^(-3)</f>
        <v>10.615945073251318</v>
      </c>
      <c r="D7" s="16">
        <f>17/(17^2+B7^2)</f>
        <v>0.013981535067802109</v>
      </c>
      <c r="E7" s="16">
        <f>5/(5^2+C7^2)</f>
        <v>0.036311271602024874</v>
      </c>
      <c r="F7" s="16">
        <f>B7/(17^2+B7^2)</f>
        <v>0.025039167646515266</v>
      </c>
      <c r="G7" s="16">
        <f>C7/(5^2+C7^2)</f>
        <v>0.077095692973401284</v>
      </c>
      <c r="H7" s="16">
        <f>E7+D7</f>
        <v>0.050292806669826981</v>
      </c>
      <c r="I7" s="16">
        <f>G7-F7</f>
        <v>0.052056525326886018</v>
      </c>
      <c r="K7" s="25">
        <v>73.161000000000001</v>
      </c>
      <c r="L7" s="73">
        <f>DEGREES(ATAN(I7/H7))</f>
        <v>45.98724273389638</v>
      </c>
      <c r="M7" s="74">
        <f>6*SQRT(H7^2+I7^2)</f>
        <v>0.43429590873751445</v>
      </c>
      <c r="N7" s="75">
        <f>6/SQRT(5^2+C7^2)</f>
        <v>0.51131316776959601</v>
      </c>
      <c r="O7" s="76">
        <f>6/SQRT(17^2+B7^2)</f>
        <v>0.17206962722737901</v>
      </c>
      <c r="P7" s="77">
        <v>46.186</v>
      </c>
      <c r="Q7" s="78">
        <v>0.43345600000000001</v>
      </c>
      <c r="R7" s="78">
        <v>0.51330299999999995</v>
      </c>
      <c r="S7" s="79">
        <v>0.172399</v>
      </c>
    </row>
    <row r="8" ht="15">
      <c r="B8" s="16">
        <f>1/(2*PI()*K8*71.454*10^(-6))</f>
        <v>20.296479536904034</v>
      </c>
      <c r="C8" s="16">
        <f>2*PI()*K8*23.094*10^(-3)</f>
        <v>15.92399016181772</v>
      </c>
      <c r="D8" s="16">
        <f>17/(17^2+B8^2)</f>
        <v>0.024252900748784417</v>
      </c>
      <c r="E8" s="16">
        <f>5/(5^2+C8^2)</f>
        <v>0.017948586889833099</v>
      </c>
      <c r="F8" s="16">
        <f>B8/(17^2+B8^2)</f>
        <v>0.028955794338721613</v>
      </c>
      <c r="G8" s="16">
        <f>C8/(5^2+C8^2)</f>
        <v>0.057162624210446558</v>
      </c>
      <c r="H8" s="16">
        <f>E8+D8</f>
        <v>0.042201487638617516</v>
      </c>
      <c r="I8" s="16">
        <f>G8-F8</f>
        <v>0.028206829871724945</v>
      </c>
      <c r="K8" s="25">
        <v>109.742</v>
      </c>
      <c r="L8" s="73">
        <f>DEGREES(ATAN(I8/H8))</f>
        <v>33.758162682342622</v>
      </c>
      <c r="M8" s="74">
        <f>6*SQRT(H8^2+I8^2)</f>
        <v>0.30456078075105725</v>
      </c>
      <c r="N8" s="75">
        <f>6/SQRT(5^2+C8^2)</f>
        <v>0.35948550124698819</v>
      </c>
      <c r="O8" s="76">
        <f>6/SQRT(17^2+B8^2)</f>
        <v>0.22662542650506429</v>
      </c>
      <c r="P8" s="77">
        <v>34.128</v>
      </c>
      <c r="Q8" s="78">
        <v>0.30530099999999999</v>
      </c>
      <c r="R8" s="78">
        <v>0.357765</v>
      </c>
      <c r="S8" s="79">
        <v>0.226219</v>
      </c>
    </row>
    <row r="9" ht="15">
      <c r="B9" s="16">
        <f>1/(2*PI()*K9*71.454*10^(-6))</f>
        <v>15.222429008207394</v>
      </c>
      <c r="C9" s="16">
        <f>2*PI()*K9*23.094*10^(-3)</f>
        <v>21.231890146502636</v>
      </c>
      <c r="D9" s="16">
        <f>17/(17^2+B9^2)</f>
        <v>0.032646956993829475</v>
      </c>
      <c r="E9" s="16">
        <f>5/(5^2+C9^2)</f>
        <v>0.010508768155639185</v>
      </c>
      <c r="F9" s="16">
        <f>B9/(17^2+B9^2)</f>
        <v>0.029233293245445238</v>
      </c>
      <c r="G9" s="16">
        <f>C9/(5^2+C9^2)</f>
        <v>0.044624202211119256</v>
      </c>
      <c r="H9" s="16">
        <f>E9+D9</f>
        <v>0.043155725149468659</v>
      </c>
      <c r="I9" s="16">
        <f>G9-F9</f>
        <v>0.015390908965674018</v>
      </c>
      <c r="K9" s="25">
        <v>146.322</v>
      </c>
      <c r="L9" s="73">
        <f>DEGREES(ATAN(I9/H9))</f>
        <v>19.628092303508957</v>
      </c>
      <c r="M9" s="74">
        <f>6*SQRT(H9^2+I9^2)</f>
        <v>0.27490849552311269</v>
      </c>
      <c r="N9" s="75">
        <f>6/SQRT(5^2+C9^2)</f>
        <v>0.27506931984611105</v>
      </c>
      <c r="O9" s="76">
        <f>6/SQRT(17^2+B9^2)</f>
        <v>0.2629348445100444</v>
      </c>
      <c r="P9" s="77">
        <v>19.806999999999999</v>
      </c>
      <c r="Q9" s="78">
        <v>0.273785</v>
      </c>
      <c r="R9" s="78">
        <v>0.276007</v>
      </c>
      <c r="S9" s="79">
        <v>0.263266</v>
      </c>
    </row>
    <row r="10" ht="15">
      <c r="B10" s="16">
        <f>1/(2*PI()*K10*71.454*10^(-6))</f>
        <v>12.177909915851149</v>
      </c>
      <c r="C10" s="16">
        <f>2*PI()*K10*23.094*10^(-3)</f>
        <v>26.539935235069031</v>
      </c>
      <c r="D10" s="16">
        <f>17/(17^2+B10^2)</f>
        <v>0.038874781796798728</v>
      </c>
      <c r="E10" s="16">
        <f>5/(5^2+C10^2)</f>
        <v>0.006855248499411686</v>
      </c>
      <c r="F10" s="16">
        <f>B10/(17^2+B10^2)</f>
        <v>0.027847858277634412</v>
      </c>
      <c r="G10" s="16">
        <f>C10/(5^2+C10^2)</f>
        <v>0.036387570238938065</v>
      </c>
      <c r="H10" s="16">
        <f>E10+D10</f>
        <v>0.045730030296210415</v>
      </c>
      <c r="I10" s="16">
        <f>G10-F10</f>
        <v>0.0085397119613036532</v>
      </c>
      <c r="K10" s="25">
        <v>182.90299999999999</v>
      </c>
      <c r="L10" s="73">
        <f>DEGREES(ATAN(I10/H10))</f>
        <v>10.577687824773866</v>
      </c>
      <c r="M10" s="74">
        <f>6*SQRT(H10^2+I10^2)</f>
        <v>0.279123350234044</v>
      </c>
      <c r="N10" s="75">
        <f>6/SQRT(5^2+C10^2)</f>
        <v>0.22216612972225119</v>
      </c>
      <c r="O10" s="76">
        <f>6/SQRT(17^2+B10^2)</f>
        <v>0.28691996677540121</v>
      </c>
      <c r="P10" s="77">
        <v>10.933999999999999</v>
      </c>
      <c r="Q10" s="78">
        <v>0.27958100000000002</v>
      </c>
      <c r="R10" s="78">
        <v>0.22093599999999999</v>
      </c>
      <c r="S10" s="79">
        <v>0.28834900000000002</v>
      </c>
    </row>
    <row r="11" ht="15">
      <c r="B11" s="16">
        <f>1/(2*PI()*K11*71.454*10^(-6))</f>
        <v>10.148239768452017</v>
      </c>
      <c r="C11" s="16">
        <f>2*PI()*K11*23.094*10^(-3)</f>
        <v>31.84798032363544</v>
      </c>
      <c r="D11" s="16">
        <f>17/(17^2+B11^2)</f>
        <v>0.043368810592101362</v>
      </c>
      <c r="E11" s="16">
        <f>5/(5^2+C11^2)</f>
        <v>0.0048109588993122303</v>
      </c>
      <c r="F11" s="16">
        <f>B11/(17^2+B11^2)</f>
        <v>0.025889240491836833</v>
      </c>
      <c r="G11" s="16">
        <f>C11/(5^2+C11^2)</f>
        <v>0.030643864872622942</v>
      </c>
      <c r="H11" s="16">
        <f>E11+D11</f>
        <v>0.048179769491413595</v>
      </c>
      <c r="I11" s="16">
        <f>G11-F11</f>
        <v>0.0047546243807861099</v>
      </c>
      <c r="K11" s="25">
        <v>219.48400000000001</v>
      </c>
      <c r="L11" s="73">
        <f>DEGREES(ATAN(I11/H11))</f>
        <v>5.6359900045415108</v>
      </c>
      <c r="M11" s="74">
        <f>6*SQRT(H11^2+I11^2)</f>
        <v>0.29048283784921292</v>
      </c>
      <c r="N11" s="75">
        <f>6/SQRT(5^2+C11^2)</f>
        <v>0.18611529779963831</v>
      </c>
      <c r="O11" s="76">
        <f>6/SQRT(17^2+B11^2)</f>
        <v>0.3030508772385227</v>
      </c>
      <c r="P11" s="77">
        <v>5.7110000000000003</v>
      </c>
      <c r="Q11" s="78">
        <v>0.290964</v>
      </c>
      <c r="R11" s="78">
        <v>0.18546499999999999</v>
      </c>
      <c r="S11" s="79">
        <v>0.30203600000000003</v>
      </c>
    </row>
    <row r="12" ht="15">
      <c r="B12" s="16">
        <f>1/(2*PI()*K12*71.454*10^(-6))</f>
        <v>8.6985138767609751</v>
      </c>
      <c r="C12" s="16">
        <f>2*PI()*K12*23.094*10^(-3)</f>
        <v>37.155880308320356</v>
      </c>
      <c r="D12" s="16">
        <f>17/(17^2+B12^2)</f>
        <v>0.04661823844039422</v>
      </c>
      <c r="E12" s="16">
        <f>5/(5^2+C12^2)</f>
        <v>0.0035573024181126314</v>
      </c>
      <c r="F12" s="16">
        <f>B12/(17^2+B12^2)</f>
        <v>0.023853493763760059</v>
      </c>
      <c r="G12" s="16">
        <f>C12/(5^2+C12^2)</f>
        <v>0.0264349405735783</v>
      </c>
      <c r="H12" s="16">
        <f>E12+D12</f>
        <v>0.050175540858506854</v>
      </c>
      <c r="I12" s="16">
        <f>G12-F12</f>
        <v>0.0025814468098182414</v>
      </c>
      <c r="K12" s="25">
        <v>256.06400000000002</v>
      </c>
      <c r="L12" s="73">
        <f>DEGREES(ATAN(I12/H12))</f>
        <v>2.9451743357433435</v>
      </c>
      <c r="M12" s="74">
        <f>6*SQRT(H12^2+I12^2)</f>
        <v>0.30145141507500345</v>
      </c>
      <c r="N12" s="75">
        <f>6/SQRT(5^2+C12^2)</f>
        <v>0.16003929958110585</v>
      </c>
      <c r="O12" s="76">
        <f>6/SQRT(17^2+B12^2)</f>
        <v>0.31419894258389031</v>
      </c>
      <c r="P12" s="77">
        <v>2.8959999999999999</v>
      </c>
      <c r="Q12" s="78">
        <v>0.30004700000000001</v>
      </c>
      <c r="R12" s="78">
        <v>0.159687</v>
      </c>
      <c r="S12" s="79">
        <v>0.31407800000000002</v>
      </c>
    </row>
    <row r="13" ht="15">
      <c r="B13" s="16">
        <f>1/(2*PI()*K13*71.454*10^(-6))</f>
        <v>7.61118849575056</v>
      </c>
      <c r="C13" s="16">
        <f>2*PI()*K13*23.094*10^(-3)</f>
        <v>42.463925396886751</v>
      </c>
      <c r="D13" s="16">
        <f>17/(17^2+B13^2)</f>
        <v>0.049001212562173317</v>
      </c>
      <c r="E13" s="16">
        <f>5/(5^2+C13^2)</f>
        <v>0.0027349530321552863</v>
      </c>
      <c r="F13" s="16">
        <f>B13/(17^2+B13^2)</f>
        <v>0.021938674431237728</v>
      </c>
      <c r="G13" s="16">
        <f>C13/(5^2+C13^2)</f>
        <v>0.023227368304286258</v>
      </c>
      <c r="H13" s="16">
        <f>E13+D13</f>
        <v>0.051736165594328601</v>
      </c>
      <c r="I13" s="16">
        <f>G13-F13</f>
        <v>0.0012886938730485298</v>
      </c>
      <c r="K13" s="25">
        <v>292.64499999999998</v>
      </c>
      <c r="L13" s="73">
        <f>DEGREES(ATAN(I13/H13))</f>
        <v>1.4268829943275689</v>
      </c>
      <c r="M13" s="74">
        <f>6*SQRT(H13^2+I13^2)</f>
        <v>0.31051327869010703</v>
      </c>
      <c r="N13" s="75">
        <f>6/SQRT(5^2+C13^2)</f>
        <v>0.14032698183712947</v>
      </c>
      <c r="O13" s="76">
        <f>6/SQRT(17^2+B13^2)</f>
        <v>0.32212928097438281</v>
      </c>
      <c r="P13" s="77">
        <v>1.4610000000000001</v>
      </c>
      <c r="Q13" s="78">
        <v>0.31078800000000001</v>
      </c>
      <c r="R13" s="78">
        <v>0.139708</v>
      </c>
      <c r="S13" s="79">
        <v>0.32235999999999998</v>
      </c>
    </row>
    <row r="14" ht="15">
      <c r="B14" s="16">
        <f>1/(2*PI()*K14*71.454*10^(-6))</f>
        <v>6.765513728723282</v>
      </c>
      <c r="C14" s="16">
        <f>2*PI()*K14*23.094*10^(-3)</f>
        <v>47.771825381571666</v>
      </c>
      <c r="D14" s="16">
        <f>17/(17^2+B14^2)</f>
        <v>0.05078080323889362</v>
      </c>
      <c r="E14" s="16">
        <f>5/(5^2+C14^2)</f>
        <v>0.0021671784889405227</v>
      </c>
      <c r="F14" s="16">
        <f>B14/(17^2+B14^2)</f>
        <v>0.02020930714519591</v>
      </c>
      <c r="G14" s="16">
        <f>C14/(5^2+C14^2)</f>
        <v>0.020706014468873001</v>
      </c>
      <c r="H14" s="16">
        <f>E14+D14</f>
        <v>0.052947981727834145</v>
      </c>
      <c r="I14" s="16">
        <f>G14-F14</f>
        <v>0.00049670732367709108</v>
      </c>
      <c r="K14" s="25">
        <v>329.22500000000002</v>
      </c>
      <c r="L14" s="73">
        <f>DEGREES(ATAN(I14/H14))</f>
        <v>0.53747843776896664</v>
      </c>
      <c r="M14" s="74">
        <f>6*SQRT(H14^2+I14^2)</f>
        <v>0.31770186895860764</v>
      </c>
      <c r="N14" s="75">
        <f>6/SQRT(5^2+C14^2)</f>
        <v>0.12491471138489559</v>
      </c>
      <c r="O14" s="76">
        <f>6/SQRT(17^2+B14^2)</f>
        <v>0.3279265445546295</v>
      </c>
      <c r="P14" s="77">
        <v>0.53400000000000003</v>
      </c>
      <c r="Q14" s="78">
        <v>0.31685400000000002</v>
      </c>
      <c r="R14" s="78">
        <v>0.12474</v>
      </c>
      <c r="S14" s="79">
        <v>0.32756200000000002</v>
      </c>
    </row>
    <row r="15" ht="15">
      <c r="B15" s="16">
        <f>1/(2*PI()*K15*71.454*10^(-6))</f>
        <v>6.0889549579255746</v>
      </c>
      <c r="C15" s="16">
        <f>2*PI()*K15*23.094*10^(-3)</f>
        <v>53.079870470138061</v>
      </c>
      <c r="D15" s="16">
        <f>17/(17^2+B15^2)</f>
        <v>0.052135185404292184</v>
      </c>
      <c r="E15" s="16">
        <f>5/(5^2+C15^2)</f>
        <v>0.0017590318772412032</v>
      </c>
      <c r="F15" s="16">
        <f>B15/(17^2+B15^2)</f>
        <v>0.018673458567637292</v>
      </c>
      <c r="G15" s="16">
        <f>C15/(5^2+C15^2)</f>
        <v>0.018673836839361371</v>
      </c>
      <c r="H15" s="16">
        <f>E15+D15</f>
        <v>0.053894217281533388</v>
      </c>
      <c r="I15" s="16">
        <f>G15-F15</f>
        <v>3.7827172407953191e-07</v>
      </c>
      <c r="K15" s="80">
        <v>365.80599999999998</v>
      </c>
      <c r="L15" s="81">
        <f>DEGREES(ATAN(I15/H15))</f>
        <v>0.00040214654543215266</v>
      </c>
      <c r="M15" s="82">
        <f>6*SQRT(H15^2+I15^2)</f>
        <v>0.32336530369716532</v>
      </c>
      <c r="N15" s="83">
        <f>6/SQRT(5^2+C15^2)</f>
        <v>0.11253901330710459</v>
      </c>
      <c r="O15" s="84">
        <f>6/SQRT(17^2+B15^2)</f>
        <v>0.33227085642983906</v>
      </c>
      <c r="P15" s="85">
        <v>-0.021000000000000001</v>
      </c>
      <c r="Q15" s="86">
        <v>0.32300000000000001</v>
      </c>
      <c r="R15" s="86">
        <v>0.11233</v>
      </c>
      <c r="S15" s="87">
        <v>0.332146</v>
      </c>
      <c r="Z15">
        <v>0.158858</v>
      </c>
      <c r="AA15">
        <v>0.469725</v>
      </c>
    </row>
    <row r="16" ht="15">
      <c r="B16" s="16">
        <f>1/(2*PI()*K16*71.454*10^(-6))</f>
        <v>5.5354080955371883</v>
      </c>
      <c r="C16" s="16">
        <f>2*PI()*K16*23.094*10^(-3)</f>
        <v>58.387915558704471</v>
      </c>
      <c r="D16" s="16">
        <f>17/(17^2+B16^2)</f>
        <v>0.053184709345643476</v>
      </c>
      <c r="E16" s="16">
        <f>5/(5^2+C16^2)</f>
        <v>0.0014559649162334135</v>
      </c>
      <c r="F16" s="16">
        <f>B16/(17^2+B16^2)</f>
        <v>0.017317592392392191</v>
      </c>
      <c r="G16" s="16">
        <f>C16/(5^2+C16^2)</f>
        <v>0.017002151317094556</v>
      </c>
      <c r="H16" s="16">
        <f>E16+D16</f>
        <v>0.054640674261876888</v>
      </c>
      <c r="I16" s="16">
        <f>G16-F16</f>
        <v>-0.00031544107529763582</v>
      </c>
      <c r="K16" s="25">
        <v>402.387</v>
      </c>
      <c r="L16" s="73">
        <f>DEGREES(ATAN(I16/H16))</f>
        <v>-0.33076534589180584</v>
      </c>
      <c r="M16" s="74">
        <f>6*SQRT(H16^2+I16^2)</f>
        <v>0.32784950865774182</v>
      </c>
      <c r="N16" s="75">
        <f>6/SQRT(5^2+C16^2)</f>
        <v>0.1023862656652765</v>
      </c>
      <c r="O16" s="76">
        <f>6/SQRT(17^2+B16^2)</f>
        <v>0.33559863426448294</v>
      </c>
      <c r="P16" s="77">
        <v>-0.309</v>
      </c>
      <c r="Q16" s="78">
        <v>0.32785599999999998</v>
      </c>
      <c r="R16" s="78">
        <v>0.10229100000000001</v>
      </c>
      <c r="S16" s="79">
        <v>0.33499099999999998</v>
      </c>
    </row>
    <row r="17" ht="15">
      <c r="B17" s="16">
        <f>1/(2*PI()*K17*71.454*10^(-6))</f>
        <v>5.0741314434545703</v>
      </c>
      <c r="C17" s="16">
        <f>2*PI()*K17*23.094*10^(-3)</f>
        <v>63.695815543389386</v>
      </c>
      <c r="D17" s="16">
        <f>17/(17^2+B17^2)</f>
        <v>0.054011667362431938</v>
      </c>
      <c r="E17" s="16">
        <f>5/(5^2+C17^2)</f>
        <v>0.0012248426752715879</v>
      </c>
      <c r="F17" s="16">
        <f>B17/(17^2+B17^2)</f>
        <v>0.01612131174571323</v>
      </c>
      <c r="G17" s="16">
        <f>C17/(5^2+C17^2)</f>
        <v>0.015603470622754127</v>
      </c>
      <c r="H17" s="16">
        <f>E17+D17</f>
        <v>0.055236510037703523</v>
      </c>
      <c r="I17" s="16">
        <f>G17-F17</f>
        <v>-0.00051784112295910276</v>
      </c>
      <c r="K17" s="25">
        <v>438.96699999999998</v>
      </c>
      <c r="L17" s="73">
        <f>DEGREES(ATAN(I17/H17))</f>
        <v>-0.53713099527500729</v>
      </c>
      <c r="M17" s="74">
        <f>6*SQRT(H17^2+I17^2)</f>
        <v>0.33143362415521782</v>
      </c>
      <c r="N17" s="75">
        <f>6/SQRT(5^2+C17^2)</f>
        <v>0.093908824196426988</v>
      </c>
      <c r="O17" s="76">
        <f>6/SQRT(17^2+B17^2)</f>
        <v>0.33819764714173994</v>
      </c>
      <c r="P17" s="77">
        <v>-0.52400000000000002</v>
      </c>
      <c r="Q17" s="78">
        <v>0.33104699999999998</v>
      </c>
      <c r="R17" s="78">
        <v>0.094087000000000004</v>
      </c>
      <c r="S17" s="79">
        <v>0.33646700000000002</v>
      </c>
    </row>
    <row r="18" ht="15">
      <c r="B18" s="16">
        <f>1/(2*PI()*K18*71.454*10^(-6))</f>
        <v>4.6838095362380292</v>
      </c>
      <c r="C18" s="16">
        <f>2*PI()*K18*23.094*10^(-3)</f>
        <v>69.003860631955789</v>
      </c>
      <c r="D18" s="16">
        <f>17/(17^2+B18^2)</f>
        <v>0.054673266297473336</v>
      </c>
      <c r="E18" s="16">
        <f>5/(5^2+C18^2)</f>
        <v>0.001044597462840592</v>
      </c>
      <c r="F18" s="16">
        <f>B18/(17^2+B18^2)</f>
        <v>0.015063480356552167</v>
      </c>
      <c r="G18" s="16">
        <f>C18/(5^2+C18^2)</f>
        <v>0.014416251548469367</v>
      </c>
      <c r="H18" s="16">
        <f>E18+D18</f>
        <v>0.055717863760313929</v>
      </c>
      <c r="I18" s="16">
        <f>G18-F18</f>
        <v>-0.00064722880808280002</v>
      </c>
      <c r="K18" s="25">
        <v>475.548</v>
      </c>
      <c r="L18" s="73">
        <f>DEGREES(ATAN(I18/H18))</f>
        <v>-0.66552823014943396</v>
      </c>
      <c r="M18" s="74">
        <f>6*SQRT(H18^2+I18^2)</f>
        <v>0.3343297367826335</v>
      </c>
      <c r="N18" s="75">
        <f>6/SQRT(5^2+C18^2)</f>
        <v>0.086724285713128027</v>
      </c>
      <c r="O18" s="76">
        <f>6/SQRT(17^2+B18^2)</f>
        <v>0.34026266555577328</v>
      </c>
      <c r="P18" s="77">
        <v>-0.66500000000000004</v>
      </c>
      <c r="Q18" s="78">
        <v>0.33435900000000002</v>
      </c>
      <c r="R18" s="78">
        <v>0.086712999999999998</v>
      </c>
      <c r="S18" s="79">
        <v>0.33852100000000002</v>
      </c>
    </row>
    <row r="19" ht="15">
      <c r="B19" s="16">
        <f>1/(2*PI()*K19*71.454*10^(-6))</f>
        <v>4.3492569383804875</v>
      </c>
      <c r="C19" s="16">
        <f>2*PI()*K19*23.094*10^(-3)</f>
        <v>74.311760616640711</v>
      </c>
      <c r="D19" s="16">
        <f>17/(17^2+B19^2)</f>
        <v>0.055209855990205142</v>
      </c>
      <c r="E19" s="16">
        <f>5/(5^2+C19^2)</f>
        <v>0.00090134950239478373</v>
      </c>
      <c r="F19" s="16">
        <f>B19/(17^2+B19^2)</f>
        <v>0.01412481466072866</v>
      </c>
      <c r="G19" s="16">
        <f>C19/(5^2+C19^2)</f>
        <v>0.013396173690777878</v>
      </c>
      <c r="H19" s="16">
        <f>E19+D19</f>
        <v>0.056111205492599923</v>
      </c>
      <c r="I19" s="16">
        <f>G19-F19</f>
        <v>-0.00072864096995078204</v>
      </c>
      <c r="K19" s="25">
        <v>512.12800000000004</v>
      </c>
      <c r="L19" s="73">
        <f>DEGREES(ATAN(I19/H19))</f>
        <v>-0.743981627350082</v>
      </c>
      <c r="M19" s="74">
        <f>6*SQRT(H19^2+I19^2)</f>
        <v>0.33669561740814391</v>
      </c>
      <c r="N19" s="75">
        <f>6/SQRT(5^2+C19^2)</f>
        <v>0.080558776165247453</v>
      </c>
      <c r="O19" s="76">
        <f>6/SQRT(17^2+B19^2)</f>
        <v>0.3419283392111987</v>
      </c>
      <c r="P19" s="77">
        <v>-0.74399999999999999</v>
      </c>
      <c r="Q19" s="78">
        <v>0.33851300000000001</v>
      </c>
      <c r="R19" s="78">
        <v>0.081377000000000005</v>
      </c>
      <c r="S19" s="79">
        <v>0.343055</v>
      </c>
    </row>
    <row r="20" ht="15">
      <c r="B20" s="16">
        <f>1/(2*PI()*K20*71.454*10^(-6))</f>
        <v>4.0593033052837164</v>
      </c>
      <c r="C20" s="16">
        <f>2*PI()*K20*23.094*10^(-3)</f>
        <v>79.619805705207099</v>
      </c>
      <c r="D20" s="16">
        <f>17/(17^2+B20^2)</f>
        <v>0.055650499067139682</v>
      </c>
      <c r="E20" s="16">
        <f>5/(5^2+C20^2)</f>
        <v>0.00078563069386902002</v>
      </c>
      <c r="F20" s="16">
        <f>B20/(17^2+B20^2)</f>
        <v>0.013288367929642853</v>
      </c>
      <c r="G20" s="16">
        <f>C20/(5^2+C20^2)</f>
        <v>0.012510352640379682</v>
      </c>
      <c r="H20" s="16">
        <f>E20+D20</f>
        <v>0.056436129761008702</v>
      </c>
      <c r="I20" s="16">
        <f>G20-F20</f>
        <v>-0.00077801528926317066</v>
      </c>
      <c r="K20" s="25">
        <v>548.70899999999995</v>
      </c>
      <c r="L20" s="73">
        <f>DEGREES(ATAN(I20/H20))</f>
        <v>-0.78981618812390275</v>
      </c>
      <c r="M20" s="74">
        <f>6*SQRT(H20^2+I20^2)</f>
        <v>0.33864895364802566</v>
      </c>
      <c r="N20" s="75">
        <f>6/SQRT(5^2+C20^2)</f>
        <v>0.075209979363492344</v>
      </c>
      <c r="O20" s="76">
        <f>6/SQRT(17^2+B20^2)</f>
        <v>0.34329013337349196</v>
      </c>
      <c r="P20" s="77">
        <v>-0.78300000000000003</v>
      </c>
      <c r="Q20" s="78">
        <v>0.33833800000000003</v>
      </c>
      <c r="R20" s="78">
        <v>0.074698000000000001</v>
      </c>
      <c r="S20" s="79">
        <v>0.34363199999999999</v>
      </c>
    </row>
    <row r="21" ht="15">
      <c r="B21" s="16">
        <f>1/(2*PI()*K21*71.454*10^(-6))</f>
        <v>3.80559424787528</v>
      </c>
      <c r="C21" s="16">
        <f>2*PI()*K21*23.094*10^(-3)</f>
        <v>84.927850793773501</v>
      </c>
      <c r="D21" s="16">
        <f>17/(17^2+B21^2)</f>
        <v>0.056016400730749955</v>
      </c>
      <c r="E21" s="16">
        <f>5/(5^2+C21^2)</f>
        <v>0.00069082339379713132</v>
      </c>
      <c r="F21" s="16">
        <f>B21/(17^2+B21^2)</f>
        <v>0.012539746612212861</v>
      </c>
      <c r="G21" s="16">
        <f>C21/(5^2+C21^2)</f>
        <v>0.011734029222650202</v>
      </c>
      <c r="H21" s="16">
        <f>E21+D21</f>
        <v>0.056707224124547088</v>
      </c>
      <c r="I21" s="16">
        <f>G21-F21</f>
        <v>-0.00080571738956265911</v>
      </c>
      <c r="K21" s="25">
        <v>585.28999999999996</v>
      </c>
      <c r="L21" s="88">
        <f>DEGREES(ATAN(I21/H21))</f>
        <v>-0.81402502909831753</v>
      </c>
      <c r="M21" s="74">
        <f>6*SQRT(H21^2+I21^2)</f>
        <v>0.34027768681364418</v>
      </c>
      <c r="N21" s="75">
        <f>6/SQRT(5^2+C21^2)</f>
        <v>0.070526083368774611</v>
      </c>
      <c r="O21" s="76">
        <f>6/SQRT(17^2+B21^2)</f>
        <v>0.34441684954913698</v>
      </c>
      <c r="P21" s="77">
        <v>-0.81399999999999995</v>
      </c>
      <c r="Q21" s="78">
        <v>0.33979700000000002</v>
      </c>
      <c r="R21" s="78">
        <v>0.070732000000000003</v>
      </c>
      <c r="S21" s="79">
        <v>0.34398299999999998</v>
      </c>
    </row>
    <row r="22" ht="15">
      <c r="B22" s="16">
        <f>1/(2*PI()*K22*71.454*10^(-6))</f>
        <v>3.5817393624695226</v>
      </c>
      <c r="C22" s="16">
        <f>2*PI()*K22*23.094*10^(-3)</f>
        <v>90.235750778458424</v>
      </c>
      <c r="D22" s="16">
        <f>17/(17^2+B22^2)</f>
        <v>0.056323309099129276</v>
      </c>
      <c r="E22" s="16">
        <f>5/(5^2+C22^2)</f>
        <v>0.00061218312604172803</v>
      </c>
      <c r="F22" s="16">
        <f>B22/(17^2+B22^2)</f>
        <v>0.011866789013228773</v>
      </c>
      <c r="G22" s="16">
        <f>C22/(5^2+C22^2)</f>
        <v>0.011048160798455794</v>
      </c>
      <c r="H22" s="16">
        <f>E22+D22</f>
        <v>0.056935492225171004</v>
      </c>
      <c r="I22" s="16">
        <f>G22-F22</f>
        <v>-0.00081862821477297898</v>
      </c>
      <c r="K22" s="25">
        <v>621.87</v>
      </c>
      <c r="L22" s="88">
        <f>DEGREES(ATAN(I22/H22))</f>
        <v>-0.8237517247349383</v>
      </c>
      <c r="M22" s="74">
        <f>6*SQRT(H22^2+I22^2)</f>
        <v>0.34164826265437837</v>
      </c>
      <c r="N22" s="75">
        <f>6/SQRT(5^2+C22^2)</f>
        <v>0.06639065075370508</v>
      </c>
      <c r="O22" s="76">
        <f>6/SQRT(17^2+B22^2)</f>
        <v>0.34535907380142722</v>
      </c>
      <c r="P22" s="77">
        <v>-0.82599999999999996</v>
      </c>
      <c r="Q22" s="78">
        <v>0.34040799999999999</v>
      </c>
      <c r="R22" s="78">
        <v>0.066269999999999996</v>
      </c>
      <c r="S22" s="79">
        <v>0.34416799999999997</v>
      </c>
    </row>
    <row r="23" ht="15">
      <c r="B23" s="16">
        <f>1/(2*PI()*K23*71.454*10^(-6))</f>
        <v>3.3827517269150205</v>
      </c>
      <c r="C23" s="16">
        <f>2*PI()*K23*23.094*10^(-3)</f>
        <v>95.543795867024841</v>
      </c>
      <c r="D23" s="16">
        <f>17/(17^2+B23^2)</f>
        <v>0.056583110529569949</v>
      </c>
      <c r="E23" s="16">
        <f>5/(5^2+C23^2)</f>
        <v>0.00054623216581570276</v>
      </c>
      <c r="F23" s="16">
        <f>B23/(17^2+B23^2)</f>
        <v>0.011259212638713307</v>
      </c>
      <c r="G23" s="16">
        <f>C23/(5^2+C23^2)</f>
        <v>0.010437818909339673</v>
      </c>
      <c r="H23" s="16">
        <f>E23+D23</f>
        <v>0.057129342695385651</v>
      </c>
      <c r="I23" s="16">
        <f>G23-F23</f>
        <v>-0.00082139372937363453</v>
      </c>
      <c r="K23" s="25">
        <v>658.45100000000002</v>
      </c>
      <c r="L23" s="88">
        <f>DEGREES(ATAN(I23/H23))</f>
        <v>-0.82372996550052724</v>
      </c>
      <c r="M23" s="74">
        <f>6*SQRT(H23^2+I23^2)</f>
        <v>0.34281148382275184</v>
      </c>
      <c r="N23" s="75">
        <f>6/SQRT(5^2+C23^2)</f>
        <v>0.062712611123067266</v>
      </c>
      <c r="O23" s="76">
        <f>6/SQRT(17^2+B23^2)</f>
        <v>0.34615467293109087</v>
      </c>
      <c r="P23" s="77">
        <v>-0.82399999999999995</v>
      </c>
      <c r="Q23" s="78">
        <v>0.343557</v>
      </c>
      <c r="R23" s="78">
        <v>0.062881000000000006</v>
      </c>
      <c r="S23" s="79">
        <v>0.34606900000000002</v>
      </c>
    </row>
    <row r="24" ht="15">
      <c r="B24" s="16">
        <f>1/(2*PI()*K24*71.454*10^(-6))</f>
        <v>3.204714980107251</v>
      </c>
      <c r="C24" s="16">
        <f>2*PI()*K24*23.094*10^(-3)</f>
        <v>100.85169585170974</v>
      </c>
      <c r="D24" s="16">
        <f>17/(17^2+B24^2)</f>
        <v>0.056804854301289238</v>
      </c>
      <c r="E24" s="16">
        <f>5/(5^2+C24^2)</f>
        <v>0.00049038528271934086</v>
      </c>
      <c r="F24" s="16">
        <f>B24/(17^2+B24^2)</f>
        <v>0.010708433383655968</v>
      </c>
      <c r="G24" s="16">
        <f>C24/(5^2+C24^2)</f>
        <v>0.0098912374765931319</v>
      </c>
      <c r="H24" s="16">
        <f>E24+D24</f>
        <v>0.057295239584008582</v>
      </c>
      <c r="I24" s="16">
        <f>G24-F24</f>
        <v>-0.00081719590706283603</v>
      </c>
      <c r="K24" s="25">
        <v>695.03099999999995</v>
      </c>
      <c r="L24" s="88">
        <f>DEGREES(ATAN(I24/H24))</f>
        <v>-0.81714820016332856</v>
      </c>
      <c r="M24" s="74">
        <f>6*SQRT(H24^2+I24^2)</f>
        <v>0.34380640246077543</v>
      </c>
      <c r="N24" s="75">
        <f>6/SQRT(5^2+C24^2)</f>
        <v>0.059420316690331217</v>
      </c>
      <c r="O24" s="76">
        <f>6/SQRT(17^2+B24^2)</f>
        <v>0.34683228315429965</v>
      </c>
      <c r="P24" s="77">
        <v>-0.81699999999999995</v>
      </c>
      <c r="Q24" s="78">
        <v>0.34416099999999999</v>
      </c>
      <c r="R24" s="78">
        <v>0.058813999999999998</v>
      </c>
      <c r="S24" s="79">
        <v>0.34862900000000002</v>
      </c>
    </row>
    <row r="25" ht="15">
      <c r="B25" s="16">
        <f>1/(2*PI()*K25*71.454*10^(-6))</f>
        <v>3.0444774789627873</v>
      </c>
      <c r="C25" s="16">
        <f>2*PI()*K25*23.094*10^(-3)</f>
        <v>106.15974094027612</v>
      </c>
      <c r="D25" s="16">
        <f>17/(17^2+B25^2)</f>
        <v>0.056995560857711083</v>
      </c>
      <c r="E25" s="16">
        <f>5/(5^2+C25^2)</f>
        <v>0.00044267803723096517</v>
      </c>
      <c r="F25" s="16">
        <f>B25/(17^2+B25^2)</f>
        <v>0.010207158907773786</v>
      </c>
      <c r="G25" s="16">
        <f>C25/(5^2+C25^2)</f>
        <v>0.0093989171504778347</v>
      </c>
      <c r="H25" s="16">
        <f>E25+D25</f>
        <v>0.057438238894942047</v>
      </c>
      <c r="I25" s="16">
        <f>G25-F25</f>
        <v>-0.00080824175729595112</v>
      </c>
      <c r="K25" s="39">
        <v>731.61199999999997</v>
      </c>
      <c r="L25" s="89">
        <f>DEGREES(ATAN(I25/H25))</f>
        <v>-0.80618393396292942</v>
      </c>
      <c r="M25" s="90">
        <f>6*SQRT(H25^2+I25^2)</f>
        <v>0.34466355118472292</v>
      </c>
      <c r="N25" s="91">
        <f>6/SQRT(5^2+C25^2)</f>
        <v>0.056456017111225172</v>
      </c>
      <c r="O25" s="92">
        <f>6/SQRT(17^2+B25^2)</f>
        <v>0.34741399196970946</v>
      </c>
      <c r="P25" s="93">
        <v>-0.80600000000000005</v>
      </c>
      <c r="Q25" s="94">
        <v>0.34594900000000001</v>
      </c>
      <c r="R25" s="94">
        <v>0.056245999999999997</v>
      </c>
      <c r="S25" s="95">
        <v>0.34837000000000001</v>
      </c>
    </row>
    <row r="27" ht="14.25"/>
    <row r="28" ht="14.25"/>
    <row r="30" ht="45">
      <c r="U30" s="96" t="s">
        <v>42</v>
      </c>
      <c r="V30" s="96" t="s">
        <v>43</v>
      </c>
      <c r="W30" s="96" t="s">
        <v>44</v>
      </c>
      <c r="X30" s="96" t="s">
        <v>45</v>
      </c>
      <c r="Y30" s="96" t="s">
        <v>46</v>
      </c>
      <c r="Z30" s="96" t="s">
        <v>47</v>
      </c>
      <c r="AA30" s="96" t="s">
        <v>48</v>
      </c>
      <c r="AB30" s="96" t="s">
        <v>49</v>
      </c>
    </row>
    <row r="31" ht="15">
      <c r="U31" s="97">
        <v>40.716999999999999</v>
      </c>
      <c r="V31" s="97">
        <v>0.77800000000000002</v>
      </c>
      <c r="W31" s="97">
        <v>0.82299999999999995</v>
      </c>
      <c r="X31" s="97">
        <v>0.095000000000000001</v>
      </c>
      <c r="Y31" s="97">
        <v>40.982999999999997</v>
      </c>
      <c r="Z31" s="97">
        <v>0.77781699999999998</v>
      </c>
      <c r="AA31" s="97">
        <v>0.82268300000000005</v>
      </c>
      <c r="AB31" s="97">
        <v>0.094908999999999993</v>
      </c>
    </row>
    <row r="32" ht="15">
      <c r="U32" s="97">
        <v>45.987000000000002</v>
      </c>
      <c r="V32" s="97">
        <v>0.434</v>
      </c>
      <c r="W32" s="97">
        <v>0.51100000000000001</v>
      </c>
      <c r="X32" s="97">
        <v>0.17199999999999999</v>
      </c>
      <c r="Y32" s="97">
        <v>46.186</v>
      </c>
      <c r="Z32" s="97">
        <v>0.43345600000000001</v>
      </c>
      <c r="AA32" s="97">
        <v>0.51330299999999995</v>
      </c>
      <c r="AB32" s="97">
        <v>0.172399</v>
      </c>
    </row>
    <row r="33" ht="15">
      <c r="U33" s="97">
        <v>33.758000000000003</v>
      </c>
      <c r="V33" s="97">
        <v>0.30499999999999999</v>
      </c>
      <c r="W33" s="97">
        <v>0.35899999999999999</v>
      </c>
      <c r="X33" s="97">
        <v>0.22700000000000001</v>
      </c>
      <c r="Y33" s="97">
        <v>34.128</v>
      </c>
      <c r="Z33" s="97">
        <v>0.30530099999999999</v>
      </c>
      <c r="AA33" s="97">
        <v>0.357765</v>
      </c>
      <c r="AB33" s="97">
        <v>0.226219</v>
      </c>
    </row>
    <row r="34" ht="15">
      <c r="U34" s="97">
        <v>19.628</v>
      </c>
      <c r="V34" s="97">
        <v>0.27500000000000002</v>
      </c>
      <c r="W34" s="97">
        <v>0.27500000000000002</v>
      </c>
      <c r="X34" s="97">
        <v>0.26300000000000001</v>
      </c>
      <c r="Y34" s="97">
        <v>19.806999999999999</v>
      </c>
      <c r="Z34" s="97">
        <v>0.273785</v>
      </c>
      <c r="AA34" s="97">
        <v>0.276007</v>
      </c>
      <c r="AB34" s="97">
        <v>0.263266</v>
      </c>
    </row>
    <row r="35" ht="15">
      <c r="U35" s="97">
        <v>10.577999999999999</v>
      </c>
      <c r="V35" s="97">
        <v>0.27900000000000003</v>
      </c>
      <c r="W35" s="97">
        <v>0.222</v>
      </c>
      <c r="X35" s="97">
        <v>0.28699999999999998</v>
      </c>
      <c r="Y35" s="97">
        <v>10.372999999999999</v>
      </c>
      <c r="Z35" s="97">
        <v>0.27958100000000002</v>
      </c>
      <c r="AA35" s="97">
        <v>0.22093599999999999</v>
      </c>
      <c r="AB35" s="97">
        <v>0.28834900000000002</v>
      </c>
    </row>
    <row r="36" ht="15">
      <c r="U36" s="97">
        <v>5.6360000000000001</v>
      </c>
      <c r="V36" s="97">
        <v>0.28999999999999998</v>
      </c>
      <c r="W36" s="97">
        <v>0.186</v>
      </c>
      <c r="X36" s="97">
        <v>0.30299999999999999</v>
      </c>
      <c r="Y36" s="97">
        <v>5.899</v>
      </c>
      <c r="Z36" s="97">
        <v>0.290964</v>
      </c>
      <c r="AA36" s="97">
        <v>0.18546499999999999</v>
      </c>
      <c r="AB36" s="97">
        <v>0.30203600000000003</v>
      </c>
    </row>
    <row r="37" ht="15">
      <c r="U37" s="97">
        <v>2.9449999999999998</v>
      </c>
      <c r="V37" s="97">
        <v>0.30099999999999999</v>
      </c>
      <c r="W37" s="97">
        <v>0.16</v>
      </c>
      <c r="X37" s="97">
        <v>0.314</v>
      </c>
      <c r="Y37" s="97">
        <v>2.8290000000000002</v>
      </c>
      <c r="Z37" s="97">
        <v>0.30004700000000001</v>
      </c>
      <c r="AA37" s="97">
        <v>0.159687</v>
      </c>
      <c r="AB37" s="97">
        <v>0.31407800000000002</v>
      </c>
    </row>
    <row r="38" ht="15">
      <c r="U38" s="97">
        <v>1.427</v>
      </c>
      <c r="V38" s="97">
        <v>0.311</v>
      </c>
      <c r="W38" s="97">
        <v>0.14000000000000001</v>
      </c>
      <c r="X38" s="97">
        <v>0.32200000000000001</v>
      </c>
      <c r="Y38" s="97">
        <v>1.732</v>
      </c>
      <c r="Z38" s="97">
        <v>0.31078800000000001</v>
      </c>
      <c r="AA38" s="97">
        <v>0.139708</v>
      </c>
      <c r="AB38" s="97">
        <v>0.32235999999999998</v>
      </c>
    </row>
    <row r="39" ht="15">
      <c r="U39" s="97">
        <v>0.53700000000000003</v>
      </c>
      <c r="V39" s="97">
        <v>0.318</v>
      </c>
      <c r="W39" s="97">
        <v>0.125</v>
      </c>
      <c r="X39" s="97">
        <v>0.32800000000000001</v>
      </c>
      <c r="Y39" s="97">
        <v>0.496</v>
      </c>
      <c r="Z39" s="97">
        <v>0.31685400000000002</v>
      </c>
      <c r="AA39" s="97">
        <v>0.12474</v>
      </c>
      <c r="AB39" s="97">
        <v>0.32756200000000002</v>
      </c>
    </row>
    <row r="40" ht="15">
      <c r="U40" s="97">
        <v>0</v>
      </c>
      <c r="V40" s="97">
        <v>0.32300000000000001</v>
      </c>
      <c r="W40" s="97">
        <v>0.113</v>
      </c>
      <c r="X40" s="97">
        <v>0.33200000000000002</v>
      </c>
      <c r="Y40" s="97">
        <v>-0.32100000000000001</v>
      </c>
      <c r="Z40" s="97">
        <v>0.32300000000000001</v>
      </c>
      <c r="AA40" s="97">
        <v>0.11233</v>
      </c>
      <c r="AB40" s="97">
        <v>0.332146</v>
      </c>
    </row>
    <row r="41" ht="15">
      <c r="U41" s="97">
        <v>-0.33100000000000002</v>
      </c>
      <c r="V41" s="97">
        <v>0.32800000000000001</v>
      </c>
      <c r="W41" s="97">
        <v>0.10199999999999999</v>
      </c>
      <c r="X41" s="97">
        <v>0.33600000000000002</v>
      </c>
      <c r="Y41" s="97">
        <v>-0.151</v>
      </c>
      <c r="Z41" s="97">
        <v>0.32785599999999998</v>
      </c>
      <c r="AA41" s="97">
        <v>0.10229100000000001</v>
      </c>
      <c r="AB41" s="97">
        <v>0.33499099999999998</v>
      </c>
    </row>
    <row r="42" ht="15">
      <c r="U42" s="97">
        <v>-0.53700000000000003</v>
      </c>
      <c r="V42" s="97">
        <v>0.33100000000000002</v>
      </c>
      <c r="W42" s="97">
        <v>0.094</v>
      </c>
      <c r="X42" s="97">
        <v>0.33800000000000002</v>
      </c>
      <c r="Y42" s="97">
        <v>-0.40799999999999997</v>
      </c>
      <c r="Z42" s="97">
        <v>0.33104699999999998</v>
      </c>
      <c r="AA42" s="97">
        <v>0.094087000000000004</v>
      </c>
      <c r="AB42" s="97">
        <v>0.33646700000000002</v>
      </c>
    </row>
    <row r="43" ht="15">
      <c r="U43" s="97">
        <v>-0.66600000000000004</v>
      </c>
      <c r="V43" s="97">
        <v>0.33400000000000002</v>
      </c>
      <c r="W43" s="97">
        <v>0.086999999999999994</v>
      </c>
      <c r="X43" s="97">
        <v>0.34000000000000002</v>
      </c>
      <c r="Y43" s="97">
        <v>-0.85099999999999998</v>
      </c>
      <c r="Z43" s="97">
        <v>0.33435900000000002</v>
      </c>
      <c r="AA43" s="97">
        <v>0.086712999999999998</v>
      </c>
      <c r="AB43" s="97">
        <v>0.33852100000000002</v>
      </c>
    </row>
    <row r="44" ht="15">
      <c r="U44" s="97">
        <v>-0.74399999999999999</v>
      </c>
      <c r="V44" s="97">
        <v>0.33700000000000002</v>
      </c>
      <c r="W44" s="97">
        <v>0.081000000000000003</v>
      </c>
      <c r="X44" s="97">
        <v>0.34200000000000003</v>
      </c>
      <c r="Y44" s="97">
        <v>-0.99299999999999999</v>
      </c>
      <c r="Z44" s="97">
        <v>0.33851300000000001</v>
      </c>
      <c r="AA44" s="97">
        <v>0.081377000000000005</v>
      </c>
      <c r="AB44" s="97">
        <v>0.343055</v>
      </c>
    </row>
    <row r="45" ht="15">
      <c r="U45" s="97">
        <v>-0.79000000000000004</v>
      </c>
      <c r="V45" s="97">
        <v>0.33900000000000002</v>
      </c>
      <c r="W45" s="97">
        <v>0.074999999999999997</v>
      </c>
      <c r="X45" s="97">
        <v>0.34300000000000003</v>
      </c>
      <c r="Y45" s="97">
        <v>-0.498</v>
      </c>
      <c r="Z45" s="97">
        <v>0.33833800000000003</v>
      </c>
      <c r="AA45" s="97">
        <v>0.074698000000000001</v>
      </c>
      <c r="AB45" s="97">
        <v>0.34363199999999999</v>
      </c>
    </row>
    <row r="46" ht="15">
      <c r="U46" s="97">
        <v>-0.81399999999999995</v>
      </c>
      <c r="V46" s="97">
        <v>0.34000000000000002</v>
      </c>
      <c r="W46" s="97">
        <v>0.070999999999999994</v>
      </c>
      <c r="X46" s="97">
        <v>0.34399999999999997</v>
      </c>
      <c r="Y46" s="97">
        <v>-0.63600000000000001</v>
      </c>
      <c r="Z46" s="97">
        <v>0.33979700000000002</v>
      </c>
      <c r="AA46" s="97">
        <v>0.070732000000000003</v>
      </c>
      <c r="AB46" s="97">
        <v>0.34398299999999998</v>
      </c>
    </row>
    <row r="47" ht="15">
      <c r="U47" s="97">
        <v>-0.82399999999999995</v>
      </c>
      <c r="V47" s="97">
        <v>0.34200000000000003</v>
      </c>
      <c r="W47" s="97">
        <v>0.066000000000000003</v>
      </c>
      <c r="X47" s="97">
        <v>0.34499999999999997</v>
      </c>
      <c r="Y47" s="97">
        <v>-0.45400000000000001</v>
      </c>
      <c r="Z47" s="97">
        <v>0.34040799999999999</v>
      </c>
      <c r="AA47" s="97">
        <v>0.066269999999999996</v>
      </c>
      <c r="AB47" s="97">
        <v>0.34416799999999997</v>
      </c>
    </row>
    <row r="48" ht="15">
      <c r="U48" s="97">
        <v>-0.82399999999999995</v>
      </c>
      <c r="V48" s="97">
        <v>0.34300000000000003</v>
      </c>
      <c r="W48" s="97">
        <v>0.063</v>
      </c>
      <c r="X48" s="97">
        <v>0.34599999999999997</v>
      </c>
      <c r="Y48" s="97">
        <v>-0.93500000000000005</v>
      </c>
      <c r="Z48" s="97">
        <v>0.343557</v>
      </c>
      <c r="AA48" s="97">
        <v>0.062881000000000006</v>
      </c>
      <c r="AB48" s="97">
        <v>0.34606900000000002</v>
      </c>
    </row>
    <row r="49" ht="15">
      <c r="U49" s="97">
        <v>-0.81699999999999995</v>
      </c>
      <c r="V49" s="97">
        <v>0.34399999999999997</v>
      </c>
      <c r="W49" s="97">
        <v>0.058999999999999997</v>
      </c>
      <c r="X49" s="97">
        <v>0.34699999999999998</v>
      </c>
      <c r="Y49" s="97">
        <v>-0.621</v>
      </c>
      <c r="Z49" s="97">
        <v>0.34416099999999999</v>
      </c>
      <c r="AA49" s="97">
        <v>0.058813999999999998</v>
      </c>
      <c r="AB49" s="97">
        <v>0.34862900000000002</v>
      </c>
    </row>
    <row r="50" ht="15">
      <c r="U50" s="97">
        <v>-0.80600000000000005</v>
      </c>
      <c r="V50" s="97">
        <v>0.34499999999999997</v>
      </c>
      <c r="W50" s="97">
        <v>0.056000000000000001</v>
      </c>
      <c r="X50" s="97">
        <v>0.34699999999999998</v>
      </c>
      <c r="Y50" s="97">
        <v>-0.46899999999999997</v>
      </c>
      <c r="Z50" s="97">
        <v>0.34594900000000001</v>
      </c>
      <c r="AA50" s="97">
        <v>0.056245999999999997</v>
      </c>
      <c r="AB50" s="97">
        <v>0.34837000000000001</v>
      </c>
    </row>
    <row r="51" ht="15">
      <c r="U51" s="98" t="s">
        <v>50</v>
      </c>
    </row>
  </sheetData>
  <mergeCells count="6">
    <mergeCell ref="K2:K4"/>
    <mergeCell ref="L2:S2"/>
    <mergeCell ref="L3:O3"/>
    <mergeCell ref="P3:S3"/>
    <mergeCell ref="M5:O5"/>
    <mergeCell ref="Q5:S5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zoomScale="100" workbookViewId="0">
      <selection activeCell="A1" activeCellId="0" sqref="A1"/>
    </sheetView>
  </sheetViews>
  <sheetFormatPr defaultRowHeight="15"/>
  <cols>
    <col customWidth="1" min="2" max="11" width="7.7109375"/>
  </cols>
  <sheetData>
    <row r="2" ht="29.399999999999999" customHeight="1">
      <c r="B2" s="99" t="s">
        <v>51</v>
      </c>
      <c r="C2" s="100" t="s">
        <v>52</v>
      </c>
      <c r="D2" s="101"/>
      <c r="E2" s="101"/>
      <c r="F2" s="102"/>
      <c r="G2" s="100" t="s">
        <v>53</v>
      </c>
      <c r="H2" s="101"/>
      <c r="I2" s="101"/>
      <c r="J2" s="103" t="s">
        <v>54</v>
      </c>
      <c r="K2" s="102"/>
      <c r="L2" s="104"/>
      <c r="M2" s="105"/>
      <c r="N2" s="106"/>
      <c r="O2" s="106"/>
      <c r="P2" s="106"/>
      <c r="Q2" s="106"/>
    </row>
    <row r="3">
      <c r="B3" s="107"/>
      <c r="C3" s="108" t="s">
        <v>55</v>
      </c>
      <c r="D3" s="108" t="s">
        <v>56</v>
      </c>
      <c r="E3" s="108" t="s">
        <v>57</v>
      </c>
      <c r="F3" s="108" t="s">
        <v>58</v>
      </c>
      <c r="G3" s="108" t="s">
        <v>59</v>
      </c>
      <c r="H3" s="108" t="s">
        <v>9</v>
      </c>
      <c r="I3" s="109" t="s">
        <v>8</v>
      </c>
      <c r="J3" s="110" t="s">
        <v>9</v>
      </c>
      <c r="K3" s="108" t="s">
        <v>8</v>
      </c>
      <c r="L3" s="104"/>
      <c r="M3" s="105"/>
      <c r="N3" s="106"/>
      <c r="O3" s="106"/>
      <c r="P3" s="106"/>
      <c r="Q3" s="106"/>
    </row>
    <row r="4">
      <c r="B4" s="107"/>
      <c r="C4" s="109" t="s">
        <v>60</v>
      </c>
      <c r="D4" s="111"/>
      <c r="E4" s="108" t="s">
        <v>61</v>
      </c>
      <c r="F4" s="108" t="s">
        <v>62</v>
      </c>
      <c r="G4" s="108" t="s">
        <v>16</v>
      </c>
      <c r="H4" s="108" t="s">
        <v>15</v>
      </c>
      <c r="I4" s="108" t="s">
        <v>14</v>
      </c>
      <c r="J4" s="112" t="s">
        <v>15</v>
      </c>
      <c r="K4" s="112" t="s">
        <v>14</v>
      </c>
      <c r="M4" s="113" t="s">
        <v>63</v>
      </c>
      <c r="N4" s="113" t="s">
        <v>64</v>
      </c>
      <c r="O4" s="114" t="s">
        <v>17</v>
      </c>
      <c r="P4" s="114" t="s">
        <v>18</v>
      </c>
      <c r="Q4" s="114" t="s">
        <v>19</v>
      </c>
      <c r="R4" s="114" t="s">
        <v>20</v>
      </c>
    </row>
    <row r="5">
      <c r="B5" s="115">
        <v>1</v>
      </c>
      <c r="C5" s="116">
        <v>30</v>
      </c>
      <c r="D5" s="116" t="s">
        <v>65</v>
      </c>
      <c r="E5" s="116" t="s">
        <v>65</v>
      </c>
      <c r="F5" s="117" t="s">
        <v>65</v>
      </c>
      <c r="G5" s="116">
        <v>6.0170000000000003</v>
      </c>
      <c r="H5" s="116">
        <v>0.19900000000000001</v>
      </c>
      <c r="I5" s="117">
        <v>0</v>
      </c>
      <c r="J5" s="116">
        <v>0.20000000000000001</v>
      </c>
      <c r="K5" s="117">
        <v>0</v>
      </c>
      <c r="M5" s="113">
        <v>0.28199999999999997</v>
      </c>
      <c r="N5" s="113">
        <v>8.5099999999999998</v>
      </c>
      <c r="O5" s="106"/>
      <c r="P5" s="106"/>
      <c r="Q5" s="106"/>
      <c r="R5" s="106"/>
    </row>
    <row r="6">
      <c r="B6" s="118">
        <v>2</v>
      </c>
      <c r="C6" s="119" t="s">
        <v>65</v>
      </c>
      <c r="D6" s="119" t="s">
        <v>65</v>
      </c>
      <c r="E6" s="119" t="s">
        <v>65</v>
      </c>
      <c r="F6" s="120">
        <v>71.453999999999994</v>
      </c>
      <c r="G6" s="119">
        <v>6.0039999999999996</v>
      </c>
      <c r="H6" s="119">
        <v>0.053600000000000002</v>
      </c>
      <c r="I6" s="120">
        <v>-88.519000000000005</v>
      </c>
      <c r="J6" s="119">
        <v>0.053600000000000002</v>
      </c>
      <c r="K6" s="120">
        <v>-90</v>
      </c>
      <c r="M6" s="113">
        <v>0.075819999999999999</v>
      </c>
      <c r="N6" s="113">
        <v>8.4909999999999997</v>
      </c>
      <c r="O6" s="121">
        <v>12.56</v>
      </c>
      <c r="P6" s="121">
        <v>25.109999999999999</v>
      </c>
      <c r="Q6" s="121">
        <v>0</v>
      </c>
      <c r="R6" s="121">
        <v>25.52</v>
      </c>
    </row>
    <row r="7">
      <c r="B7" s="118">
        <v>3</v>
      </c>
      <c r="C7" s="119">
        <v>30</v>
      </c>
      <c r="D7" s="119" t="s">
        <v>65</v>
      </c>
      <c r="E7" s="119" t="s">
        <v>65</v>
      </c>
      <c r="F7" s="120">
        <v>71.453999999999994</v>
      </c>
      <c r="G7" s="119">
        <v>6.0004999999999997</v>
      </c>
      <c r="H7" s="119">
        <v>0.051799999999999999</v>
      </c>
      <c r="I7" s="120">
        <v>-74.896000000000001</v>
      </c>
      <c r="J7" s="119">
        <v>0.051799999999999999</v>
      </c>
      <c r="K7" s="120">
        <v>-75</v>
      </c>
      <c r="M7" s="113">
        <v>0.073219999999999993</v>
      </c>
      <c r="N7" s="113">
        <v>8.4860000000000007</v>
      </c>
      <c r="O7" s="121">
        <v>50.189999999999998</v>
      </c>
      <c r="P7" s="121">
        <v>61.880000000000003</v>
      </c>
      <c r="Q7" s="121">
        <v>100.56</v>
      </c>
      <c r="R7" s="121">
        <v>125.70999999999999</v>
      </c>
    </row>
    <row r="8">
      <c r="B8" s="122">
        <v>4</v>
      </c>
      <c r="C8" s="123" t="s">
        <v>65</v>
      </c>
      <c r="D8" s="123">
        <v>5</v>
      </c>
      <c r="E8" s="123">
        <v>23.094000000000001</v>
      </c>
      <c r="F8" s="124" t="s">
        <v>65</v>
      </c>
      <c r="G8" s="123">
        <v>5.9909999999999997</v>
      </c>
      <c r="H8" s="123">
        <v>1.0397000000000001</v>
      </c>
      <c r="I8" s="124">
        <v>30.713000000000001</v>
      </c>
      <c r="J8" s="123">
        <v>1.0389999999999999</v>
      </c>
      <c r="K8" s="124">
        <v>30.699999999999999</v>
      </c>
      <c r="M8" s="113">
        <v>1.4702999999999999</v>
      </c>
      <c r="N8" s="113">
        <v>8.4719999999999995</v>
      </c>
      <c r="O8" s="121">
        <v>50.240000000000002</v>
      </c>
      <c r="P8" s="121">
        <v>54.549999999999997</v>
      </c>
      <c r="Q8" s="121">
        <v>50.210000000000001</v>
      </c>
      <c r="R8" s="121">
        <v>75.469999999999999</v>
      </c>
    </row>
    <row r="9">
      <c r="B9" s="122">
        <v>5</v>
      </c>
      <c r="C9" s="123">
        <v>30</v>
      </c>
      <c r="D9" s="123">
        <v>5</v>
      </c>
      <c r="E9" s="123">
        <v>23.094000000000001</v>
      </c>
      <c r="F9" s="124" t="s">
        <v>65</v>
      </c>
      <c r="G9" s="123">
        <v>5.9980000000000002</v>
      </c>
      <c r="H9" s="123">
        <v>0.17100000000000001</v>
      </c>
      <c r="I9" s="124">
        <v>4.9080000000000004</v>
      </c>
      <c r="J9" s="123">
        <v>0.17100000000000001</v>
      </c>
      <c r="K9" s="124">
        <v>4.7199999999999998</v>
      </c>
      <c r="M9" s="113">
        <v>0.24223</v>
      </c>
      <c r="N9" s="113">
        <v>8.4831000000000003</v>
      </c>
      <c r="O9" s="121">
        <v>50.264000000000003</v>
      </c>
      <c r="P9" s="121">
        <v>50.951999999999998</v>
      </c>
      <c r="Q9" s="121">
        <v>50.210000000000001</v>
      </c>
      <c r="R9" s="121">
        <v>75.430000000000007</v>
      </c>
    </row>
    <row r="10">
      <c r="B10" s="125">
        <v>6</v>
      </c>
      <c r="C10" s="126">
        <v>30</v>
      </c>
      <c r="D10" s="126">
        <v>5</v>
      </c>
      <c r="E10" s="126">
        <v>23.094000000000001</v>
      </c>
      <c r="F10" s="127">
        <v>71.453999999999994</v>
      </c>
      <c r="G10" s="126">
        <v>6.0010000000000003</v>
      </c>
      <c r="H10" s="126">
        <v>0.052400000000000002</v>
      </c>
      <c r="I10" s="127">
        <v>-72.158000000000001</v>
      </c>
      <c r="J10" s="126">
        <v>0.052400000000000002</v>
      </c>
      <c r="K10" s="127">
        <v>-72.209000000000003</v>
      </c>
      <c r="M10" s="113">
        <v>0.074139999999999998</v>
      </c>
      <c r="N10" s="113">
        <v>8</v>
      </c>
      <c r="O10" s="121">
        <v>38.670000000000002</v>
      </c>
      <c r="P10" s="121">
        <v>50.270000000000003</v>
      </c>
      <c r="Q10" s="121">
        <v>50.200000000000003</v>
      </c>
      <c r="R10" s="121">
        <v>75.459999999999994</v>
      </c>
    </row>
    <row r="11">
      <c r="B11" s="118">
        <v>7</v>
      </c>
      <c r="C11" s="119">
        <v>30</v>
      </c>
      <c r="D11" s="119" t="s">
        <v>65</v>
      </c>
      <c r="E11" s="119" t="s">
        <v>65</v>
      </c>
      <c r="F11" s="120">
        <v>71.453999999999994</v>
      </c>
      <c r="G11" s="119">
        <v>5.9997999999999996</v>
      </c>
      <c r="H11" s="119">
        <v>0.20699999999999999</v>
      </c>
      <c r="I11" s="120">
        <v>-16.594000000000001</v>
      </c>
      <c r="J11" s="119">
        <v>0.20699999999999999</v>
      </c>
      <c r="K11" s="120">
        <v>-16.577000000000002</v>
      </c>
      <c r="M11" s="113">
        <v>0.29293000000000002</v>
      </c>
      <c r="N11" s="113">
        <v>8.4850010000000005</v>
      </c>
      <c r="O11" s="106"/>
      <c r="P11" s="106"/>
      <c r="Q11" s="106"/>
      <c r="R11" s="106"/>
    </row>
    <row r="12">
      <c r="B12" s="122">
        <v>8</v>
      </c>
      <c r="C12" s="123">
        <v>30</v>
      </c>
      <c r="D12" s="123">
        <v>5</v>
      </c>
      <c r="E12" s="123">
        <v>23.094000000000001</v>
      </c>
      <c r="F12" s="124" t="s">
        <v>65</v>
      </c>
      <c r="G12" s="123">
        <v>5.9983000000000004</v>
      </c>
      <c r="H12" s="123">
        <v>1.216</v>
      </c>
      <c r="I12" s="124">
        <v>25.327000000000002</v>
      </c>
      <c r="J12" s="123">
        <v>1.2170000000000001</v>
      </c>
      <c r="K12" s="124">
        <v>25.324999999999999</v>
      </c>
      <c r="M12" s="113">
        <v>1.7196</v>
      </c>
      <c r="N12" s="113">
        <v>8.4828600000000005</v>
      </c>
      <c r="O12" s="106"/>
      <c r="P12" s="106"/>
      <c r="Q12" s="106"/>
      <c r="R12" s="106"/>
    </row>
    <row r="13">
      <c r="B13" s="128">
        <v>9</v>
      </c>
      <c r="C13" s="129">
        <v>30</v>
      </c>
      <c r="D13" s="129">
        <v>5</v>
      </c>
      <c r="E13" s="129">
        <v>23.094000000000001</v>
      </c>
      <c r="F13" s="130">
        <v>71.453999999999994</v>
      </c>
      <c r="G13" s="129">
        <v>5.9989999999999997</v>
      </c>
      <c r="H13" s="129">
        <v>1.0269999999999999</v>
      </c>
      <c r="I13" s="130">
        <v>27.254999999999999</v>
      </c>
      <c r="J13" s="129">
        <v>1.0269999999999999</v>
      </c>
      <c r="K13" s="130">
        <v>27.254000000000001</v>
      </c>
      <c r="M13" s="113">
        <v>1.4521999999999999</v>
      </c>
      <c r="N13" s="113">
        <v>8.4841999999999995</v>
      </c>
      <c r="O13" s="106"/>
      <c r="P13" s="106"/>
      <c r="Q13" s="106"/>
      <c r="R13" s="106"/>
    </row>
  </sheetData>
  <mergeCells count="5">
    <mergeCell ref="B2:B4"/>
    <mergeCell ref="C2:F2"/>
    <mergeCell ref="G2:I2"/>
    <mergeCell ref="J2:K2"/>
    <mergeCell ref="C4:D4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ONLYOFFICE/8.2.0.143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2024-11-08T05:49:53Z</dcterms:modified>
</cp:coreProperties>
</file>