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SingleFilePublish\"/>
    </mc:Choice>
  </mc:AlternateContent>
  <xr:revisionPtr revIDLastSave="0" documentId="13_ncr:40009_{E2AB4FE6-2C22-45DE-B31F-CF27A106428F}" xr6:coauthVersionLast="47" xr6:coauthVersionMax="47" xr10:uidLastSave="{00000000-0000-0000-0000-000000000000}"/>
  <bookViews>
    <workbookView xWindow="-120" yWindow="-120" windowWidth="29040" windowHeight="15720"/>
  </bookViews>
  <sheets>
    <sheet name="Result-220410201737" sheetId="1" r:id="rId1"/>
  </sheets>
  <calcPr calcId="0"/>
</workbook>
</file>

<file path=xl/calcChain.xml><?xml version="1.0" encoding="utf-8"?>
<calcChain xmlns="http://schemas.openxmlformats.org/spreadsheetml/2006/main">
  <c r="AJ8" i="1" l="1"/>
  <c r="AK9" i="1"/>
  <c r="AI10" i="1"/>
  <c r="AJ4" i="1"/>
  <c r="AI7" i="1"/>
  <c r="AI11" i="1"/>
  <c r="Q2" i="1"/>
  <c r="R2" i="1"/>
  <c r="S2" i="1"/>
  <c r="T2" i="1"/>
  <c r="U2" i="1"/>
  <c r="V2" i="1"/>
  <c r="X3" i="1"/>
  <c r="Y3" i="1"/>
  <c r="Z3" i="1"/>
  <c r="AA3" i="1"/>
  <c r="AB3" i="1"/>
  <c r="AC3" i="1"/>
  <c r="AD3" i="1"/>
  <c r="AE3" i="1"/>
  <c r="AF3" i="1"/>
  <c r="AG3" i="1"/>
  <c r="AI3" i="1"/>
  <c r="AL3" i="1"/>
  <c r="AM3" i="1"/>
  <c r="AN3" i="1"/>
  <c r="AO3" i="1"/>
  <c r="AP3" i="1"/>
  <c r="AQ3" i="1"/>
  <c r="X4" i="1"/>
  <c r="Y4" i="1"/>
  <c r="Z4" i="1"/>
  <c r="AA4" i="1"/>
  <c r="AB4" i="1"/>
  <c r="AC4" i="1"/>
  <c r="AD4" i="1"/>
  <c r="AE4" i="1"/>
  <c r="AF4" i="1"/>
  <c r="AG4" i="1"/>
  <c r="AI4" i="1"/>
  <c r="AL4" i="1"/>
  <c r="AM4" i="1"/>
  <c r="AN4" i="1"/>
  <c r="AO4" i="1"/>
  <c r="AP4" i="1"/>
  <c r="AQ4" i="1"/>
  <c r="X5" i="1"/>
  <c r="Y5" i="1"/>
  <c r="Z5" i="1"/>
  <c r="AA5" i="1"/>
  <c r="AB5" i="1"/>
  <c r="AC5" i="1"/>
  <c r="AD5" i="1"/>
  <c r="AE5" i="1"/>
  <c r="AF5" i="1"/>
  <c r="AG5" i="1"/>
  <c r="AL5" i="1"/>
  <c r="AM5" i="1"/>
  <c r="AN5" i="1"/>
  <c r="AO5" i="1"/>
  <c r="AP5" i="1"/>
  <c r="AQ5" i="1"/>
  <c r="X6" i="1"/>
  <c r="Y6" i="1"/>
  <c r="Z6" i="1"/>
  <c r="AA6" i="1"/>
  <c r="AB6" i="1"/>
  <c r="AC6" i="1"/>
  <c r="AD6" i="1"/>
  <c r="AE6" i="1"/>
  <c r="AF6" i="1"/>
  <c r="AG6" i="1"/>
  <c r="AI6" i="1"/>
  <c r="AJ6" i="1"/>
  <c r="AL6" i="1"/>
  <c r="AM6" i="1"/>
  <c r="AN6" i="1"/>
  <c r="AO6" i="1"/>
  <c r="AP6" i="1"/>
  <c r="AQ6" i="1"/>
  <c r="X7" i="1"/>
  <c r="Y7" i="1"/>
  <c r="Z7" i="1"/>
  <c r="AA7" i="1"/>
  <c r="AB7" i="1"/>
  <c r="AC7" i="1"/>
  <c r="AD7" i="1"/>
  <c r="AE7" i="1"/>
  <c r="AF7" i="1"/>
  <c r="AG7" i="1"/>
  <c r="AL7" i="1"/>
  <c r="AM7" i="1"/>
  <c r="AN7" i="1"/>
  <c r="AO7" i="1"/>
  <c r="AP7" i="1"/>
  <c r="AQ7" i="1"/>
  <c r="X8" i="1"/>
  <c r="Y8" i="1"/>
  <c r="Z8" i="1"/>
  <c r="AA8" i="1"/>
  <c r="AB8" i="1"/>
  <c r="AC8" i="1"/>
  <c r="AD8" i="1"/>
  <c r="AE8" i="1"/>
  <c r="AF8" i="1"/>
  <c r="AG8" i="1"/>
  <c r="AI8" i="1"/>
  <c r="AL8" i="1"/>
  <c r="AM8" i="1"/>
  <c r="AN8" i="1"/>
  <c r="AO8" i="1"/>
  <c r="AP8" i="1"/>
  <c r="AQ8" i="1"/>
  <c r="X9" i="1"/>
  <c r="Y9" i="1"/>
  <c r="Z9" i="1"/>
  <c r="AA9" i="1"/>
  <c r="AB9" i="1"/>
  <c r="AC9" i="1"/>
  <c r="AD9" i="1"/>
  <c r="AE9" i="1"/>
  <c r="AF9" i="1"/>
  <c r="AG9" i="1"/>
  <c r="AJ9" i="1"/>
  <c r="AL9" i="1"/>
  <c r="AM9" i="1"/>
  <c r="AN9" i="1"/>
  <c r="AO9" i="1"/>
  <c r="AP9" i="1"/>
  <c r="AQ9" i="1"/>
  <c r="X10" i="1"/>
  <c r="Y10" i="1"/>
  <c r="Z10" i="1"/>
  <c r="AA10" i="1"/>
  <c r="AB10" i="1"/>
  <c r="AC10" i="1"/>
  <c r="AD10" i="1"/>
  <c r="AE10" i="1"/>
  <c r="AF10" i="1"/>
  <c r="AG10" i="1"/>
  <c r="AL10" i="1"/>
  <c r="AM10" i="1"/>
  <c r="AN10" i="1"/>
  <c r="AO10" i="1"/>
  <c r="AP10" i="1"/>
  <c r="AQ10" i="1"/>
  <c r="X11" i="1"/>
  <c r="Y11" i="1"/>
  <c r="Z11" i="1"/>
  <c r="AA11" i="1"/>
  <c r="AB11" i="1"/>
  <c r="AC11" i="1"/>
  <c r="AD11" i="1"/>
  <c r="AE11" i="1"/>
  <c r="AF11" i="1"/>
  <c r="AG11" i="1"/>
  <c r="AJ11" i="1"/>
  <c r="AK11" i="1"/>
  <c r="AL11" i="1"/>
  <c r="AM11" i="1"/>
  <c r="AN11" i="1"/>
  <c r="AO11" i="1"/>
  <c r="AP11" i="1"/>
  <c r="AQ11" i="1"/>
  <c r="X12" i="1"/>
  <c r="Y12" i="1"/>
  <c r="Z12" i="1"/>
  <c r="AA12" i="1"/>
  <c r="AB12" i="1"/>
  <c r="AC12" i="1"/>
  <c r="AD12" i="1"/>
  <c r="AE12" i="1"/>
  <c r="AF12" i="1"/>
  <c r="AG12" i="1"/>
  <c r="AJ12" i="1"/>
  <c r="AL12" i="1"/>
  <c r="AM12" i="1"/>
  <c r="AN12" i="1"/>
  <c r="AO12" i="1"/>
  <c r="AP12" i="1"/>
  <c r="AQ12" i="1"/>
  <c r="X13" i="1"/>
  <c r="Y13" i="1"/>
  <c r="Z13" i="1"/>
  <c r="AA13" i="1"/>
  <c r="AB13" i="1"/>
  <c r="AC13" i="1"/>
  <c r="AD13" i="1"/>
  <c r="AE13" i="1"/>
  <c r="AF13" i="1"/>
  <c r="AG13" i="1"/>
  <c r="AI13" i="1"/>
  <c r="AJ13" i="1"/>
  <c r="AK13" i="1"/>
  <c r="AL13" i="1"/>
  <c r="AM13" i="1"/>
  <c r="AN13" i="1"/>
  <c r="AO13" i="1"/>
  <c r="AP13" i="1"/>
  <c r="AQ13" i="1"/>
  <c r="W4" i="1"/>
  <c r="W5" i="1"/>
  <c r="W6" i="1"/>
  <c r="W7" i="1"/>
  <c r="W8" i="1"/>
  <c r="W9" i="1"/>
  <c r="W10" i="1"/>
  <c r="W11" i="1"/>
  <c r="W12" i="1"/>
  <c r="W13" i="1"/>
  <c r="W3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Q13" i="1"/>
  <c r="R13" i="1"/>
  <c r="S13" i="1"/>
  <c r="T13" i="1"/>
  <c r="U13" i="1"/>
  <c r="V13" i="1"/>
  <c r="AI9" i="1" l="1"/>
  <c r="AK7" i="1"/>
  <c r="AK12" i="1"/>
  <c r="AJ7" i="1"/>
  <c r="AK5" i="1"/>
  <c r="AI12" i="1"/>
  <c r="AK10" i="1"/>
  <c r="AJ5" i="1"/>
  <c r="AJ10" i="1"/>
  <c r="AI5" i="1"/>
  <c r="AK3" i="1"/>
  <c r="AK8" i="1"/>
  <c r="AJ3" i="1"/>
  <c r="AK6" i="1"/>
  <c r="AK4" i="1"/>
  <c r="AH5" i="1"/>
  <c r="AH8" i="1"/>
  <c r="AH11" i="1"/>
  <c r="AH12" i="1"/>
  <c r="AH9" i="1"/>
  <c r="AH6" i="1"/>
  <c r="AH3" i="1"/>
  <c r="AH13" i="1"/>
  <c r="AH10" i="1"/>
  <c r="AH7" i="1"/>
  <c r="AH4" i="1"/>
</calcChain>
</file>

<file path=xl/sharedStrings.xml><?xml version="1.0" encoding="utf-8"?>
<sst xmlns="http://schemas.openxmlformats.org/spreadsheetml/2006/main" count="55" uniqueCount="34">
  <si>
    <t>项目</t>
  </si>
  <si>
    <t>发布耗时(s)</t>
  </si>
  <si>
    <t>目录大小(mb)</t>
  </si>
  <si>
    <t>程序大小</t>
  </si>
  <si>
    <t>启动耗时</t>
  </si>
  <si>
    <t>应用启动耗时</t>
  </si>
  <si>
    <t>应用启动内存</t>
  </si>
  <si>
    <t>压测QPS</t>
  </si>
  <si>
    <t>压测耗时-最大(ms)</t>
  </si>
  <si>
    <t>压测耗时-平均</t>
  </si>
  <si>
    <t>压测耗时-最小</t>
  </si>
  <si>
    <t>单次请求耗时-最大</t>
  </si>
  <si>
    <t>单次请求耗时-平均</t>
  </si>
  <si>
    <t>单次请求耗时-最小</t>
  </si>
  <si>
    <t>单次请求耗时-95%</t>
  </si>
  <si>
    <t>单次请求耗时-99%</t>
  </si>
  <si>
    <t>压测内存-最大</t>
  </si>
  <si>
    <t>压测内存-平均</t>
  </si>
  <si>
    <t>压测内存-最小</t>
  </si>
  <si>
    <t>压测CPU-最大</t>
  </si>
  <si>
    <t>压测CPU-平均</t>
  </si>
  <si>
    <t>压测CPU-最小</t>
  </si>
  <si>
    <t>Normal</t>
  </si>
  <si>
    <t>Normal-WksGC</t>
  </si>
  <si>
    <t>Normal_PGO</t>
  </si>
  <si>
    <t>Normal_PGO_OSR</t>
  </si>
  <si>
    <t>Normal_PGO_OSR_OSA</t>
  </si>
  <si>
    <t>SingleFilePublish</t>
  </si>
  <si>
    <t>SingleFilePublish-SelfContained</t>
  </si>
  <si>
    <t>SingleFilePublish-SelfContained-Trim</t>
  </si>
  <si>
    <t>SingleFilePublish-SelfContained-Compress</t>
  </si>
  <si>
    <t>SingleFilePublish-SelfContained-Trim-Compress</t>
  </si>
  <si>
    <t>AOT-Size</t>
  </si>
  <si>
    <t>AOT-Speed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</si>
</sst>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10" xfId="0" applyNumberFormat="1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N18" sqref="N18"/>
    </sheetView>
  </sheetViews>
  <sheetFormatPr defaultRowHeight="14.25" x14ac:dyDescent="0.2"/>
  <cols>
    <col min="12" max="12" width="18.5" customWidth="1"/>
    <col min="13" max="13" width="17.125" customWidth="1"/>
    <col min="14" max="14" width="17.25" customWidth="1"/>
    <col min="15" max="15" width="17" customWidth="1"/>
    <col min="16" max="16" width="16.625" customWidth="1"/>
    <col min="35" max="35" width="10.62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</row>
    <row r="2" spans="1:49" x14ac:dyDescent="0.2">
      <c r="A2" t="s">
        <v>22</v>
      </c>
      <c r="B2">
        <f>1.67</f>
        <v>1.67</v>
      </c>
      <c r="C2">
        <f t="shared" ref="C2:C7" si="0">0.18</f>
        <v>0.18</v>
      </c>
      <c r="D2">
        <f t="shared" ref="D2:D7" si="1">0.16</f>
        <v>0.16</v>
      </c>
      <c r="E2">
        <f>38</f>
        <v>38</v>
      </c>
      <c r="F2">
        <f>194.4</f>
        <v>194.4</v>
      </c>
      <c r="G2">
        <f>14.44</f>
        <v>14.44</v>
      </c>
      <c r="H2">
        <f>48607.06</f>
        <v>48607.06</v>
      </c>
      <c r="I2">
        <f>4156</f>
        <v>4156</v>
      </c>
      <c r="J2">
        <f>4114.8</f>
        <v>4114.8</v>
      </c>
      <c r="K2">
        <f>4073</f>
        <v>4073</v>
      </c>
      <c r="L2">
        <f>564.6</f>
        <v>564.6</v>
      </c>
      <c r="M2" s="2">
        <v>0.33</v>
      </c>
      <c r="N2" s="2">
        <v>0</v>
      </c>
      <c r="O2" s="2">
        <v>0</v>
      </c>
      <c r="P2" s="2">
        <v>3</v>
      </c>
      <c r="Q2">
        <f>28.1</f>
        <v>28.1</v>
      </c>
      <c r="R2">
        <f>24.53</f>
        <v>24.53</v>
      </c>
      <c r="S2">
        <f>13.12</f>
        <v>13.12</v>
      </c>
      <c r="T2">
        <f>490.24</f>
        <v>490.24</v>
      </c>
      <c r="U2">
        <f>337.89</f>
        <v>337.89</v>
      </c>
      <c r="V2">
        <f>24.06</f>
        <v>24.06</v>
      </c>
    </row>
    <row r="3" spans="1:49" x14ac:dyDescent="0.2">
      <c r="A3" t="s">
        <v>23</v>
      </c>
      <c r="B3">
        <f>1.61</f>
        <v>1.61</v>
      </c>
      <c r="C3">
        <f t="shared" si="0"/>
        <v>0.18</v>
      </c>
      <c r="D3">
        <f t="shared" si="1"/>
        <v>0.16</v>
      </c>
      <c r="E3">
        <f>33.4</f>
        <v>33.4</v>
      </c>
      <c r="F3">
        <f>191</f>
        <v>191</v>
      </c>
      <c r="G3">
        <f>13.27</f>
        <v>13.27</v>
      </c>
      <c r="H3">
        <f>47911.35</f>
        <v>47911.35</v>
      </c>
      <c r="I3">
        <f>4321</f>
        <v>4321</v>
      </c>
      <c r="J3">
        <f>4177.2</f>
        <v>4177.2</v>
      </c>
      <c r="K3">
        <f>4043</f>
        <v>4043</v>
      </c>
      <c r="L3">
        <f>463.6</f>
        <v>463.6</v>
      </c>
      <c r="M3" s="2">
        <v>0.28000000000000003</v>
      </c>
      <c r="N3" s="2">
        <v>0</v>
      </c>
      <c r="O3" s="2">
        <v>0</v>
      </c>
      <c r="P3" s="2">
        <v>3</v>
      </c>
      <c r="Q3">
        <f>26.22</f>
        <v>26.22</v>
      </c>
      <c r="R3">
        <f>23.68</f>
        <v>23.68</v>
      </c>
      <c r="S3">
        <f>11.96</f>
        <v>11.96</v>
      </c>
      <c r="T3">
        <f>490.39</f>
        <v>490.39</v>
      </c>
      <c r="U3">
        <f>342.4</f>
        <v>342.4</v>
      </c>
      <c r="V3">
        <f>24.12</f>
        <v>24.12</v>
      </c>
      <c r="W3" s="1">
        <f xml:space="preserve"> IF(B$2&gt;0,B3/B$2-1,0)</f>
        <v>-3.59281437125748E-2</v>
      </c>
      <c r="X3" s="1">
        <f t="shared" ref="X3:AW12" si="2" xml:space="preserve"> IF(C$2&gt;0,C3/C$2-1,0)</f>
        <v>0</v>
      </c>
      <c r="Y3" s="1">
        <f t="shared" si="2"/>
        <v>0</v>
      </c>
      <c r="Z3" s="1">
        <f t="shared" si="2"/>
        <v>-0.12105263157894741</v>
      </c>
      <c r="AA3" s="1">
        <f t="shared" si="2"/>
        <v>-1.7489711934156382E-2</v>
      </c>
      <c r="AB3" s="1">
        <f t="shared" si="2"/>
        <v>-8.1024930747922386E-2</v>
      </c>
      <c r="AC3" s="1">
        <f t="shared" si="2"/>
        <v>-1.4312941371068311E-2</v>
      </c>
      <c r="AD3" s="1">
        <f t="shared" si="2"/>
        <v>3.9701636188642864E-2</v>
      </c>
      <c r="AE3" s="1">
        <f t="shared" si="2"/>
        <v>1.516477107028269E-2</v>
      </c>
      <c r="AF3" s="1">
        <f t="shared" si="2"/>
        <v>-7.3655781978885226E-3</v>
      </c>
      <c r="AG3" s="1">
        <f t="shared" si="2"/>
        <v>-0.17888770811193766</v>
      </c>
      <c r="AH3" s="1">
        <f t="shared" si="2"/>
        <v>-0.15151515151515149</v>
      </c>
      <c r="AI3" s="1">
        <f t="shared" si="2"/>
        <v>0</v>
      </c>
      <c r="AJ3" s="1">
        <f t="shared" si="2"/>
        <v>0</v>
      </c>
      <c r="AK3" s="1">
        <f t="shared" si="2"/>
        <v>0</v>
      </c>
      <c r="AL3" s="1">
        <f t="shared" si="2"/>
        <v>-6.6903914590747404E-2</v>
      </c>
      <c r="AM3" s="1">
        <f t="shared" si="2"/>
        <v>-3.4651447207501129E-2</v>
      </c>
      <c r="AN3" s="1">
        <f t="shared" si="2"/>
        <v>-8.841463414634132E-2</v>
      </c>
      <c r="AO3" s="1">
        <f t="shared" si="2"/>
        <v>3.0597258485642875E-4</v>
      </c>
      <c r="AP3" s="1">
        <f t="shared" si="2"/>
        <v>1.3347539139956677E-2</v>
      </c>
      <c r="AQ3" s="1">
        <f t="shared" si="2"/>
        <v>2.4937655860350905E-3</v>
      </c>
      <c r="AR3" s="1"/>
      <c r="AS3" s="1"/>
      <c r="AT3" s="1"/>
      <c r="AU3" s="1"/>
      <c r="AV3" s="1"/>
      <c r="AW3" s="1"/>
    </row>
    <row r="4" spans="1:49" x14ac:dyDescent="0.2">
      <c r="A4" t="s">
        <v>24</v>
      </c>
      <c r="B4">
        <f>1.59</f>
        <v>1.59</v>
      </c>
      <c r="C4">
        <f t="shared" si="0"/>
        <v>0.18</v>
      </c>
      <c r="D4">
        <f t="shared" si="1"/>
        <v>0.16</v>
      </c>
      <c r="E4">
        <f>49.2</f>
        <v>49.2</v>
      </c>
      <c r="F4">
        <f>504.8</f>
        <v>504.8</v>
      </c>
      <c r="G4">
        <f>18.12</f>
        <v>18.12</v>
      </c>
      <c r="H4">
        <f>47990.07</f>
        <v>47990.07</v>
      </c>
      <c r="I4">
        <f>4355</f>
        <v>4355</v>
      </c>
      <c r="J4">
        <f>4171.2</f>
        <v>4171.2</v>
      </c>
      <c r="K4">
        <f>4003</f>
        <v>4003</v>
      </c>
      <c r="L4">
        <f>398.2</f>
        <v>398.2</v>
      </c>
      <c r="M4" s="2">
        <v>0.28000000000000003</v>
      </c>
      <c r="N4" s="2">
        <v>0</v>
      </c>
      <c r="O4" s="2">
        <v>0</v>
      </c>
      <c r="P4" s="2">
        <v>3.2</v>
      </c>
      <c r="Q4">
        <f>28.96</f>
        <v>28.96</v>
      </c>
      <c r="R4">
        <f>26.51</f>
        <v>26.51</v>
      </c>
      <c r="S4">
        <f>16.41</f>
        <v>16.41</v>
      </c>
      <c r="T4">
        <f>499.78</f>
        <v>499.78</v>
      </c>
      <c r="U4">
        <f>341.3</f>
        <v>341.3</v>
      </c>
      <c r="V4">
        <f>24.51</f>
        <v>24.51</v>
      </c>
      <c r="W4" s="1">
        <f t="shared" ref="W4:W13" si="3" xml:space="preserve"> IF(B$2&gt;0,B4/B$2-1,0)</f>
        <v>-4.7904191616766401E-2</v>
      </c>
      <c r="X4" s="1">
        <f t="shared" si="2"/>
        <v>0</v>
      </c>
      <c r="Y4" s="1">
        <f t="shared" si="2"/>
        <v>0</v>
      </c>
      <c r="Z4" s="1">
        <f t="shared" si="2"/>
        <v>0.29473684210526319</v>
      </c>
      <c r="AA4" s="1">
        <f t="shared" si="2"/>
        <v>1.596707818930041</v>
      </c>
      <c r="AB4" s="1">
        <f t="shared" si="2"/>
        <v>0.25484764542936289</v>
      </c>
      <c r="AC4" s="1">
        <f t="shared" si="2"/>
        <v>-1.2693423547937233E-2</v>
      </c>
      <c r="AD4" s="1">
        <f t="shared" si="2"/>
        <v>4.7882579403272452E-2</v>
      </c>
      <c r="AE4" s="1">
        <f t="shared" si="2"/>
        <v>1.3706620005832448E-2</v>
      </c>
      <c r="AF4" s="1">
        <f t="shared" si="2"/>
        <v>-1.7186349128406553E-2</v>
      </c>
      <c r="AG4" s="1">
        <f t="shared" si="2"/>
        <v>-0.2947219270279845</v>
      </c>
      <c r="AH4" s="1">
        <f t="shared" si="2"/>
        <v>-0.15151515151515149</v>
      </c>
      <c r="AI4" s="1">
        <f t="shared" si="2"/>
        <v>0</v>
      </c>
      <c r="AJ4" s="1">
        <f t="shared" si="2"/>
        <v>0</v>
      </c>
      <c r="AK4" s="1">
        <f t="shared" si="2"/>
        <v>6.6666666666666652E-2</v>
      </c>
      <c r="AL4" s="1">
        <f t="shared" si="2"/>
        <v>3.0604982206405618E-2</v>
      </c>
      <c r="AM4" s="1">
        <f t="shared" si="2"/>
        <v>8.0717488789237679E-2</v>
      </c>
      <c r="AN4" s="1">
        <f t="shared" si="2"/>
        <v>0.25076219512195141</v>
      </c>
      <c r="AO4" s="1">
        <f t="shared" si="2"/>
        <v>1.945985639686687E-2</v>
      </c>
      <c r="AP4" s="1">
        <f t="shared" si="2"/>
        <v>1.0092041788747785E-2</v>
      </c>
      <c r="AQ4" s="1">
        <f t="shared" si="2"/>
        <v>1.8703241895261957E-2</v>
      </c>
      <c r="AR4" s="1"/>
      <c r="AS4" s="1"/>
      <c r="AT4" s="1"/>
      <c r="AU4" s="1"/>
      <c r="AV4" s="1"/>
      <c r="AW4" s="1"/>
    </row>
    <row r="5" spans="1:49" x14ac:dyDescent="0.2">
      <c r="A5" t="s">
        <v>25</v>
      </c>
      <c r="B5">
        <f>1.6</f>
        <v>1.6</v>
      </c>
      <c r="C5">
        <f t="shared" si="0"/>
        <v>0.18</v>
      </c>
      <c r="D5">
        <f t="shared" si="1"/>
        <v>0.16</v>
      </c>
      <c r="E5">
        <f>50.2</f>
        <v>50.2</v>
      </c>
      <c r="F5">
        <f>516.8</f>
        <v>516.79999999999995</v>
      </c>
      <c r="G5">
        <f>18.31</f>
        <v>18.309999999999999</v>
      </c>
      <c r="H5">
        <f>47642.09</f>
        <v>47642.09</v>
      </c>
      <c r="I5">
        <f>4327</f>
        <v>4327</v>
      </c>
      <c r="J5">
        <f>4200.8</f>
        <v>4200.8</v>
      </c>
      <c r="K5">
        <f>4063</f>
        <v>4063</v>
      </c>
      <c r="L5">
        <f>510</f>
        <v>510</v>
      </c>
      <c r="M5" s="2">
        <v>0.26</v>
      </c>
      <c r="N5" s="2">
        <v>0</v>
      </c>
      <c r="O5" s="2">
        <v>0</v>
      </c>
      <c r="P5" s="2">
        <v>3</v>
      </c>
      <c r="Q5">
        <f>29.17</f>
        <v>29.17</v>
      </c>
      <c r="R5">
        <f>26.79</f>
        <v>26.79</v>
      </c>
      <c r="S5">
        <f>16.49</f>
        <v>16.489999999999998</v>
      </c>
      <c r="T5">
        <f>492.8</f>
        <v>492.8</v>
      </c>
      <c r="U5">
        <f>344.94</f>
        <v>344.94</v>
      </c>
      <c r="V5">
        <f>20</f>
        <v>20</v>
      </c>
      <c r="W5" s="1">
        <f t="shared" si="3"/>
        <v>-4.1916167664670545E-2</v>
      </c>
      <c r="X5" s="1">
        <f t="shared" si="2"/>
        <v>0</v>
      </c>
      <c r="Y5" s="1">
        <f t="shared" si="2"/>
        <v>0</v>
      </c>
      <c r="Z5" s="1">
        <f t="shared" si="2"/>
        <v>0.32105263157894748</v>
      </c>
      <c r="AA5" s="1">
        <f t="shared" si="2"/>
        <v>1.6584362139917692</v>
      </c>
      <c r="AB5" s="1">
        <f t="shared" si="2"/>
        <v>0.26800554016620493</v>
      </c>
      <c r="AC5" s="1">
        <f t="shared" si="2"/>
        <v>-1.9852465876356251E-2</v>
      </c>
      <c r="AD5" s="1">
        <f t="shared" si="2"/>
        <v>4.1145332050048111E-2</v>
      </c>
      <c r="AE5" s="1">
        <f t="shared" si="2"/>
        <v>2.0900165257120573E-2</v>
      </c>
      <c r="AF5" s="1">
        <f t="shared" si="2"/>
        <v>-2.4551927326295075E-3</v>
      </c>
      <c r="AG5" s="1">
        <f t="shared" si="2"/>
        <v>-9.6705632306057443E-2</v>
      </c>
      <c r="AH5" s="1">
        <f t="shared" si="2"/>
        <v>-0.21212121212121215</v>
      </c>
      <c r="AI5" s="1">
        <f t="shared" si="2"/>
        <v>0</v>
      </c>
      <c r="AJ5" s="1">
        <f t="shared" si="2"/>
        <v>0</v>
      </c>
      <c r="AK5" s="1">
        <f t="shared" si="2"/>
        <v>0</v>
      </c>
      <c r="AL5" s="1">
        <f t="shared" si="2"/>
        <v>3.8078291814946708E-2</v>
      </c>
      <c r="AM5" s="1">
        <f t="shared" si="2"/>
        <v>9.2132083163473322E-2</v>
      </c>
      <c r="AN5" s="1">
        <f t="shared" si="2"/>
        <v>0.25685975609756095</v>
      </c>
      <c r="AO5" s="1">
        <f t="shared" si="2"/>
        <v>5.2219321148825326E-3</v>
      </c>
      <c r="AP5" s="1">
        <f t="shared" si="2"/>
        <v>2.0864778478203005E-2</v>
      </c>
      <c r="AQ5" s="1">
        <f t="shared" si="2"/>
        <v>-0.16874480465502906</v>
      </c>
      <c r="AR5" s="1"/>
      <c r="AS5" s="1"/>
      <c r="AT5" s="1"/>
      <c r="AU5" s="1"/>
      <c r="AV5" s="1"/>
      <c r="AW5" s="1"/>
    </row>
    <row r="6" spans="1:49" x14ac:dyDescent="0.2">
      <c r="A6" t="s">
        <v>26</v>
      </c>
      <c r="B6">
        <f>1.64</f>
        <v>1.64</v>
      </c>
      <c r="C6">
        <f t="shared" si="0"/>
        <v>0.18</v>
      </c>
      <c r="D6">
        <f t="shared" si="1"/>
        <v>0.16</v>
      </c>
      <c r="E6">
        <f>49.6</f>
        <v>49.6</v>
      </c>
      <c r="F6">
        <f>513.4</f>
        <v>513.4</v>
      </c>
      <c r="G6">
        <f>18.35</f>
        <v>18.350000000000001</v>
      </c>
      <c r="H6">
        <f>47813.37</f>
        <v>47813.37</v>
      </c>
      <c r="I6">
        <f>4367</f>
        <v>4367</v>
      </c>
      <c r="J6">
        <f>4188</f>
        <v>4188</v>
      </c>
      <c r="K6">
        <f>4049</f>
        <v>4049</v>
      </c>
      <c r="L6">
        <f>523.6</f>
        <v>523.6</v>
      </c>
      <c r="M6" s="2">
        <v>0.28000000000000003</v>
      </c>
      <c r="N6" s="2">
        <v>0</v>
      </c>
      <c r="O6" s="2">
        <v>0</v>
      </c>
      <c r="P6" s="2">
        <v>3.2</v>
      </c>
      <c r="Q6">
        <f>28.76</f>
        <v>28.76</v>
      </c>
      <c r="R6">
        <f>25.77</f>
        <v>25.77</v>
      </c>
      <c r="S6">
        <f>16.56</f>
        <v>16.559999999999999</v>
      </c>
      <c r="T6">
        <f>491.26</f>
        <v>491.26</v>
      </c>
      <c r="U6">
        <f>347.91</f>
        <v>347.91</v>
      </c>
      <c r="V6">
        <f>24.52</f>
        <v>24.52</v>
      </c>
      <c r="W6" s="1">
        <f t="shared" si="3"/>
        <v>-1.7964071856287456E-2</v>
      </c>
      <c r="X6" s="1">
        <f t="shared" si="2"/>
        <v>0</v>
      </c>
      <c r="Y6" s="1">
        <f t="shared" si="2"/>
        <v>0</v>
      </c>
      <c r="Z6" s="1">
        <f t="shared" si="2"/>
        <v>0.3052631578947369</v>
      </c>
      <c r="AA6" s="1">
        <f t="shared" si="2"/>
        <v>1.6409465020576128</v>
      </c>
      <c r="AB6" s="1">
        <f t="shared" si="2"/>
        <v>0.2707756232686982</v>
      </c>
      <c r="AC6" s="1">
        <f t="shared" si="2"/>
        <v>-1.6328697929889113E-2</v>
      </c>
      <c r="AD6" s="1">
        <f t="shared" si="2"/>
        <v>5.0769971126082725E-2</v>
      </c>
      <c r="AE6" s="1">
        <f t="shared" si="2"/>
        <v>1.7789442986293258E-2</v>
      </c>
      <c r="AF6" s="1">
        <f t="shared" si="2"/>
        <v>-5.8924625583107737E-3</v>
      </c>
      <c r="AG6" s="1">
        <f t="shared" si="2"/>
        <v>-7.2617782500885575E-2</v>
      </c>
      <c r="AH6" s="1">
        <f t="shared" si="2"/>
        <v>-0.15151515151515149</v>
      </c>
      <c r="AI6" s="1">
        <f t="shared" si="2"/>
        <v>0</v>
      </c>
      <c r="AJ6" s="1">
        <f t="shared" si="2"/>
        <v>0</v>
      </c>
      <c r="AK6" s="1">
        <f t="shared" si="2"/>
        <v>6.6666666666666652E-2</v>
      </c>
      <c r="AL6" s="1">
        <f t="shared" si="2"/>
        <v>2.3487544483985712E-2</v>
      </c>
      <c r="AM6" s="1">
        <f t="shared" si="2"/>
        <v>5.05503465144721E-2</v>
      </c>
      <c r="AN6" s="1">
        <f t="shared" si="2"/>
        <v>0.26219512195121952</v>
      </c>
      <c r="AO6" s="1">
        <f t="shared" si="2"/>
        <v>2.0806135770234935E-3</v>
      </c>
      <c r="AP6" s="1">
        <f t="shared" si="2"/>
        <v>2.9654621326467234E-2</v>
      </c>
      <c r="AQ6" s="1">
        <f t="shared" si="2"/>
        <v>1.9118869492934287E-2</v>
      </c>
      <c r="AR6" s="1"/>
      <c r="AS6" s="1"/>
      <c r="AT6" s="1"/>
      <c r="AU6" s="1"/>
      <c r="AV6" s="1"/>
      <c r="AW6" s="1"/>
    </row>
    <row r="7" spans="1:49" x14ac:dyDescent="0.2">
      <c r="A7" t="s">
        <v>27</v>
      </c>
      <c r="B7">
        <f>1.62</f>
        <v>1.62</v>
      </c>
      <c r="C7">
        <f t="shared" si="0"/>
        <v>0.18</v>
      </c>
      <c r="D7">
        <f t="shared" si="1"/>
        <v>0.16</v>
      </c>
      <c r="E7">
        <f>37</f>
        <v>37</v>
      </c>
      <c r="F7">
        <f>196.4</f>
        <v>196.4</v>
      </c>
      <c r="G7">
        <f>14.49</f>
        <v>14.49</v>
      </c>
      <c r="H7">
        <f>47039.22</f>
        <v>47039.22</v>
      </c>
      <c r="I7">
        <f>4465</f>
        <v>4465</v>
      </c>
      <c r="J7">
        <f>4256.2</f>
        <v>4256.2</v>
      </c>
      <c r="K7">
        <f>4094</f>
        <v>4094</v>
      </c>
      <c r="L7">
        <f>451.8</f>
        <v>451.8</v>
      </c>
      <c r="M7" s="2">
        <v>0.32</v>
      </c>
      <c r="N7" s="2">
        <v>0</v>
      </c>
      <c r="O7" s="2">
        <v>0</v>
      </c>
      <c r="P7" s="2">
        <v>3.2</v>
      </c>
      <c r="Q7">
        <f>26.89</f>
        <v>26.89</v>
      </c>
      <c r="R7">
        <f>24.03</f>
        <v>24.03</v>
      </c>
      <c r="S7">
        <f>13.03</f>
        <v>13.03</v>
      </c>
      <c r="T7">
        <f>490.97</f>
        <v>490.97</v>
      </c>
      <c r="U7">
        <f>340.23</f>
        <v>340.23</v>
      </c>
      <c r="V7">
        <f>22.32</f>
        <v>22.32</v>
      </c>
      <c r="W7" s="1">
        <f t="shared" si="3"/>
        <v>-2.9940119760478945E-2</v>
      </c>
      <c r="X7" s="1">
        <f t="shared" si="2"/>
        <v>0</v>
      </c>
      <c r="Y7" s="1">
        <f t="shared" si="2"/>
        <v>0</v>
      </c>
      <c r="Z7" s="1">
        <f t="shared" si="2"/>
        <v>-2.6315789473684181E-2</v>
      </c>
      <c r="AA7" s="1">
        <f t="shared" si="2"/>
        <v>1.0288065843621297E-2</v>
      </c>
      <c r="AB7" s="1">
        <f t="shared" si="2"/>
        <v>3.462603878116477E-3</v>
      </c>
      <c r="AC7" s="1">
        <f t="shared" si="2"/>
        <v>-3.2255396644026546E-2</v>
      </c>
      <c r="AD7" s="1">
        <f t="shared" si="2"/>
        <v>7.4350336862367694E-2</v>
      </c>
      <c r="AE7" s="1">
        <f t="shared" si="2"/>
        <v>3.436376008554487E-2</v>
      </c>
      <c r="AF7" s="1">
        <f t="shared" si="2"/>
        <v>5.1559047385218992E-3</v>
      </c>
      <c r="AG7" s="1">
        <f t="shared" si="2"/>
        <v>-0.19978746014877791</v>
      </c>
      <c r="AH7" s="1">
        <f t="shared" si="2"/>
        <v>-3.0303030303030276E-2</v>
      </c>
      <c r="AI7" s="1">
        <f t="shared" si="2"/>
        <v>0</v>
      </c>
      <c r="AJ7" s="1">
        <f t="shared" si="2"/>
        <v>0</v>
      </c>
      <c r="AK7" s="1">
        <f t="shared" si="2"/>
        <v>6.6666666666666652E-2</v>
      </c>
      <c r="AL7" s="1">
        <f t="shared" si="2"/>
        <v>-4.3060498220640619E-2</v>
      </c>
      <c r="AM7" s="1">
        <f t="shared" si="2"/>
        <v>-2.0383204239706521E-2</v>
      </c>
      <c r="AN7" s="1">
        <f t="shared" si="2"/>
        <v>-6.8597560975609539E-3</v>
      </c>
      <c r="AO7" s="1">
        <f t="shared" si="2"/>
        <v>1.4890665796345459E-3</v>
      </c>
      <c r="AP7" s="1">
        <f t="shared" si="2"/>
        <v>6.9253307289356414E-3</v>
      </c>
      <c r="AQ7" s="1">
        <f t="shared" si="2"/>
        <v>-7.2319201995012405E-2</v>
      </c>
      <c r="AR7" s="1"/>
      <c r="AS7" s="1"/>
      <c r="AT7" s="1"/>
      <c r="AU7" s="1"/>
      <c r="AV7" s="1"/>
      <c r="AW7" s="1"/>
    </row>
    <row r="8" spans="1:49" x14ac:dyDescent="0.2">
      <c r="A8" t="s">
        <v>28</v>
      </c>
      <c r="B8">
        <f>2.71</f>
        <v>2.71</v>
      </c>
      <c r="C8">
        <f>86.46</f>
        <v>86.46</v>
      </c>
      <c r="D8">
        <f>86.44</f>
        <v>86.44</v>
      </c>
      <c r="E8">
        <f>48.2</f>
        <v>48.2</v>
      </c>
      <c r="F8">
        <f>230.4</f>
        <v>230.4</v>
      </c>
      <c r="G8">
        <f>13.77</f>
        <v>13.77</v>
      </c>
      <c r="H8">
        <f>47769.89</f>
        <v>47769.89</v>
      </c>
      <c r="I8">
        <f>4369</f>
        <v>4369</v>
      </c>
      <c r="J8">
        <f>4190.2</f>
        <v>4190.2</v>
      </c>
      <c r="K8">
        <f>4086</f>
        <v>4086</v>
      </c>
      <c r="L8">
        <f>388.6</f>
        <v>388.6</v>
      </c>
      <c r="M8" s="2">
        <v>0.28000000000000003</v>
      </c>
      <c r="N8" s="2">
        <v>0</v>
      </c>
      <c r="O8" s="2">
        <v>0</v>
      </c>
      <c r="P8" s="2">
        <v>3.2</v>
      </c>
      <c r="Q8">
        <f>25.49</f>
        <v>25.49</v>
      </c>
      <c r="R8">
        <f>23.02</f>
        <v>23.02</v>
      </c>
      <c r="S8">
        <f>12.5</f>
        <v>12.5</v>
      </c>
      <c r="T8">
        <f>490.41</f>
        <v>490.41</v>
      </c>
      <c r="U8">
        <f>342.09</f>
        <v>342.09</v>
      </c>
      <c r="V8">
        <f>24.51</f>
        <v>24.51</v>
      </c>
      <c r="W8" s="1">
        <f t="shared" si="3"/>
        <v>0.6227544910179641</v>
      </c>
      <c r="X8" s="1">
        <f t="shared" si="2"/>
        <v>479.33333333333331</v>
      </c>
      <c r="Y8" s="1">
        <f t="shared" si="2"/>
        <v>539.25</v>
      </c>
      <c r="Z8" s="1">
        <f t="shared" si="2"/>
        <v>0.26842105263157912</v>
      </c>
      <c r="AA8" s="1">
        <f t="shared" si="2"/>
        <v>0.18518518518518512</v>
      </c>
      <c r="AB8" s="1">
        <f t="shared" si="2"/>
        <v>-4.6398891966758948E-2</v>
      </c>
      <c r="AC8" s="1">
        <f t="shared" si="2"/>
        <v>-1.7223218190937639E-2</v>
      </c>
      <c r="AD8" s="1">
        <f t="shared" si="2"/>
        <v>5.12512030798844E-2</v>
      </c>
      <c r="AE8" s="1">
        <f t="shared" si="2"/>
        <v>1.8324098376591769E-2</v>
      </c>
      <c r="AF8" s="1">
        <f t="shared" si="2"/>
        <v>3.191750552418382E-3</v>
      </c>
      <c r="AG8" s="1">
        <f t="shared" si="2"/>
        <v>-0.31172511512575274</v>
      </c>
      <c r="AH8" s="1">
        <f t="shared" si="2"/>
        <v>-0.15151515151515149</v>
      </c>
      <c r="AI8" s="1">
        <f t="shared" si="2"/>
        <v>0</v>
      </c>
      <c r="AJ8" s="1">
        <f t="shared" si="2"/>
        <v>0</v>
      </c>
      <c r="AK8" s="1">
        <f t="shared" si="2"/>
        <v>6.6666666666666652E-2</v>
      </c>
      <c r="AL8" s="1">
        <f t="shared" si="2"/>
        <v>-9.2882562277580183E-2</v>
      </c>
      <c r="AM8" s="1">
        <f t="shared" si="2"/>
        <v>-6.1557276803913652E-2</v>
      </c>
      <c r="AN8" s="1">
        <f t="shared" si="2"/>
        <v>-4.7256097560975596E-2</v>
      </c>
      <c r="AO8" s="1">
        <f t="shared" si="2"/>
        <v>3.467689295040266E-4</v>
      </c>
      <c r="AP8" s="1">
        <f t="shared" si="2"/>
        <v>1.24300807955251E-2</v>
      </c>
      <c r="AQ8" s="1">
        <f t="shared" si="2"/>
        <v>1.8703241895261957E-2</v>
      </c>
      <c r="AR8" s="1"/>
      <c r="AS8" s="1"/>
      <c r="AT8" s="1"/>
      <c r="AU8" s="1"/>
      <c r="AV8" s="1"/>
      <c r="AW8" s="1"/>
    </row>
    <row r="9" spans="1:49" x14ac:dyDescent="0.2">
      <c r="A9" t="s">
        <v>29</v>
      </c>
      <c r="B9">
        <f>12.6</f>
        <v>12.6</v>
      </c>
      <c r="C9">
        <f>37.32</f>
        <v>37.32</v>
      </c>
      <c r="D9">
        <f>37.3</f>
        <v>37.299999999999997</v>
      </c>
      <c r="E9">
        <f>39.4</f>
        <v>39.4</v>
      </c>
      <c r="F9">
        <f>610</f>
        <v>610</v>
      </c>
      <c r="G9">
        <f>15.73</f>
        <v>15.73</v>
      </c>
      <c r="H9">
        <f>48792.86</f>
        <v>48792.86</v>
      </c>
      <c r="I9">
        <f>4119</f>
        <v>4119</v>
      </c>
      <c r="J9">
        <f>4099</f>
        <v>4099</v>
      </c>
      <c r="K9">
        <f>4080</f>
        <v>4080</v>
      </c>
      <c r="L9">
        <f>401.8</f>
        <v>401.8</v>
      </c>
      <c r="M9" s="2">
        <v>0.27</v>
      </c>
      <c r="N9" s="2">
        <v>0</v>
      </c>
      <c r="O9" s="2">
        <v>0</v>
      </c>
      <c r="P9" s="2">
        <v>3</v>
      </c>
      <c r="Q9">
        <f>26.41</f>
        <v>26.41</v>
      </c>
      <c r="R9">
        <f>24.32</f>
        <v>24.32</v>
      </c>
      <c r="S9">
        <f>14.08</f>
        <v>14.08</v>
      </c>
      <c r="T9">
        <f>490.82</f>
        <v>490.82</v>
      </c>
      <c r="U9">
        <f>338.95</f>
        <v>338.95</v>
      </c>
      <c r="V9">
        <f>19.92</f>
        <v>19.920000000000002</v>
      </c>
      <c r="W9" s="1">
        <f t="shared" si="3"/>
        <v>6.544910179640719</v>
      </c>
      <c r="X9" s="1">
        <f t="shared" si="2"/>
        <v>206.33333333333334</v>
      </c>
      <c r="Y9" s="1">
        <f t="shared" si="2"/>
        <v>232.12499999999997</v>
      </c>
      <c r="Z9" s="1">
        <f t="shared" si="2"/>
        <v>3.6842105263157787E-2</v>
      </c>
      <c r="AA9" s="1">
        <f t="shared" si="2"/>
        <v>2.1378600823045266</v>
      </c>
      <c r="AB9" s="1">
        <f t="shared" si="2"/>
        <v>8.9335180055401642E-2</v>
      </c>
      <c r="AC9" s="1">
        <f t="shared" si="2"/>
        <v>3.8224899839653936E-3</v>
      </c>
      <c r="AD9" s="1">
        <f t="shared" si="2"/>
        <v>-8.9027911453321007E-3</v>
      </c>
      <c r="AE9" s="1">
        <f t="shared" si="2"/>
        <v>-3.839797803052436E-3</v>
      </c>
      <c r="AF9" s="1">
        <f t="shared" si="2"/>
        <v>1.7186349128406331E-3</v>
      </c>
      <c r="AG9" s="1">
        <f t="shared" si="2"/>
        <v>-0.28834573149132126</v>
      </c>
      <c r="AH9" s="1">
        <f t="shared" si="2"/>
        <v>-0.18181818181818177</v>
      </c>
      <c r="AI9" s="1">
        <f t="shared" si="2"/>
        <v>0</v>
      </c>
      <c r="AJ9" s="1">
        <f t="shared" si="2"/>
        <v>0</v>
      </c>
      <c r="AK9" s="1">
        <f t="shared" si="2"/>
        <v>0</v>
      </c>
      <c r="AL9" s="1">
        <f t="shared" si="2"/>
        <v>-6.014234875444846E-2</v>
      </c>
      <c r="AM9" s="1">
        <f t="shared" si="2"/>
        <v>-8.5609457806767875E-3</v>
      </c>
      <c r="AN9" s="1">
        <f t="shared" si="2"/>
        <v>7.3170731707317138E-2</v>
      </c>
      <c r="AO9" s="1">
        <f t="shared" si="2"/>
        <v>1.1830939947781172E-3</v>
      </c>
      <c r="AP9" s="1">
        <f t="shared" si="2"/>
        <v>3.1371156293469316E-3</v>
      </c>
      <c r="AQ9" s="1">
        <f t="shared" si="2"/>
        <v>-0.17206982543640881</v>
      </c>
      <c r="AR9" s="1"/>
      <c r="AS9" s="1"/>
      <c r="AT9" s="1"/>
      <c r="AU9" s="1"/>
      <c r="AV9" s="1"/>
      <c r="AW9" s="1"/>
    </row>
    <row r="10" spans="1:49" x14ac:dyDescent="0.2">
      <c r="A10" t="s">
        <v>30</v>
      </c>
      <c r="B10">
        <f>4.52</f>
        <v>4.5199999999999996</v>
      </c>
      <c r="C10">
        <f>44.84</f>
        <v>44.84</v>
      </c>
      <c r="D10">
        <f>44.82</f>
        <v>44.82</v>
      </c>
      <c r="E10">
        <f>170.6</f>
        <v>170.6</v>
      </c>
      <c r="F10">
        <f>501.8</f>
        <v>501.8</v>
      </c>
      <c r="G10">
        <f>13.93</f>
        <v>13.93</v>
      </c>
      <c r="H10">
        <f>48526.08</f>
        <v>48526.080000000002</v>
      </c>
      <c r="I10">
        <f>4184</f>
        <v>4184</v>
      </c>
      <c r="J10">
        <f>4121.8</f>
        <v>4121.8</v>
      </c>
      <c r="K10">
        <f>4078</f>
        <v>4078</v>
      </c>
      <c r="L10">
        <f>388.4</f>
        <v>388.4</v>
      </c>
      <c r="M10" s="2">
        <v>0.26</v>
      </c>
      <c r="N10" s="2">
        <v>0</v>
      </c>
      <c r="O10" s="2">
        <v>0</v>
      </c>
      <c r="P10" s="2">
        <v>3</v>
      </c>
      <c r="Q10">
        <f>25.84</f>
        <v>25.84</v>
      </c>
      <c r="R10">
        <f>23.36</f>
        <v>23.36</v>
      </c>
      <c r="S10">
        <f>12.64</f>
        <v>12.64</v>
      </c>
      <c r="T10">
        <f>492.31</f>
        <v>492.31</v>
      </c>
      <c r="U10">
        <f>339.27</f>
        <v>339.27</v>
      </c>
      <c r="V10">
        <f>24.53</f>
        <v>24.53</v>
      </c>
      <c r="W10" s="1">
        <f t="shared" si="3"/>
        <v>1.7065868263473054</v>
      </c>
      <c r="X10" s="1">
        <f t="shared" si="2"/>
        <v>248.11111111111114</v>
      </c>
      <c r="Y10" s="1">
        <f t="shared" si="2"/>
        <v>279.125</v>
      </c>
      <c r="Z10" s="1">
        <f t="shared" si="2"/>
        <v>3.4894736842105258</v>
      </c>
      <c r="AA10" s="1">
        <f t="shared" si="2"/>
        <v>1.581275720164609</v>
      </c>
      <c r="AB10" s="1">
        <f t="shared" si="2"/>
        <v>-3.5318559556786644E-2</v>
      </c>
      <c r="AC10" s="1">
        <f t="shared" si="2"/>
        <v>-1.666013126488175E-3</v>
      </c>
      <c r="AD10" s="1">
        <f t="shared" si="2"/>
        <v>6.7372473532243404E-3</v>
      </c>
      <c r="AE10" s="1">
        <f t="shared" si="2"/>
        <v>1.7011762418586152E-3</v>
      </c>
      <c r="AF10" s="1">
        <f t="shared" si="2"/>
        <v>1.2275963663148648E-3</v>
      </c>
      <c r="AG10" s="1">
        <f t="shared" si="2"/>
        <v>-0.31207934821112304</v>
      </c>
      <c r="AH10" s="1">
        <f t="shared" si="2"/>
        <v>-0.21212121212121215</v>
      </c>
      <c r="AI10" s="1">
        <f t="shared" si="2"/>
        <v>0</v>
      </c>
      <c r="AJ10" s="1">
        <f t="shared" si="2"/>
        <v>0</v>
      </c>
      <c r="AK10" s="1">
        <f t="shared" si="2"/>
        <v>0</v>
      </c>
      <c r="AL10" s="1">
        <f t="shared" si="2"/>
        <v>-8.0427046263345292E-2</v>
      </c>
      <c r="AM10" s="1">
        <f t="shared" si="2"/>
        <v>-4.7696697920913245E-2</v>
      </c>
      <c r="AN10" s="1">
        <f t="shared" si="2"/>
        <v>-3.6585365853658458E-2</v>
      </c>
      <c r="AO10" s="1">
        <f t="shared" si="2"/>
        <v>4.2224216710182727E-3</v>
      </c>
      <c r="AP10" s="1">
        <f t="shared" si="2"/>
        <v>4.0841694042439425E-3</v>
      </c>
      <c r="AQ10" s="1">
        <f t="shared" si="2"/>
        <v>1.9534497090606839E-2</v>
      </c>
      <c r="AR10" s="1"/>
      <c r="AS10" s="1"/>
      <c r="AT10" s="1"/>
      <c r="AU10" s="1"/>
      <c r="AV10" s="1"/>
      <c r="AW10" s="1"/>
    </row>
    <row r="11" spans="1:49" x14ac:dyDescent="0.2">
      <c r="A11" t="s">
        <v>31</v>
      </c>
      <c r="B11">
        <f>13.21</f>
        <v>13.21</v>
      </c>
      <c r="C11">
        <f>21.8</f>
        <v>21.8</v>
      </c>
      <c r="D11">
        <f>21.78</f>
        <v>21.78</v>
      </c>
      <c r="E11">
        <f>59.8</f>
        <v>59.8</v>
      </c>
      <c r="F11">
        <f>681.4</f>
        <v>681.4</v>
      </c>
      <c r="G11">
        <f>15.75</f>
        <v>15.75</v>
      </c>
      <c r="H11">
        <f>48221.39</f>
        <v>48221.39</v>
      </c>
      <c r="I11">
        <f>4306</f>
        <v>4306</v>
      </c>
      <c r="J11">
        <f>4149</f>
        <v>4149</v>
      </c>
      <c r="K11">
        <f>4098</f>
        <v>4098</v>
      </c>
      <c r="L11">
        <f>376.8</f>
        <v>376.8</v>
      </c>
      <c r="M11" s="2">
        <v>0.28999999999999998</v>
      </c>
      <c r="N11" s="2">
        <v>0</v>
      </c>
      <c r="O11" s="2">
        <v>0</v>
      </c>
      <c r="P11" s="2">
        <v>3.2</v>
      </c>
      <c r="Q11">
        <f>25.86</f>
        <v>25.86</v>
      </c>
      <c r="R11">
        <f>23.8</f>
        <v>23.8</v>
      </c>
      <c r="S11">
        <f>14.09</f>
        <v>14.09</v>
      </c>
      <c r="T11">
        <f>500</f>
        <v>500</v>
      </c>
      <c r="U11">
        <f>340.4</f>
        <v>340.4</v>
      </c>
      <c r="V11">
        <f>20</f>
        <v>20</v>
      </c>
      <c r="W11" s="1">
        <f t="shared" si="3"/>
        <v>6.9101796407185638</v>
      </c>
      <c r="X11" s="1">
        <f t="shared" si="2"/>
        <v>120.11111111111111</v>
      </c>
      <c r="Y11" s="1">
        <f t="shared" si="2"/>
        <v>135.125</v>
      </c>
      <c r="Z11" s="1">
        <f t="shared" si="2"/>
        <v>0.5736842105263158</v>
      </c>
      <c r="AA11" s="1">
        <f t="shared" si="2"/>
        <v>2.5051440329218106</v>
      </c>
      <c r="AB11" s="1">
        <f t="shared" si="2"/>
        <v>9.0720221606648277E-2</v>
      </c>
      <c r="AC11" s="1">
        <f t="shared" si="2"/>
        <v>-7.934444091043491E-3</v>
      </c>
      <c r="AD11" s="1">
        <f t="shared" si="2"/>
        <v>3.6092396535129856E-2</v>
      </c>
      <c r="AE11" s="1">
        <f t="shared" si="2"/>
        <v>8.3114610673664657E-3</v>
      </c>
      <c r="AF11" s="1">
        <f t="shared" si="2"/>
        <v>6.1379818315738799E-3</v>
      </c>
      <c r="AG11" s="1">
        <f t="shared" si="2"/>
        <v>-0.33262486716259299</v>
      </c>
      <c r="AH11" s="1">
        <f t="shared" si="2"/>
        <v>-0.12121212121212133</v>
      </c>
      <c r="AI11" s="1">
        <f t="shared" si="2"/>
        <v>0</v>
      </c>
      <c r="AJ11" s="1">
        <f t="shared" si="2"/>
        <v>0</v>
      </c>
      <c r="AK11" s="1">
        <f t="shared" si="2"/>
        <v>6.6666666666666652E-2</v>
      </c>
      <c r="AL11" s="1">
        <f t="shared" si="2"/>
        <v>-7.9715302491103257E-2</v>
      </c>
      <c r="AM11" s="1">
        <f t="shared" si="2"/>
        <v>-2.9759478189971489E-2</v>
      </c>
      <c r="AN11" s="1">
        <f t="shared" si="2"/>
        <v>7.3932926829268331E-2</v>
      </c>
      <c r="AO11" s="1">
        <f t="shared" si="2"/>
        <v>1.9908616187989558E-2</v>
      </c>
      <c r="AP11" s="1">
        <f t="shared" si="2"/>
        <v>7.4284530468495813E-3</v>
      </c>
      <c r="AQ11" s="1">
        <f t="shared" si="2"/>
        <v>-0.16874480465502906</v>
      </c>
      <c r="AR11" s="1"/>
      <c r="AS11" s="1"/>
      <c r="AT11" s="1"/>
      <c r="AU11" s="1"/>
      <c r="AV11" s="1"/>
      <c r="AW11" s="1"/>
    </row>
    <row r="12" spans="1:49" x14ac:dyDescent="0.2">
      <c r="A12" t="s">
        <v>32</v>
      </c>
      <c r="B12">
        <f>24.73</f>
        <v>24.73</v>
      </c>
      <c r="C12">
        <f>96.65</f>
        <v>96.65</v>
      </c>
      <c r="D12">
        <f>22.57</f>
        <v>22.57</v>
      </c>
      <c r="E12">
        <f>17</f>
        <v>17</v>
      </c>
      <c r="F12">
        <f>73.8</f>
        <v>73.8</v>
      </c>
      <c r="G12">
        <f>14.49</f>
        <v>14.49</v>
      </c>
      <c r="H12">
        <f>48342.16</f>
        <v>48342.16</v>
      </c>
      <c r="I12">
        <f>4151</f>
        <v>4151</v>
      </c>
      <c r="J12">
        <f>4137.2</f>
        <v>4137.2</v>
      </c>
      <c r="K12">
        <f>4120</f>
        <v>4120</v>
      </c>
      <c r="L12">
        <f>386.4</f>
        <v>386.4</v>
      </c>
      <c r="M12" s="2">
        <v>0.31</v>
      </c>
      <c r="N12" s="2">
        <v>0</v>
      </c>
      <c r="O12" s="2">
        <v>0</v>
      </c>
      <c r="P12" s="2">
        <v>3.4</v>
      </c>
      <c r="Q12">
        <f>67.53</f>
        <v>67.53</v>
      </c>
      <c r="R12">
        <f>47.5</f>
        <v>47.5</v>
      </c>
      <c r="S12">
        <f>13.54</f>
        <v>13.54</v>
      </c>
      <c r="T12">
        <f>449.99</f>
        <v>449.99</v>
      </c>
      <c r="U12">
        <f>275.31</f>
        <v>275.31</v>
      </c>
      <c r="V12">
        <f>25</f>
        <v>25</v>
      </c>
      <c r="W12" s="1">
        <f t="shared" si="3"/>
        <v>13.808383233532934</v>
      </c>
      <c r="X12" s="1">
        <f t="shared" si="2"/>
        <v>535.94444444444446</v>
      </c>
      <c r="Y12" s="1">
        <f t="shared" si="2"/>
        <v>140.0625</v>
      </c>
      <c r="Z12" s="1">
        <f t="shared" si="2"/>
        <v>-0.55263157894736836</v>
      </c>
      <c r="AA12" s="1">
        <f t="shared" si="2"/>
        <v>-0.62037037037037046</v>
      </c>
      <c r="AB12" s="1">
        <f t="shared" si="2"/>
        <v>3.462603878116477E-3</v>
      </c>
      <c r="AC12" s="1">
        <f t="shared" si="2"/>
        <v>-5.4498256014660074E-3</v>
      </c>
      <c r="AD12" s="1">
        <f t="shared" si="2"/>
        <v>-1.2030798845042989E-3</v>
      </c>
      <c r="AE12" s="1">
        <f t="shared" si="2"/>
        <v>5.4437639739475241E-3</v>
      </c>
      <c r="AF12" s="1">
        <f t="shared" si="2"/>
        <v>1.1539405843358663E-2</v>
      </c>
      <c r="AG12" s="1">
        <f t="shared" si="2"/>
        <v>-0.31562167906482474</v>
      </c>
      <c r="AH12" s="1">
        <f t="shared" si="2"/>
        <v>-6.0606060606060663E-2</v>
      </c>
      <c r="AI12" s="1">
        <f t="shared" si="2"/>
        <v>0</v>
      </c>
      <c r="AJ12" s="1">
        <f t="shared" si="2"/>
        <v>0</v>
      </c>
      <c r="AK12" s="1">
        <f t="shared" si="2"/>
        <v>0.1333333333333333</v>
      </c>
      <c r="AL12" s="1">
        <f t="shared" si="2"/>
        <v>1.403202846975089</v>
      </c>
      <c r="AM12" s="1">
        <f t="shared" si="2"/>
        <v>0.93640440277211567</v>
      </c>
      <c r="AN12" s="1">
        <f t="shared" si="2"/>
        <v>3.2012195121951192E-2</v>
      </c>
      <c r="AO12" s="1">
        <f t="shared" si="2"/>
        <v>-8.210264360313313E-2</v>
      </c>
      <c r="AP12" s="1">
        <f t="shared" si="2"/>
        <v>-0.18520820385332504</v>
      </c>
      <c r="AQ12" s="1">
        <f t="shared" si="2"/>
        <v>3.9068994181213679E-2</v>
      </c>
      <c r="AR12" s="1"/>
      <c r="AS12" s="1"/>
      <c r="AT12" s="1"/>
      <c r="AU12" s="1"/>
      <c r="AV12" s="1"/>
      <c r="AW12" s="1"/>
    </row>
    <row r="13" spans="1:49" x14ac:dyDescent="0.2">
      <c r="A13" t="s">
        <v>33</v>
      </c>
      <c r="B13">
        <f>24.79</f>
        <v>24.79</v>
      </c>
      <c r="C13">
        <f>97.68</f>
        <v>97.68</v>
      </c>
      <c r="D13">
        <f>23.66</f>
        <v>23.66</v>
      </c>
      <c r="E13">
        <f>16.8</f>
        <v>16.8</v>
      </c>
      <c r="F13">
        <f>74</f>
        <v>74</v>
      </c>
      <c r="G13">
        <f>14.51</f>
        <v>14.51</v>
      </c>
      <c r="H13">
        <f>48771.01</f>
        <v>48771.01</v>
      </c>
      <c r="I13">
        <f>4146</f>
        <v>4146</v>
      </c>
      <c r="J13">
        <f>4101</f>
        <v>4101</v>
      </c>
      <c r="K13">
        <f>4055</f>
        <v>4055</v>
      </c>
      <c r="L13">
        <f>412</f>
        <v>412</v>
      </c>
      <c r="M13" s="2">
        <v>0.28999999999999998</v>
      </c>
      <c r="N13" s="2">
        <v>0</v>
      </c>
      <c r="O13" s="2">
        <v>0</v>
      </c>
      <c r="P13" s="2">
        <v>3</v>
      </c>
      <c r="Q13">
        <f>68.33</f>
        <v>68.33</v>
      </c>
      <c r="R13">
        <f>46.83</f>
        <v>46.83</v>
      </c>
      <c r="S13">
        <f>13.53</f>
        <v>13.53</v>
      </c>
      <c r="T13">
        <f>426.4</f>
        <v>426.4</v>
      </c>
      <c r="U13">
        <f>276.52</f>
        <v>276.52</v>
      </c>
      <c r="V13">
        <f>25</f>
        <v>25</v>
      </c>
      <c r="W13" s="1">
        <f t="shared" si="3"/>
        <v>13.844311377245509</v>
      </c>
      <c r="X13" s="1">
        <f t="shared" ref="X13" si="4" xml:space="preserve"> IF(C$2&gt;0,C13/C$2-1,0)</f>
        <v>541.66666666666674</v>
      </c>
      <c r="Y13" s="1">
        <f t="shared" ref="Y13" si="5" xml:space="preserve"> IF(D$2&gt;0,D13/D$2-1,0)</f>
        <v>146.875</v>
      </c>
      <c r="Z13" s="1">
        <f t="shared" ref="Z13" si="6" xml:space="preserve"> IF(E$2&gt;0,E13/E$2-1,0)</f>
        <v>-0.55789473684210522</v>
      </c>
      <c r="AA13" s="1">
        <f t="shared" ref="AA13" si="7" xml:space="preserve"> IF(F$2&gt;0,F13/F$2-1,0)</f>
        <v>-0.61934156378600824</v>
      </c>
      <c r="AB13" s="1">
        <f t="shared" ref="AB13" si="8" xml:space="preserve"> IF(G$2&gt;0,G13/G$2-1,0)</f>
        <v>4.8476454293628901E-3</v>
      </c>
      <c r="AC13" s="1">
        <f t="shared" ref="AC13" si="9" xml:space="preserve"> IF(H$2&gt;0,H13/H$2-1,0)</f>
        <v>3.3729668077024932E-3</v>
      </c>
      <c r="AD13" s="1">
        <f t="shared" ref="AD13" si="10" xml:space="preserve"> IF(I$2&gt;0,I13/I$2-1,0)</f>
        <v>-2.4061597690087089E-3</v>
      </c>
      <c r="AE13" s="1">
        <f t="shared" ref="AE13" si="11" xml:space="preserve"> IF(J$2&gt;0,J13/J$2-1,0)</f>
        <v>-3.3537474482356888E-3</v>
      </c>
      <c r="AF13" s="1">
        <f t="shared" ref="AF13" si="12" xml:space="preserve"> IF(K$2&gt;0,K13/K$2-1,0)</f>
        <v>-4.4193469187331358E-3</v>
      </c>
      <c r="AG13" s="1">
        <f t="shared" ref="AG13" si="13" xml:space="preserve"> IF(L$2&gt;0,L13/L$2-1,0)</f>
        <v>-0.27027984413744244</v>
      </c>
      <c r="AH13" s="1">
        <f t="shared" ref="AH13" si="14" xml:space="preserve"> IF(M$2&gt;0,M13/M$2-1,0)</f>
        <v>-0.12121212121212133</v>
      </c>
      <c r="AI13" s="1">
        <f t="shared" ref="AI13" si="15" xml:space="preserve"> IF(N$2&gt;0,N13/N$2-1,0)</f>
        <v>0</v>
      </c>
      <c r="AJ13" s="1">
        <f t="shared" ref="AJ13" si="16" xml:space="preserve"> IF(O$2&gt;0,O13/O$2-1,0)</f>
        <v>0</v>
      </c>
      <c r="AK13" s="1">
        <f t="shared" ref="AK13" si="17" xml:space="preserve"> IF(P$2&gt;0,P13/P$2-1,0)</f>
        <v>0</v>
      </c>
      <c r="AL13" s="1">
        <f t="shared" ref="AL13" si="18" xml:space="preserve"> IF(Q$2&gt;0,Q13/Q$2-1,0)</f>
        <v>1.4316725978647686</v>
      </c>
      <c r="AM13" s="1">
        <f t="shared" ref="AM13" si="19" xml:space="preserve"> IF(R$2&gt;0,R13/R$2-1,0)</f>
        <v>0.90909090909090895</v>
      </c>
      <c r="AN13" s="1">
        <f t="shared" ref="AN13" si="20" xml:space="preserve"> IF(S$2&gt;0,S13/S$2-1,0)</f>
        <v>3.125E-2</v>
      </c>
      <c r="AO13" s="1">
        <f t="shared" ref="AO13" si="21" xml:space="preserve"> IF(T$2&gt;0,T13/T$2-1,0)</f>
        <v>-0.13022193211488253</v>
      </c>
      <c r="AP13" s="1">
        <f t="shared" ref="AP13" si="22" xml:space="preserve"> IF(U$2&gt;0,U13/U$2-1,0)</f>
        <v>-0.18162715676699515</v>
      </c>
      <c r="AQ13" s="1">
        <f t="shared" ref="AQ13" si="23" xml:space="preserve"> IF(V$2&gt;0,V13/V$2-1,0)</f>
        <v>3.9068994181213679E-2</v>
      </c>
      <c r="AR13" s="1"/>
      <c r="AS13" s="1"/>
      <c r="AT13" s="1"/>
      <c r="AU13" s="1"/>
      <c r="AV13" s="1"/>
      <c r="AW13" s="1"/>
    </row>
    <row r="15" spans="1:49" x14ac:dyDescent="0.2">
      <c r="A15" s="2"/>
      <c r="B15" s="2"/>
      <c r="C15" s="2"/>
      <c r="D15" s="2"/>
    </row>
    <row r="16" spans="1:49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</sheetData>
  <phoneticPr fontId="18" type="noConversion"/>
  <conditionalFormatting sqref="W3:AW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Result-220410201737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李时</dc:creator>
  <cp:lastModifiedBy>李时</cp:lastModifiedBy>
  <dcterms:created xsi:type="dcterms:W3CDTF">2022-04-10T12:50:09Z</dcterms:created>
  <dcterms:modified xsi:type="dcterms:W3CDTF">2022-04-10T15:12:41Z</dcterms:modified>
</cp:coreProperties>
</file>