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quel win10\Desktop\CORAZON DE PANCE\CCTV PANCE\"/>
    </mc:Choice>
  </mc:AlternateContent>
  <xr:revisionPtr revIDLastSave="0" documentId="13_ncr:1_{B0EF88D1-0AE4-4950-851D-BC0FDD92C29C}" xr6:coauthVersionLast="47" xr6:coauthVersionMax="47" xr10:uidLastSave="{00000000-0000-0000-0000-000000000000}"/>
  <bookViews>
    <workbookView xWindow="-120" yWindow="-120" windowWidth="20730" windowHeight="11160" tabRatio="805" xr2:uid="{00000000-000D-0000-FFFF-FFFF00000000}"/>
  </bookViews>
  <sheets>
    <sheet name="Cotizacion" sheetId="88" r:id="rId1"/>
    <sheet name="APU's" sheetId="89" r:id="rId2"/>
    <sheet name="APU Lista" sheetId="90" r:id="rId3"/>
    <sheet name="Materiales" sheetId="91" r:id="rId4"/>
    <sheet name="Resumen" sheetId="86" r:id="rId5"/>
    <sheet name="APU01" sheetId="29" r:id="rId6"/>
    <sheet name="APU02" sheetId="78" r:id="rId7"/>
    <sheet name="APU03" sheetId="55" r:id="rId8"/>
    <sheet name="APU04" sheetId="48" r:id="rId9"/>
    <sheet name="APU05" sheetId="63" r:id="rId10"/>
    <sheet name="APU06" sheetId="42" r:id="rId11"/>
    <sheet name="APU07" sheetId="64" r:id="rId12"/>
    <sheet name="APU08" sheetId="65" r:id="rId13"/>
    <sheet name="APU09" sheetId="68" r:id="rId14"/>
    <sheet name="APU10  B. Ductos" sheetId="93" r:id="rId15"/>
    <sheet name="APU11 P.Tierra" sheetId="95" r:id="rId16"/>
  </sheets>
  <definedNames>
    <definedName name="____R" localSheetId="5" hidden="1">{#N/A,#N/A,FALSE,"GRAFICO";#N/A,#N/A,FALSE,"CAJA (2)";#N/A,#N/A,FALSE,"TERCEROS-PROMEDIO";#N/A,#N/A,FALSE,"CAJA";#N/A,#N/A,FALSE,"INGRESOS1995-2003";#N/A,#N/A,FALSE,"GASTOS1995-2003"}</definedName>
    <definedName name="____R" localSheetId="6" hidden="1">{#N/A,#N/A,FALSE,"GRAFICO";#N/A,#N/A,FALSE,"CAJA (2)";#N/A,#N/A,FALSE,"TERCEROS-PROMEDIO";#N/A,#N/A,FALSE,"CAJA";#N/A,#N/A,FALSE,"INGRESOS1995-2003";#N/A,#N/A,FALSE,"GASTOS1995-2003"}</definedName>
    <definedName name="____R" localSheetId="7" hidden="1">{#N/A,#N/A,FALSE,"GRAFICO";#N/A,#N/A,FALSE,"CAJA (2)";#N/A,#N/A,FALSE,"TERCEROS-PROMEDIO";#N/A,#N/A,FALSE,"CAJA";#N/A,#N/A,FALSE,"INGRESOS1995-2003";#N/A,#N/A,FALSE,"GASTOS1995-2003"}</definedName>
    <definedName name="____R" localSheetId="8" hidden="1">{#N/A,#N/A,FALSE,"GRAFICO";#N/A,#N/A,FALSE,"CAJA (2)";#N/A,#N/A,FALSE,"TERCEROS-PROMEDIO";#N/A,#N/A,FALSE,"CAJA";#N/A,#N/A,FALSE,"INGRESOS1995-2003";#N/A,#N/A,FALSE,"GASTOS1995-2003"}</definedName>
    <definedName name="____R" localSheetId="9" hidden="1">{#N/A,#N/A,FALSE,"GRAFICO";#N/A,#N/A,FALSE,"CAJA (2)";#N/A,#N/A,FALSE,"TERCEROS-PROMEDIO";#N/A,#N/A,FALSE,"CAJA";#N/A,#N/A,FALSE,"INGRESOS1995-2003";#N/A,#N/A,FALSE,"GASTOS1995-2003"}</definedName>
    <definedName name="____R" localSheetId="10" hidden="1">{#N/A,#N/A,FALSE,"GRAFICO";#N/A,#N/A,FALSE,"CAJA (2)";#N/A,#N/A,FALSE,"TERCEROS-PROMEDIO";#N/A,#N/A,FALSE,"CAJA";#N/A,#N/A,FALSE,"INGRESOS1995-2003";#N/A,#N/A,FALSE,"GASTOS1995-2003"}</definedName>
    <definedName name="____R" localSheetId="11" hidden="1">{#N/A,#N/A,FALSE,"GRAFICO";#N/A,#N/A,FALSE,"CAJA (2)";#N/A,#N/A,FALSE,"TERCEROS-PROMEDIO";#N/A,#N/A,FALSE,"CAJA";#N/A,#N/A,FALSE,"INGRESOS1995-2003";#N/A,#N/A,FALSE,"GASTOS1995-2003"}</definedName>
    <definedName name="____R" localSheetId="12" hidden="1">{#N/A,#N/A,FALSE,"GRAFICO";#N/A,#N/A,FALSE,"CAJA (2)";#N/A,#N/A,FALSE,"TERCEROS-PROMEDIO";#N/A,#N/A,FALSE,"CAJA";#N/A,#N/A,FALSE,"INGRESOS1995-2003";#N/A,#N/A,FALSE,"GASTOS1995-2003"}</definedName>
    <definedName name="____R" localSheetId="13" hidden="1">{#N/A,#N/A,FALSE,"GRAFICO";#N/A,#N/A,FALSE,"CAJA (2)";#N/A,#N/A,FALSE,"TERCEROS-PROMEDIO";#N/A,#N/A,FALSE,"CAJA";#N/A,#N/A,FALSE,"INGRESOS1995-2003";#N/A,#N/A,FALSE,"GASTOS1995-2003"}</definedName>
    <definedName name="____R" hidden="1">{#N/A,#N/A,FALSE,"GRAFICO";#N/A,#N/A,FALSE,"CAJA (2)";#N/A,#N/A,FALSE,"TERCEROS-PROMEDIO";#N/A,#N/A,FALSE,"CAJA";#N/A,#N/A,FALSE,"INGRESOS1995-2003";#N/A,#N/A,FALSE,"GASTOS1995-2003"}</definedName>
    <definedName name="___R" localSheetId="5" hidden="1">{#N/A,#N/A,FALSE,"GRAFICO";#N/A,#N/A,FALSE,"CAJA (2)";#N/A,#N/A,FALSE,"TERCEROS-PROMEDIO";#N/A,#N/A,FALSE,"CAJA";#N/A,#N/A,FALSE,"INGRESOS1995-2003";#N/A,#N/A,FALSE,"GASTOS1995-2003"}</definedName>
    <definedName name="___R" localSheetId="6" hidden="1">{#N/A,#N/A,FALSE,"GRAFICO";#N/A,#N/A,FALSE,"CAJA (2)";#N/A,#N/A,FALSE,"TERCEROS-PROMEDIO";#N/A,#N/A,FALSE,"CAJA";#N/A,#N/A,FALSE,"INGRESOS1995-2003";#N/A,#N/A,FALSE,"GASTOS1995-2003"}</definedName>
    <definedName name="___R" localSheetId="7" hidden="1">{#N/A,#N/A,FALSE,"GRAFICO";#N/A,#N/A,FALSE,"CAJA (2)";#N/A,#N/A,FALSE,"TERCEROS-PROMEDIO";#N/A,#N/A,FALSE,"CAJA";#N/A,#N/A,FALSE,"INGRESOS1995-2003";#N/A,#N/A,FALSE,"GASTOS1995-2003"}</definedName>
    <definedName name="___R" localSheetId="8" hidden="1">{#N/A,#N/A,FALSE,"GRAFICO";#N/A,#N/A,FALSE,"CAJA (2)";#N/A,#N/A,FALSE,"TERCEROS-PROMEDIO";#N/A,#N/A,FALSE,"CAJA";#N/A,#N/A,FALSE,"INGRESOS1995-2003";#N/A,#N/A,FALSE,"GASTOS1995-2003"}</definedName>
    <definedName name="___R" localSheetId="9" hidden="1">{#N/A,#N/A,FALSE,"GRAFICO";#N/A,#N/A,FALSE,"CAJA (2)";#N/A,#N/A,FALSE,"TERCEROS-PROMEDIO";#N/A,#N/A,FALSE,"CAJA";#N/A,#N/A,FALSE,"INGRESOS1995-2003";#N/A,#N/A,FALSE,"GASTOS1995-2003"}</definedName>
    <definedName name="___R" localSheetId="10" hidden="1">{#N/A,#N/A,FALSE,"GRAFICO";#N/A,#N/A,FALSE,"CAJA (2)";#N/A,#N/A,FALSE,"TERCEROS-PROMEDIO";#N/A,#N/A,FALSE,"CAJA";#N/A,#N/A,FALSE,"INGRESOS1995-2003";#N/A,#N/A,FALSE,"GASTOS1995-2003"}</definedName>
    <definedName name="___R" localSheetId="11" hidden="1">{#N/A,#N/A,FALSE,"GRAFICO";#N/A,#N/A,FALSE,"CAJA (2)";#N/A,#N/A,FALSE,"TERCEROS-PROMEDIO";#N/A,#N/A,FALSE,"CAJA";#N/A,#N/A,FALSE,"INGRESOS1995-2003";#N/A,#N/A,FALSE,"GASTOS1995-2003"}</definedName>
    <definedName name="___R" localSheetId="12" hidden="1">{#N/A,#N/A,FALSE,"GRAFICO";#N/A,#N/A,FALSE,"CAJA (2)";#N/A,#N/A,FALSE,"TERCEROS-PROMEDIO";#N/A,#N/A,FALSE,"CAJA";#N/A,#N/A,FALSE,"INGRESOS1995-2003";#N/A,#N/A,FALSE,"GASTOS1995-2003"}</definedName>
    <definedName name="___R" localSheetId="13" hidden="1">{#N/A,#N/A,FALSE,"GRAFICO";#N/A,#N/A,FALSE,"CAJA (2)";#N/A,#N/A,FALSE,"TERCEROS-PROMEDIO";#N/A,#N/A,FALSE,"CAJA";#N/A,#N/A,FALSE,"INGRESOS1995-2003";#N/A,#N/A,FALSE,"GASTOS1995-2003"}</definedName>
    <definedName name="___R" hidden="1">{#N/A,#N/A,FALSE,"GRAFICO";#N/A,#N/A,FALSE,"CAJA (2)";#N/A,#N/A,FALSE,"TERCEROS-PROMEDIO";#N/A,#N/A,FALSE,"CAJA";#N/A,#N/A,FALSE,"INGRESOS1995-2003";#N/A,#N/A,FALSE,"GASTOS1995-2003"}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hidden="1">#REF!</definedName>
    <definedName name="_xlnm._FilterDatabase" localSheetId="2" hidden="1">'APU Lista'!$A$1:$K$371</definedName>
    <definedName name="_xlnm._FilterDatabase" localSheetId="0" hidden="1">Cotizacion!$A$2:$K$48</definedName>
    <definedName name="_xlnm._FilterDatabase" localSheetId="3" hidden="1">Materiales!$A$1:$P$370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0" hidden="1">#REF!</definedName>
    <definedName name="_Key2" localSheetId="11" hidden="1">#REF!</definedName>
    <definedName name="_Key2" localSheetId="12" hidden="1">#REF!</definedName>
    <definedName name="_Key2" localSheetId="13" hidden="1">#REF!</definedName>
    <definedName name="_Key2" hidden="1">#REF!</definedName>
    <definedName name="_Order1" hidden="1">255</definedName>
    <definedName name="_Order2" hidden="1">255</definedName>
    <definedName name="_r" localSheetId="5" hidden="1">#REF!</definedName>
    <definedName name="_r" localSheetId="6" hidden="1">#REF!</definedName>
    <definedName name="_r" localSheetId="7" hidden="1">#REF!</definedName>
    <definedName name="_r" localSheetId="8" hidden="1">#REF!</definedName>
    <definedName name="_r" localSheetId="9" hidden="1">#REF!</definedName>
    <definedName name="_r" localSheetId="10" hidden="1">#REF!</definedName>
    <definedName name="_r" localSheetId="11" hidden="1">#REF!</definedName>
    <definedName name="_r" localSheetId="12" hidden="1">#REF!</definedName>
    <definedName name="_r" localSheetId="13" hidden="1">#REF!</definedName>
    <definedName name="_r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hidden="1">#REF!</definedName>
    <definedName name="A" localSheetId="5" hidden="1">{#N/A,#N/A,FALSE,"GRAFICO";#N/A,#N/A,FALSE,"CAJA (2)";#N/A,#N/A,FALSE,"TERCEROS-PROMEDIO";#N/A,#N/A,FALSE,"CAJA";#N/A,#N/A,FALSE,"INGRESOS1995-2003";#N/A,#N/A,FALSE,"GASTOS1995-2003"}</definedName>
    <definedName name="A" localSheetId="6" hidden="1">{#N/A,#N/A,FALSE,"GRAFICO";#N/A,#N/A,FALSE,"CAJA (2)";#N/A,#N/A,FALSE,"TERCEROS-PROMEDIO";#N/A,#N/A,FALSE,"CAJA";#N/A,#N/A,FALSE,"INGRESOS1995-2003";#N/A,#N/A,FALSE,"GASTOS1995-2003"}</definedName>
    <definedName name="A" localSheetId="7" hidden="1">{#N/A,#N/A,FALSE,"GRAFICO";#N/A,#N/A,FALSE,"CAJA (2)";#N/A,#N/A,FALSE,"TERCEROS-PROMEDIO";#N/A,#N/A,FALSE,"CAJA";#N/A,#N/A,FALSE,"INGRESOS1995-2003";#N/A,#N/A,FALSE,"GASTOS1995-2003"}</definedName>
    <definedName name="A" localSheetId="8" hidden="1">{#N/A,#N/A,FALSE,"GRAFICO";#N/A,#N/A,FALSE,"CAJA (2)";#N/A,#N/A,FALSE,"TERCEROS-PROMEDIO";#N/A,#N/A,FALSE,"CAJA";#N/A,#N/A,FALSE,"INGRESOS1995-2003";#N/A,#N/A,FALSE,"GASTOS1995-2003"}</definedName>
    <definedName name="A" localSheetId="9" hidden="1">{#N/A,#N/A,FALSE,"GRAFICO";#N/A,#N/A,FALSE,"CAJA (2)";#N/A,#N/A,FALSE,"TERCEROS-PROMEDIO";#N/A,#N/A,FALSE,"CAJA";#N/A,#N/A,FALSE,"INGRESOS1995-2003";#N/A,#N/A,FALSE,"GASTOS1995-2003"}</definedName>
    <definedName name="A" localSheetId="10" hidden="1">{#N/A,#N/A,FALSE,"GRAFICO";#N/A,#N/A,FALSE,"CAJA (2)";#N/A,#N/A,FALSE,"TERCEROS-PROMEDIO";#N/A,#N/A,FALSE,"CAJA";#N/A,#N/A,FALSE,"INGRESOS1995-2003";#N/A,#N/A,FALSE,"GASTOS1995-2003"}</definedName>
    <definedName name="A" localSheetId="11" hidden="1">{#N/A,#N/A,FALSE,"GRAFICO";#N/A,#N/A,FALSE,"CAJA (2)";#N/A,#N/A,FALSE,"TERCEROS-PROMEDIO";#N/A,#N/A,FALSE,"CAJA";#N/A,#N/A,FALSE,"INGRESOS1995-2003";#N/A,#N/A,FALSE,"GASTOS1995-2003"}</definedName>
    <definedName name="A" localSheetId="12" hidden="1">{#N/A,#N/A,FALSE,"GRAFICO";#N/A,#N/A,FALSE,"CAJA (2)";#N/A,#N/A,FALSE,"TERCEROS-PROMEDIO";#N/A,#N/A,FALSE,"CAJA";#N/A,#N/A,FALSE,"INGRESOS1995-2003";#N/A,#N/A,FALSE,"GASTOS1995-2003"}</definedName>
    <definedName name="A" localSheetId="13" hidden="1">{#N/A,#N/A,FALSE,"GRAFICO";#N/A,#N/A,FALSE,"CAJA (2)";#N/A,#N/A,FALSE,"TERCEROS-PROMEDIO";#N/A,#N/A,FALSE,"CAJA";#N/A,#N/A,FALSE,"INGRESOS1995-2003";#N/A,#N/A,FALSE,"GASTOS1995-2003"}</definedName>
    <definedName name="A" hidden="1">{#N/A,#N/A,FALSE,"GRAFICO";#N/A,#N/A,FALSE,"CAJA (2)";#N/A,#N/A,FALSE,"TERCEROS-PROMEDIO";#N/A,#N/A,FALSE,"CAJA";#N/A,#N/A,FALSE,"INGRESOS1995-2003";#N/A,#N/A,FALSE,"GASTOS1995-2003"}</definedName>
    <definedName name="aaa" localSheetId="5" hidden="1">{#N/A,#N/A,FALSE,"Aging Summary";#N/A,#N/A,FALSE,"Ratio Analysis";#N/A,#N/A,FALSE,"Test 120 Day Accts";#N/A,#N/A,FALSE,"Tickmarks"}</definedName>
    <definedName name="aaa" localSheetId="6" hidden="1">{#N/A,#N/A,FALSE,"Aging Summary";#N/A,#N/A,FALSE,"Ratio Analysis";#N/A,#N/A,FALSE,"Test 120 Day Accts";#N/A,#N/A,FALSE,"Tickmarks"}</definedName>
    <definedName name="aaa" localSheetId="7" hidden="1">{#N/A,#N/A,FALSE,"Aging Summary";#N/A,#N/A,FALSE,"Ratio Analysis";#N/A,#N/A,FALSE,"Test 120 Day Accts";#N/A,#N/A,FALSE,"Tickmarks"}</definedName>
    <definedName name="aaa" localSheetId="8" hidden="1">{#N/A,#N/A,FALSE,"Aging Summary";#N/A,#N/A,FALSE,"Ratio Analysis";#N/A,#N/A,FALSE,"Test 120 Day Accts";#N/A,#N/A,FALSE,"Tickmarks"}</definedName>
    <definedName name="aaa" localSheetId="9" hidden="1">{#N/A,#N/A,FALSE,"Aging Summary";#N/A,#N/A,FALSE,"Ratio Analysis";#N/A,#N/A,FALSE,"Test 120 Day Accts";#N/A,#N/A,FALSE,"Tickmarks"}</definedName>
    <definedName name="aaa" localSheetId="10" hidden="1">{#N/A,#N/A,FALSE,"Aging Summary";#N/A,#N/A,FALSE,"Ratio Analysis";#N/A,#N/A,FALSE,"Test 120 Day Accts";#N/A,#N/A,FALSE,"Tickmarks"}</definedName>
    <definedName name="aaa" localSheetId="11" hidden="1">{#N/A,#N/A,FALSE,"Aging Summary";#N/A,#N/A,FALSE,"Ratio Analysis";#N/A,#N/A,FALSE,"Test 120 Day Accts";#N/A,#N/A,FALSE,"Tickmarks"}</definedName>
    <definedName name="aaa" localSheetId="12" hidden="1">{#N/A,#N/A,FALSE,"Aging Summary";#N/A,#N/A,FALSE,"Ratio Analysis";#N/A,#N/A,FALSE,"Test 120 Day Accts";#N/A,#N/A,FALSE,"Tickmarks"}</definedName>
    <definedName name="aaa" localSheetId="13" hidden="1">{#N/A,#N/A,FALSE,"Aging Summary";#N/A,#N/A,FALSE,"Ratio Analysis";#N/A,#N/A,FALSE,"Test 120 Day Accts";#N/A,#N/A,FALSE,"Tickmarks"}</definedName>
    <definedName name="aaa" hidden="1">{#N/A,#N/A,FALSE,"Aging Summary";#N/A,#N/A,FALSE,"Ratio Analysis";#N/A,#N/A,FALSE,"Test 120 Day Accts";#N/A,#N/A,FALSE,"Tickmarks"}</definedName>
    <definedName name="aaaa" localSheetId="5" hidden="1">{#N/A,#N/A,FALSE,"GRAFICO";#N/A,#N/A,FALSE,"CAJA (2)";#N/A,#N/A,FALSE,"TERCEROS-PROMEDIO";#N/A,#N/A,FALSE,"CAJA";#N/A,#N/A,FALSE,"INGRESOS1995-2003";#N/A,#N/A,FALSE,"GASTOS1995-2003"}</definedName>
    <definedName name="aaaa" localSheetId="6" hidden="1">{#N/A,#N/A,FALSE,"GRAFICO";#N/A,#N/A,FALSE,"CAJA (2)";#N/A,#N/A,FALSE,"TERCEROS-PROMEDIO";#N/A,#N/A,FALSE,"CAJA";#N/A,#N/A,FALSE,"INGRESOS1995-2003";#N/A,#N/A,FALSE,"GASTOS1995-2003"}</definedName>
    <definedName name="aaaa" localSheetId="7" hidden="1">{#N/A,#N/A,FALSE,"GRAFICO";#N/A,#N/A,FALSE,"CAJA (2)";#N/A,#N/A,FALSE,"TERCEROS-PROMEDIO";#N/A,#N/A,FALSE,"CAJA";#N/A,#N/A,FALSE,"INGRESOS1995-2003";#N/A,#N/A,FALSE,"GASTOS1995-2003"}</definedName>
    <definedName name="aaaa" localSheetId="8" hidden="1">{#N/A,#N/A,FALSE,"GRAFICO";#N/A,#N/A,FALSE,"CAJA (2)";#N/A,#N/A,FALSE,"TERCEROS-PROMEDIO";#N/A,#N/A,FALSE,"CAJA";#N/A,#N/A,FALSE,"INGRESOS1995-2003";#N/A,#N/A,FALSE,"GASTOS1995-2003"}</definedName>
    <definedName name="aaaa" localSheetId="9" hidden="1">{#N/A,#N/A,FALSE,"GRAFICO";#N/A,#N/A,FALSE,"CAJA (2)";#N/A,#N/A,FALSE,"TERCEROS-PROMEDIO";#N/A,#N/A,FALSE,"CAJA";#N/A,#N/A,FALSE,"INGRESOS1995-2003";#N/A,#N/A,FALSE,"GASTOS1995-2003"}</definedName>
    <definedName name="aaaa" localSheetId="10" hidden="1">{#N/A,#N/A,FALSE,"GRAFICO";#N/A,#N/A,FALSE,"CAJA (2)";#N/A,#N/A,FALSE,"TERCEROS-PROMEDIO";#N/A,#N/A,FALSE,"CAJA";#N/A,#N/A,FALSE,"INGRESOS1995-2003";#N/A,#N/A,FALSE,"GASTOS1995-2003"}</definedName>
    <definedName name="aaaa" localSheetId="11" hidden="1">{#N/A,#N/A,FALSE,"GRAFICO";#N/A,#N/A,FALSE,"CAJA (2)";#N/A,#N/A,FALSE,"TERCEROS-PROMEDIO";#N/A,#N/A,FALSE,"CAJA";#N/A,#N/A,FALSE,"INGRESOS1995-2003";#N/A,#N/A,FALSE,"GASTOS1995-2003"}</definedName>
    <definedName name="aaaa" localSheetId="12" hidden="1">{#N/A,#N/A,FALSE,"GRAFICO";#N/A,#N/A,FALSE,"CAJA (2)";#N/A,#N/A,FALSE,"TERCEROS-PROMEDIO";#N/A,#N/A,FALSE,"CAJA";#N/A,#N/A,FALSE,"INGRESOS1995-2003";#N/A,#N/A,FALSE,"GASTOS1995-2003"}</definedName>
    <definedName name="aaaa" localSheetId="13" hidden="1">{#N/A,#N/A,FALSE,"GRAFICO";#N/A,#N/A,FALSE,"CAJA (2)";#N/A,#N/A,FALSE,"TERCEROS-PROMEDIO";#N/A,#N/A,FALSE,"CAJA";#N/A,#N/A,FALSE,"INGRESOS1995-2003";#N/A,#N/A,FALSE,"GASTOS1995-2003"}</definedName>
    <definedName name="aaaa" hidden="1">{#N/A,#N/A,FALSE,"GRAFICO";#N/A,#N/A,FALSE,"CAJA (2)";#N/A,#N/A,FALSE,"TERCEROS-PROMEDIO";#N/A,#N/A,FALSE,"CAJA";#N/A,#N/A,FALSE,"INGRESOS1995-2003";#N/A,#N/A,FALSE,"GASTOS1995-2003"}</definedName>
    <definedName name="_xlnm.Print_Area" localSheetId="5">'APU01'!$B$2:$H$57</definedName>
    <definedName name="_xlnm.Print_Area" localSheetId="6">'APU02'!$B$2:$H$58</definedName>
    <definedName name="_xlnm.Print_Area" localSheetId="7">'APU03'!$B$2:$H$65</definedName>
    <definedName name="_xlnm.Print_Area" localSheetId="8">'APU04'!$B$2:$H$58</definedName>
    <definedName name="_xlnm.Print_Area" localSheetId="9">'APU05'!$B$2:$H$64</definedName>
    <definedName name="_xlnm.Print_Area" localSheetId="10">'APU06'!$B$2:$H$65</definedName>
    <definedName name="_xlnm.Print_Area" localSheetId="11">'APU07'!$B$2:$H$66</definedName>
    <definedName name="_xlnm.Print_Area" localSheetId="12">'APU08'!$B$2:$H$68</definedName>
    <definedName name="_xlnm.Print_Area" localSheetId="13">'APU09'!$B$2:$H$57</definedName>
    <definedName name="ARRENDAM1" localSheetId="5" hidden="1">{#N/A,#N/A,FALSE,"Aging Summary";#N/A,#N/A,FALSE,"Ratio Analysis";#N/A,#N/A,FALSE,"Test 120 Day Accts";#N/A,#N/A,FALSE,"Tickmarks"}</definedName>
    <definedName name="ARRENDAM1" localSheetId="6" hidden="1">{#N/A,#N/A,FALSE,"Aging Summary";#N/A,#N/A,FALSE,"Ratio Analysis";#N/A,#N/A,FALSE,"Test 120 Day Accts";#N/A,#N/A,FALSE,"Tickmarks"}</definedName>
    <definedName name="ARRENDAM1" localSheetId="7" hidden="1">{#N/A,#N/A,FALSE,"Aging Summary";#N/A,#N/A,FALSE,"Ratio Analysis";#N/A,#N/A,FALSE,"Test 120 Day Accts";#N/A,#N/A,FALSE,"Tickmarks"}</definedName>
    <definedName name="ARRENDAM1" localSheetId="8" hidden="1">{#N/A,#N/A,FALSE,"Aging Summary";#N/A,#N/A,FALSE,"Ratio Analysis";#N/A,#N/A,FALSE,"Test 120 Day Accts";#N/A,#N/A,FALSE,"Tickmarks"}</definedName>
    <definedName name="ARRENDAM1" localSheetId="9" hidden="1">{#N/A,#N/A,FALSE,"Aging Summary";#N/A,#N/A,FALSE,"Ratio Analysis";#N/A,#N/A,FALSE,"Test 120 Day Accts";#N/A,#N/A,FALSE,"Tickmarks"}</definedName>
    <definedName name="ARRENDAM1" localSheetId="10" hidden="1">{#N/A,#N/A,FALSE,"Aging Summary";#N/A,#N/A,FALSE,"Ratio Analysis";#N/A,#N/A,FALSE,"Test 120 Day Accts";#N/A,#N/A,FALSE,"Tickmarks"}</definedName>
    <definedName name="ARRENDAM1" localSheetId="11" hidden="1">{#N/A,#N/A,FALSE,"Aging Summary";#N/A,#N/A,FALSE,"Ratio Analysis";#N/A,#N/A,FALSE,"Test 120 Day Accts";#N/A,#N/A,FALSE,"Tickmarks"}</definedName>
    <definedName name="ARRENDAM1" localSheetId="12" hidden="1">{#N/A,#N/A,FALSE,"Aging Summary";#N/A,#N/A,FALSE,"Ratio Analysis";#N/A,#N/A,FALSE,"Test 120 Day Accts";#N/A,#N/A,FALSE,"Tickmarks"}</definedName>
    <definedName name="ARRENDAM1" localSheetId="13" hidden="1">{#N/A,#N/A,FALSE,"Aging Summary";#N/A,#N/A,FALSE,"Ratio Analysis";#N/A,#N/A,FALSE,"Test 120 Day Accts";#N/A,#N/A,FALSE,"Tickmarks"}</definedName>
    <definedName name="ARRENDAM1" hidden="1">{#N/A,#N/A,FALSE,"Aging Summary";#N/A,#N/A,FALSE,"Ratio Analysis";#N/A,#N/A,FALSE,"Test 120 Day Accts";#N/A,#N/A,FALSE,"Tickmarks"}</definedName>
    <definedName name="ARRENDAMIENTO" localSheetId="5" hidden="1">{#N/A,#N/A,FALSE,"Aging Summary";#N/A,#N/A,FALSE,"Ratio Analysis";#N/A,#N/A,FALSE,"Test 120 Day Accts";#N/A,#N/A,FALSE,"Tickmarks"}</definedName>
    <definedName name="ARRENDAMIENTO" localSheetId="6" hidden="1">{#N/A,#N/A,FALSE,"Aging Summary";#N/A,#N/A,FALSE,"Ratio Analysis";#N/A,#N/A,FALSE,"Test 120 Day Accts";#N/A,#N/A,FALSE,"Tickmarks"}</definedName>
    <definedName name="ARRENDAMIENTO" localSheetId="7" hidden="1">{#N/A,#N/A,FALSE,"Aging Summary";#N/A,#N/A,FALSE,"Ratio Analysis";#N/A,#N/A,FALSE,"Test 120 Day Accts";#N/A,#N/A,FALSE,"Tickmarks"}</definedName>
    <definedName name="ARRENDAMIENTO" localSheetId="8" hidden="1">{#N/A,#N/A,FALSE,"Aging Summary";#N/A,#N/A,FALSE,"Ratio Analysis";#N/A,#N/A,FALSE,"Test 120 Day Accts";#N/A,#N/A,FALSE,"Tickmarks"}</definedName>
    <definedName name="ARRENDAMIENTO" localSheetId="9" hidden="1">{#N/A,#N/A,FALSE,"Aging Summary";#N/A,#N/A,FALSE,"Ratio Analysis";#N/A,#N/A,FALSE,"Test 120 Day Accts";#N/A,#N/A,FALSE,"Tickmarks"}</definedName>
    <definedName name="ARRENDAMIENTO" localSheetId="10" hidden="1">{#N/A,#N/A,FALSE,"Aging Summary";#N/A,#N/A,FALSE,"Ratio Analysis";#N/A,#N/A,FALSE,"Test 120 Day Accts";#N/A,#N/A,FALSE,"Tickmarks"}</definedName>
    <definedName name="ARRENDAMIENTO" localSheetId="11" hidden="1">{#N/A,#N/A,FALSE,"Aging Summary";#N/A,#N/A,FALSE,"Ratio Analysis";#N/A,#N/A,FALSE,"Test 120 Day Accts";#N/A,#N/A,FALSE,"Tickmarks"}</definedName>
    <definedName name="ARRENDAMIENTO" localSheetId="12" hidden="1">{#N/A,#N/A,FALSE,"Aging Summary";#N/A,#N/A,FALSE,"Ratio Analysis";#N/A,#N/A,FALSE,"Test 120 Day Accts";#N/A,#N/A,FALSE,"Tickmarks"}</definedName>
    <definedName name="ARRENDAMIENTO" localSheetId="13" hidden="1">{#N/A,#N/A,FALSE,"Aging Summary";#N/A,#N/A,FALSE,"Ratio Analysis";#N/A,#N/A,FALSE,"Test 120 Day Accts";#N/A,#N/A,FALSE,"Tickmarks"}</definedName>
    <definedName name="ARRENDAMIENTO" hidden="1">{#N/A,#N/A,FALSE,"Aging Summary";#N/A,#N/A,FALSE,"Ratio Analysis";#N/A,#N/A,FALSE,"Test 120 Day Accts";#N/A,#N/A,FALSE,"Tickmarks"}</definedName>
    <definedName name="AS2DocOpenMode" hidden="1">"AS2DocumentEdit"</definedName>
    <definedName name="B" localSheetId="5" hidden="1">{"PYGS",#N/A,FALSE,"PYG";"ACTIS",#N/A,FALSE,"BCE_GRAL-ACTIVO";"PASIS",#N/A,FALSE,"BCE_GRAL-PASIVO-PATRIM";"CAJAS",#N/A,FALSE,"CAJA"}</definedName>
    <definedName name="B" localSheetId="6" hidden="1">{"PYGS",#N/A,FALSE,"PYG";"ACTIS",#N/A,FALSE,"BCE_GRAL-ACTIVO";"PASIS",#N/A,FALSE,"BCE_GRAL-PASIVO-PATRIM";"CAJAS",#N/A,FALSE,"CAJA"}</definedName>
    <definedName name="B" localSheetId="7" hidden="1">{"PYGS",#N/A,FALSE,"PYG";"ACTIS",#N/A,FALSE,"BCE_GRAL-ACTIVO";"PASIS",#N/A,FALSE,"BCE_GRAL-PASIVO-PATRIM";"CAJAS",#N/A,FALSE,"CAJA"}</definedName>
    <definedName name="B" localSheetId="8" hidden="1">{"PYGS",#N/A,FALSE,"PYG";"ACTIS",#N/A,FALSE,"BCE_GRAL-ACTIVO";"PASIS",#N/A,FALSE,"BCE_GRAL-PASIVO-PATRIM";"CAJAS",#N/A,FALSE,"CAJA"}</definedName>
    <definedName name="B" localSheetId="9" hidden="1">{"PYGS",#N/A,FALSE,"PYG";"ACTIS",#N/A,FALSE,"BCE_GRAL-ACTIVO";"PASIS",#N/A,FALSE,"BCE_GRAL-PASIVO-PATRIM";"CAJAS",#N/A,FALSE,"CAJA"}</definedName>
    <definedName name="B" localSheetId="10" hidden="1">{"PYGS",#N/A,FALSE,"PYG";"ACTIS",#N/A,FALSE,"BCE_GRAL-ACTIVO";"PASIS",#N/A,FALSE,"BCE_GRAL-PASIVO-PATRIM";"CAJAS",#N/A,FALSE,"CAJA"}</definedName>
    <definedName name="B" localSheetId="11" hidden="1">{"PYGS",#N/A,FALSE,"PYG";"ACTIS",#N/A,FALSE,"BCE_GRAL-ACTIVO";"PASIS",#N/A,FALSE,"BCE_GRAL-PASIVO-PATRIM";"CAJAS",#N/A,FALSE,"CAJA"}</definedName>
    <definedName name="B" localSheetId="12" hidden="1">{"PYGS",#N/A,FALSE,"PYG";"ACTIS",#N/A,FALSE,"BCE_GRAL-ACTIVO";"PASIS",#N/A,FALSE,"BCE_GRAL-PASIVO-PATRIM";"CAJAS",#N/A,FALSE,"CAJA"}</definedName>
    <definedName name="B" localSheetId="13" hidden="1">{"PYGS",#N/A,FALSE,"PYG";"ACTIS",#N/A,FALSE,"BCE_GRAL-ACTIVO";"PASIS",#N/A,FALSE,"BCE_GRAL-PASIVO-PATRIM";"CAJAS",#N/A,FALSE,"CAJA"}</definedName>
    <definedName name="B" hidden="1">{"PYGS",#N/A,FALSE,"PYG";"ACTIS",#N/A,FALSE,"BCE_GRAL-ACTIVO";"PASIS",#N/A,FALSE,"BCE_GRAL-PASIVO-PATRIM";"CAJAS",#N/A,FALSE,"CAJA"}</definedName>
    <definedName name="centro" localSheetId="5" hidden="1">{#N/A,#N/A,FALSE,"GRAFICO";#N/A,#N/A,FALSE,"CAJA (2)";#N/A,#N/A,FALSE,"TERCEROS-PROMEDIO";#N/A,#N/A,FALSE,"CAJA";#N/A,#N/A,FALSE,"INGRESOS1995-2003";#N/A,#N/A,FALSE,"GASTOS1995-2003"}</definedName>
    <definedName name="centro" localSheetId="6" hidden="1">{#N/A,#N/A,FALSE,"GRAFICO";#N/A,#N/A,FALSE,"CAJA (2)";#N/A,#N/A,FALSE,"TERCEROS-PROMEDIO";#N/A,#N/A,FALSE,"CAJA";#N/A,#N/A,FALSE,"INGRESOS1995-2003";#N/A,#N/A,FALSE,"GASTOS1995-2003"}</definedName>
    <definedName name="centro" localSheetId="7" hidden="1">{#N/A,#N/A,FALSE,"GRAFICO";#N/A,#N/A,FALSE,"CAJA (2)";#N/A,#N/A,FALSE,"TERCEROS-PROMEDIO";#N/A,#N/A,FALSE,"CAJA";#N/A,#N/A,FALSE,"INGRESOS1995-2003";#N/A,#N/A,FALSE,"GASTOS1995-2003"}</definedName>
    <definedName name="centro" localSheetId="8" hidden="1">{#N/A,#N/A,FALSE,"GRAFICO";#N/A,#N/A,FALSE,"CAJA (2)";#N/A,#N/A,FALSE,"TERCEROS-PROMEDIO";#N/A,#N/A,FALSE,"CAJA";#N/A,#N/A,FALSE,"INGRESOS1995-2003";#N/A,#N/A,FALSE,"GASTOS1995-2003"}</definedName>
    <definedName name="centro" localSheetId="9" hidden="1">{#N/A,#N/A,FALSE,"GRAFICO";#N/A,#N/A,FALSE,"CAJA (2)";#N/A,#N/A,FALSE,"TERCEROS-PROMEDIO";#N/A,#N/A,FALSE,"CAJA";#N/A,#N/A,FALSE,"INGRESOS1995-2003";#N/A,#N/A,FALSE,"GASTOS1995-2003"}</definedName>
    <definedName name="centro" localSheetId="10" hidden="1">{#N/A,#N/A,FALSE,"GRAFICO";#N/A,#N/A,FALSE,"CAJA (2)";#N/A,#N/A,FALSE,"TERCEROS-PROMEDIO";#N/A,#N/A,FALSE,"CAJA";#N/A,#N/A,FALSE,"INGRESOS1995-2003";#N/A,#N/A,FALSE,"GASTOS1995-2003"}</definedName>
    <definedName name="centro" localSheetId="11" hidden="1">{#N/A,#N/A,FALSE,"GRAFICO";#N/A,#N/A,FALSE,"CAJA (2)";#N/A,#N/A,FALSE,"TERCEROS-PROMEDIO";#N/A,#N/A,FALSE,"CAJA";#N/A,#N/A,FALSE,"INGRESOS1995-2003";#N/A,#N/A,FALSE,"GASTOS1995-2003"}</definedName>
    <definedName name="centro" localSheetId="12" hidden="1">{#N/A,#N/A,FALSE,"GRAFICO";#N/A,#N/A,FALSE,"CAJA (2)";#N/A,#N/A,FALSE,"TERCEROS-PROMEDIO";#N/A,#N/A,FALSE,"CAJA";#N/A,#N/A,FALSE,"INGRESOS1995-2003";#N/A,#N/A,FALSE,"GASTOS1995-2003"}</definedName>
    <definedName name="centro" localSheetId="13" hidden="1">{#N/A,#N/A,FALSE,"GRAFICO";#N/A,#N/A,FALSE,"CAJA (2)";#N/A,#N/A,FALSE,"TERCEROS-PROMEDIO";#N/A,#N/A,FALSE,"CAJA";#N/A,#N/A,FALSE,"INGRESOS1995-2003";#N/A,#N/A,FALSE,"GASTOS1995-2003"}</definedName>
    <definedName name="centro" hidden="1">{#N/A,#N/A,FALSE,"GRAFICO";#N/A,#N/A,FALSE,"CAJA (2)";#N/A,#N/A,FALSE,"TERCEROS-PROMEDIO";#N/A,#N/A,FALSE,"CAJA";#N/A,#N/A,FALSE,"INGRESOS1995-2003";#N/A,#N/A,FALSE,"GASTOS1995-2003"}</definedName>
    <definedName name="_xlnm.Criteria" localSheetId="5" hidden="1">{#N/A,#N/A,FALSE,"GRAFICO";#N/A,#N/A,FALSE,"CAJA (2)";#N/A,#N/A,FALSE,"TERCEROS-PROMEDIO";#N/A,#N/A,FALSE,"CAJA";#N/A,#N/A,FALSE,"INGRESOS1995-2003";#N/A,#N/A,FALSE,"GASTOS1995-2003"}</definedName>
    <definedName name="_xlnm.Criteria" localSheetId="6" hidden="1">{#N/A,#N/A,FALSE,"GRAFICO";#N/A,#N/A,FALSE,"CAJA (2)";#N/A,#N/A,FALSE,"TERCEROS-PROMEDIO";#N/A,#N/A,FALSE,"CAJA";#N/A,#N/A,FALSE,"INGRESOS1995-2003";#N/A,#N/A,FALSE,"GASTOS1995-2003"}</definedName>
    <definedName name="_xlnm.Criteria" localSheetId="7" hidden="1">{#N/A,#N/A,FALSE,"GRAFICO";#N/A,#N/A,FALSE,"CAJA (2)";#N/A,#N/A,FALSE,"TERCEROS-PROMEDIO";#N/A,#N/A,FALSE,"CAJA";#N/A,#N/A,FALSE,"INGRESOS1995-2003";#N/A,#N/A,FALSE,"GASTOS1995-2003"}</definedName>
    <definedName name="_xlnm.Criteria" localSheetId="8" hidden="1">{#N/A,#N/A,FALSE,"GRAFICO";#N/A,#N/A,FALSE,"CAJA (2)";#N/A,#N/A,FALSE,"TERCEROS-PROMEDIO";#N/A,#N/A,FALSE,"CAJA";#N/A,#N/A,FALSE,"INGRESOS1995-2003";#N/A,#N/A,FALSE,"GASTOS1995-2003"}</definedName>
    <definedName name="_xlnm.Criteria" localSheetId="9" hidden="1">{#N/A,#N/A,FALSE,"GRAFICO";#N/A,#N/A,FALSE,"CAJA (2)";#N/A,#N/A,FALSE,"TERCEROS-PROMEDIO";#N/A,#N/A,FALSE,"CAJA";#N/A,#N/A,FALSE,"INGRESOS1995-2003";#N/A,#N/A,FALSE,"GASTOS1995-2003"}</definedName>
    <definedName name="_xlnm.Criteria" localSheetId="10" hidden="1">{#N/A,#N/A,FALSE,"GRAFICO";#N/A,#N/A,FALSE,"CAJA (2)";#N/A,#N/A,FALSE,"TERCEROS-PROMEDIO";#N/A,#N/A,FALSE,"CAJA";#N/A,#N/A,FALSE,"INGRESOS1995-2003";#N/A,#N/A,FALSE,"GASTOS1995-2003"}</definedName>
    <definedName name="_xlnm.Criteria" localSheetId="11" hidden="1">{#N/A,#N/A,FALSE,"GRAFICO";#N/A,#N/A,FALSE,"CAJA (2)";#N/A,#N/A,FALSE,"TERCEROS-PROMEDIO";#N/A,#N/A,FALSE,"CAJA";#N/A,#N/A,FALSE,"INGRESOS1995-2003";#N/A,#N/A,FALSE,"GASTOS1995-2003"}</definedName>
    <definedName name="_xlnm.Criteria" localSheetId="12" hidden="1">{#N/A,#N/A,FALSE,"GRAFICO";#N/A,#N/A,FALSE,"CAJA (2)";#N/A,#N/A,FALSE,"TERCEROS-PROMEDIO";#N/A,#N/A,FALSE,"CAJA";#N/A,#N/A,FALSE,"INGRESOS1995-2003";#N/A,#N/A,FALSE,"GASTOS1995-2003"}</definedName>
    <definedName name="_xlnm.Criteria" localSheetId="13" hidden="1">{#N/A,#N/A,FALSE,"GRAFICO";#N/A,#N/A,FALSE,"CAJA (2)";#N/A,#N/A,FALSE,"TERCEROS-PROMEDIO";#N/A,#N/A,FALSE,"CAJA";#N/A,#N/A,FALSE,"INGRESOS1995-2003";#N/A,#N/A,FALSE,"GASTOS1995-2003"}</definedName>
    <definedName name="_xlnm.Criteria" hidden="1">{#N/A,#N/A,FALSE,"GRAFICO";#N/A,#N/A,FALSE,"CAJA (2)";#N/A,#N/A,FALSE,"TERCEROS-PROMEDIO";#N/A,#N/A,FALSE,"CAJA";#N/A,#N/A,FALSE,"INGRESOS1995-2003";#N/A,#N/A,FALSE,"GASTOS1995-2003"}</definedName>
    <definedName name="crt" localSheetId="5" hidden="1">{#N/A,#N/A,FALSE,"GRAFICO";#N/A,#N/A,FALSE,"CAJA (2)";#N/A,#N/A,FALSE,"TERCEROS-PROMEDIO";#N/A,#N/A,FALSE,"CAJA";#N/A,#N/A,FALSE,"INGRESOS1995-2003";#N/A,#N/A,FALSE,"GASTOS1995-2003"}</definedName>
    <definedName name="crt" localSheetId="6" hidden="1">{#N/A,#N/A,FALSE,"GRAFICO";#N/A,#N/A,FALSE,"CAJA (2)";#N/A,#N/A,FALSE,"TERCEROS-PROMEDIO";#N/A,#N/A,FALSE,"CAJA";#N/A,#N/A,FALSE,"INGRESOS1995-2003";#N/A,#N/A,FALSE,"GASTOS1995-2003"}</definedName>
    <definedName name="crt" localSheetId="7" hidden="1">{#N/A,#N/A,FALSE,"GRAFICO";#N/A,#N/A,FALSE,"CAJA (2)";#N/A,#N/A,FALSE,"TERCEROS-PROMEDIO";#N/A,#N/A,FALSE,"CAJA";#N/A,#N/A,FALSE,"INGRESOS1995-2003";#N/A,#N/A,FALSE,"GASTOS1995-2003"}</definedName>
    <definedName name="crt" localSheetId="8" hidden="1">{#N/A,#N/A,FALSE,"GRAFICO";#N/A,#N/A,FALSE,"CAJA (2)";#N/A,#N/A,FALSE,"TERCEROS-PROMEDIO";#N/A,#N/A,FALSE,"CAJA";#N/A,#N/A,FALSE,"INGRESOS1995-2003";#N/A,#N/A,FALSE,"GASTOS1995-2003"}</definedName>
    <definedName name="crt" localSheetId="9" hidden="1">{#N/A,#N/A,FALSE,"GRAFICO";#N/A,#N/A,FALSE,"CAJA (2)";#N/A,#N/A,FALSE,"TERCEROS-PROMEDIO";#N/A,#N/A,FALSE,"CAJA";#N/A,#N/A,FALSE,"INGRESOS1995-2003";#N/A,#N/A,FALSE,"GASTOS1995-2003"}</definedName>
    <definedName name="crt" localSheetId="10" hidden="1">{#N/A,#N/A,FALSE,"GRAFICO";#N/A,#N/A,FALSE,"CAJA (2)";#N/A,#N/A,FALSE,"TERCEROS-PROMEDIO";#N/A,#N/A,FALSE,"CAJA";#N/A,#N/A,FALSE,"INGRESOS1995-2003";#N/A,#N/A,FALSE,"GASTOS1995-2003"}</definedName>
    <definedName name="crt" localSheetId="11" hidden="1">{#N/A,#N/A,FALSE,"GRAFICO";#N/A,#N/A,FALSE,"CAJA (2)";#N/A,#N/A,FALSE,"TERCEROS-PROMEDIO";#N/A,#N/A,FALSE,"CAJA";#N/A,#N/A,FALSE,"INGRESOS1995-2003";#N/A,#N/A,FALSE,"GASTOS1995-2003"}</definedName>
    <definedName name="crt" localSheetId="12" hidden="1">{#N/A,#N/A,FALSE,"GRAFICO";#N/A,#N/A,FALSE,"CAJA (2)";#N/A,#N/A,FALSE,"TERCEROS-PROMEDIO";#N/A,#N/A,FALSE,"CAJA";#N/A,#N/A,FALSE,"INGRESOS1995-2003";#N/A,#N/A,FALSE,"GASTOS1995-2003"}</definedName>
    <definedName name="crt" localSheetId="13" hidden="1">{#N/A,#N/A,FALSE,"GRAFICO";#N/A,#N/A,FALSE,"CAJA (2)";#N/A,#N/A,FALSE,"TERCEROS-PROMEDIO";#N/A,#N/A,FALSE,"CAJA";#N/A,#N/A,FALSE,"INGRESOS1995-2003";#N/A,#N/A,FALSE,"GASTOS1995-2003"}</definedName>
    <definedName name="crt" hidden="1">{#N/A,#N/A,FALSE,"GRAFICO";#N/A,#N/A,FALSE,"CAJA (2)";#N/A,#N/A,FALSE,"TERCEROS-PROMEDIO";#N/A,#N/A,FALSE,"CAJA";#N/A,#N/A,FALSE,"INGRESOS1995-2003";#N/A,#N/A,FALSE,"GASTOS1995-2003"}</definedName>
    <definedName name="D" localSheetId="5" hidden="1">{"PYGT",#N/A,FALSE,"PYG";"ACTIT",#N/A,FALSE,"BCE_GRAL-ACTIVO";"PASIT",#N/A,FALSE,"BCE_GRAL-PASIVO-PATRIM";"CAJAT",#N/A,FALSE,"CAJA"}</definedName>
    <definedName name="D" localSheetId="6" hidden="1">{"PYGT",#N/A,FALSE,"PYG";"ACTIT",#N/A,FALSE,"BCE_GRAL-ACTIVO";"PASIT",#N/A,FALSE,"BCE_GRAL-PASIVO-PATRIM";"CAJAT",#N/A,FALSE,"CAJA"}</definedName>
    <definedName name="D" localSheetId="7" hidden="1">{"PYGT",#N/A,FALSE,"PYG";"ACTIT",#N/A,FALSE,"BCE_GRAL-ACTIVO";"PASIT",#N/A,FALSE,"BCE_GRAL-PASIVO-PATRIM";"CAJAT",#N/A,FALSE,"CAJA"}</definedName>
    <definedName name="D" localSheetId="8" hidden="1">{"PYGT",#N/A,FALSE,"PYG";"ACTIT",#N/A,FALSE,"BCE_GRAL-ACTIVO";"PASIT",#N/A,FALSE,"BCE_GRAL-PASIVO-PATRIM";"CAJAT",#N/A,FALSE,"CAJA"}</definedName>
    <definedName name="D" localSheetId="9" hidden="1">{"PYGT",#N/A,FALSE,"PYG";"ACTIT",#N/A,FALSE,"BCE_GRAL-ACTIVO";"PASIT",#N/A,FALSE,"BCE_GRAL-PASIVO-PATRIM";"CAJAT",#N/A,FALSE,"CAJA"}</definedName>
    <definedName name="D" localSheetId="10" hidden="1">{"PYGT",#N/A,FALSE,"PYG";"ACTIT",#N/A,FALSE,"BCE_GRAL-ACTIVO";"PASIT",#N/A,FALSE,"BCE_GRAL-PASIVO-PATRIM";"CAJAT",#N/A,FALSE,"CAJA"}</definedName>
    <definedName name="D" localSheetId="11" hidden="1">{"PYGT",#N/A,FALSE,"PYG";"ACTIT",#N/A,FALSE,"BCE_GRAL-ACTIVO";"PASIT",#N/A,FALSE,"BCE_GRAL-PASIVO-PATRIM";"CAJAT",#N/A,FALSE,"CAJA"}</definedName>
    <definedName name="D" localSheetId="12" hidden="1">{"PYGT",#N/A,FALSE,"PYG";"ACTIT",#N/A,FALSE,"BCE_GRAL-ACTIVO";"PASIT",#N/A,FALSE,"BCE_GRAL-PASIVO-PATRIM";"CAJAT",#N/A,FALSE,"CAJA"}</definedName>
    <definedName name="D" localSheetId="13" hidden="1">{"PYGT",#N/A,FALSE,"PYG";"ACTIT",#N/A,FALSE,"BCE_GRAL-ACTIVO";"PASIT",#N/A,FALSE,"BCE_GRAL-PASIVO-PATRIM";"CAJAT",#N/A,FALSE,"CAJA"}</definedName>
    <definedName name="D" hidden="1">{"PYGT",#N/A,FALSE,"PYG";"ACTIT",#N/A,FALSE,"BCE_GRAL-ACTIVO";"PASIT",#N/A,FALSE,"BCE_GRAL-PASIVO-PATRIM";"CAJAT",#N/A,FALSE,"CAJA"}</definedName>
    <definedName name="DESFRE" localSheetId="5" hidden="1">{#N/A,#N/A,FALSE,"GRAFICO";#N/A,#N/A,FALSE,"CAJA (2)";#N/A,#N/A,FALSE,"TERCEROS-PROMEDIO";#N/A,#N/A,FALSE,"CAJA";#N/A,#N/A,FALSE,"INGRESOS1995-2003";#N/A,#N/A,FALSE,"GASTOS1995-2003"}</definedName>
    <definedName name="DESFRE" localSheetId="6" hidden="1">{#N/A,#N/A,FALSE,"GRAFICO";#N/A,#N/A,FALSE,"CAJA (2)";#N/A,#N/A,FALSE,"TERCEROS-PROMEDIO";#N/A,#N/A,FALSE,"CAJA";#N/A,#N/A,FALSE,"INGRESOS1995-2003";#N/A,#N/A,FALSE,"GASTOS1995-2003"}</definedName>
    <definedName name="DESFRE" localSheetId="7" hidden="1">{#N/A,#N/A,FALSE,"GRAFICO";#N/A,#N/A,FALSE,"CAJA (2)";#N/A,#N/A,FALSE,"TERCEROS-PROMEDIO";#N/A,#N/A,FALSE,"CAJA";#N/A,#N/A,FALSE,"INGRESOS1995-2003";#N/A,#N/A,FALSE,"GASTOS1995-2003"}</definedName>
    <definedName name="DESFRE" localSheetId="8" hidden="1">{#N/A,#N/A,FALSE,"GRAFICO";#N/A,#N/A,FALSE,"CAJA (2)";#N/A,#N/A,FALSE,"TERCEROS-PROMEDIO";#N/A,#N/A,FALSE,"CAJA";#N/A,#N/A,FALSE,"INGRESOS1995-2003";#N/A,#N/A,FALSE,"GASTOS1995-2003"}</definedName>
    <definedName name="DESFRE" localSheetId="9" hidden="1">{#N/A,#N/A,FALSE,"GRAFICO";#N/A,#N/A,FALSE,"CAJA (2)";#N/A,#N/A,FALSE,"TERCEROS-PROMEDIO";#N/A,#N/A,FALSE,"CAJA";#N/A,#N/A,FALSE,"INGRESOS1995-2003";#N/A,#N/A,FALSE,"GASTOS1995-2003"}</definedName>
    <definedName name="DESFRE" localSheetId="10" hidden="1">{#N/A,#N/A,FALSE,"GRAFICO";#N/A,#N/A,FALSE,"CAJA (2)";#N/A,#N/A,FALSE,"TERCEROS-PROMEDIO";#N/A,#N/A,FALSE,"CAJA";#N/A,#N/A,FALSE,"INGRESOS1995-2003";#N/A,#N/A,FALSE,"GASTOS1995-2003"}</definedName>
    <definedName name="DESFRE" localSheetId="11" hidden="1">{#N/A,#N/A,FALSE,"GRAFICO";#N/A,#N/A,FALSE,"CAJA (2)";#N/A,#N/A,FALSE,"TERCEROS-PROMEDIO";#N/A,#N/A,FALSE,"CAJA";#N/A,#N/A,FALSE,"INGRESOS1995-2003";#N/A,#N/A,FALSE,"GASTOS1995-2003"}</definedName>
    <definedName name="DESFRE" localSheetId="12" hidden="1">{#N/A,#N/A,FALSE,"GRAFICO";#N/A,#N/A,FALSE,"CAJA (2)";#N/A,#N/A,FALSE,"TERCEROS-PROMEDIO";#N/A,#N/A,FALSE,"CAJA";#N/A,#N/A,FALSE,"INGRESOS1995-2003";#N/A,#N/A,FALSE,"GASTOS1995-2003"}</definedName>
    <definedName name="DESFRE" localSheetId="13" hidden="1">{#N/A,#N/A,FALSE,"GRAFICO";#N/A,#N/A,FALSE,"CAJA (2)";#N/A,#N/A,FALSE,"TERCEROS-PROMEDIO";#N/A,#N/A,FALSE,"CAJA";#N/A,#N/A,FALSE,"INGRESOS1995-2003";#N/A,#N/A,FALSE,"GASTOS1995-2003"}</definedName>
    <definedName name="DESFRE" hidden="1">{#N/A,#N/A,FALSE,"GRAFICO";#N/A,#N/A,FALSE,"CAJA (2)";#N/A,#N/A,FALSE,"TERCEROS-PROMEDIO";#N/A,#N/A,FALSE,"CAJA";#N/A,#N/A,FALSE,"INGRESOS1995-2003";#N/A,#N/A,FALSE,"GASTOS1995-2003"}</definedName>
    <definedName name="DISTRIBUCION" localSheetId="5" hidden="1">{#N/A,#N/A,FALSE,"GRAFICO";#N/A,#N/A,FALSE,"CAJA (2)";#N/A,#N/A,FALSE,"TERCEROS-PROMEDIO";#N/A,#N/A,FALSE,"CAJA";#N/A,#N/A,FALSE,"INGRESOS1995-2003";#N/A,#N/A,FALSE,"GASTOS1995-2003"}</definedName>
    <definedName name="DISTRIBUCION" localSheetId="6" hidden="1">{#N/A,#N/A,FALSE,"GRAFICO";#N/A,#N/A,FALSE,"CAJA (2)";#N/A,#N/A,FALSE,"TERCEROS-PROMEDIO";#N/A,#N/A,FALSE,"CAJA";#N/A,#N/A,FALSE,"INGRESOS1995-2003";#N/A,#N/A,FALSE,"GASTOS1995-2003"}</definedName>
    <definedName name="DISTRIBUCION" localSheetId="7" hidden="1">{#N/A,#N/A,FALSE,"GRAFICO";#N/A,#N/A,FALSE,"CAJA (2)";#N/A,#N/A,FALSE,"TERCEROS-PROMEDIO";#N/A,#N/A,FALSE,"CAJA";#N/A,#N/A,FALSE,"INGRESOS1995-2003";#N/A,#N/A,FALSE,"GASTOS1995-2003"}</definedName>
    <definedName name="DISTRIBUCION" localSheetId="8" hidden="1">{#N/A,#N/A,FALSE,"GRAFICO";#N/A,#N/A,FALSE,"CAJA (2)";#N/A,#N/A,FALSE,"TERCEROS-PROMEDIO";#N/A,#N/A,FALSE,"CAJA";#N/A,#N/A,FALSE,"INGRESOS1995-2003";#N/A,#N/A,FALSE,"GASTOS1995-2003"}</definedName>
    <definedName name="DISTRIBUCION" localSheetId="9" hidden="1">{#N/A,#N/A,FALSE,"GRAFICO";#N/A,#N/A,FALSE,"CAJA (2)";#N/A,#N/A,FALSE,"TERCEROS-PROMEDIO";#N/A,#N/A,FALSE,"CAJA";#N/A,#N/A,FALSE,"INGRESOS1995-2003";#N/A,#N/A,FALSE,"GASTOS1995-2003"}</definedName>
    <definedName name="DISTRIBUCION" localSheetId="10" hidden="1">{#N/A,#N/A,FALSE,"GRAFICO";#N/A,#N/A,FALSE,"CAJA (2)";#N/A,#N/A,FALSE,"TERCEROS-PROMEDIO";#N/A,#N/A,FALSE,"CAJA";#N/A,#N/A,FALSE,"INGRESOS1995-2003";#N/A,#N/A,FALSE,"GASTOS1995-2003"}</definedName>
    <definedName name="DISTRIBUCION" localSheetId="11" hidden="1">{#N/A,#N/A,FALSE,"GRAFICO";#N/A,#N/A,FALSE,"CAJA (2)";#N/A,#N/A,FALSE,"TERCEROS-PROMEDIO";#N/A,#N/A,FALSE,"CAJA";#N/A,#N/A,FALSE,"INGRESOS1995-2003";#N/A,#N/A,FALSE,"GASTOS1995-2003"}</definedName>
    <definedName name="DISTRIBUCION" localSheetId="12" hidden="1">{#N/A,#N/A,FALSE,"GRAFICO";#N/A,#N/A,FALSE,"CAJA (2)";#N/A,#N/A,FALSE,"TERCEROS-PROMEDIO";#N/A,#N/A,FALSE,"CAJA";#N/A,#N/A,FALSE,"INGRESOS1995-2003";#N/A,#N/A,FALSE,"GASTOS1995-2003"}</definedName>
    <definedName name="DISTRIBUCION" localSheetId="13" hidden="1">{#N/A,#N/A,FALSE,"GRAFICO";#N/A,#N/A,FALSE,"CAJA (2)";#N/A,#N/A,FALSE,"TERCEROS-PROMEDIO";#N/A,#N/A,FALSE,"CAJA";#N/A,#N/A,FALSE,"INGRESOS1995-2003";#N/A,#N/A,FALSE,"GASTOS1995-2003"}</definedName>
    <definedName name="DISTRIBUCION" hidden="1">{#N/A,#N/A,FALSE,"GRAFICO";#N/A,#N/A,FALSE,"CAJA (2)";#N/A,#N/A,FALSE,"TERCEROS-PROMEDIO";#N/A,#N/A,FALSE,"CAJA";#N/A,#N/A,FALSE,"INGRESOS1995-2003";#N/A,#N/A,FALSE,"GASTOS1995-2003"}</definedName>
    <definedName name="Ebitda" localSheetId="5" hidden="1">{#N/A,#N/A,FALSE,"GRAFICO";#N/A,#N/A,FALSE,"CAJA (2)";#N/A,#N/A,FALSE,"TERCEROS-PROMEDIO";#N/A,#N/A,FALSE,"CAJA";#N/A,#N/A,FALSE,"INGRESOS1995-2003";#N/A,#N/A,FALSE,"GASTOS1995-2003"}</definedName>
    <definedName name="Ebitda" localSheetId="6" hidden="1">{#N/A,#N/A,FALSE,"GRAFICO";#N/A,#N/A,FALSE,"CAJA (2)";#N/A,#N/A,FALSE,"TERCEROS-PROMEDIO";#N/A,#N/A,FALSE,"CAJA";#N/A,#N/A,FALSE,"INGRESOS1995-2003";#N/A,#N/A,FALSE,"GASTOS1995-2003"}</definedName>
    <definedName name="Ebitda" localSheetId="7" hidden="1">{#N/A,#N/A,FALSE,"GRAFICO";#N/A,#N/A,FALSE,"CAJA (2)";#N/A,#N/A,FALSE,"TERCEROS-PROMEDIO";#N/A,#N/A,FALSE,"CAJA";#N/A,#N/A,FALSE,"INGRESOS1995-2003";#N/A,#N/A,FALSE,"GASTOS1995-2003"}</definedName>
    <definedName name="Ebitda" localSheetId="8" hidden="1">{#N/A,#N/A,FALSE,"GRAFICO";#N/A,#N/A,FALSE,"CAJA (2)";#N/A,#N/A,FALSE,"TERCEROS-PROMEDIO";#N/A,#N/A,FALSE,"CAJA";#N/A,#N/A,FALSE,"INGRESOS1995-2003";#N/A,#N/A,FALSE,"GASTOS1995-2003"}</definedName>
    <definedName name="Ebitda" localSheetId="9" hidden="1">{#N/A,#N/A,FALSE,"GRAFICO";#N/A,#N/A,FALSE,"CAJA (2)";#N/A,#N/A,FALSE,"TERCEROS-PROMEDIO";#N/A,#N/A,FALSE,"CAJA";#N/A,#N/A,FALSE,"INGRESOS1995-2003";#N/A,#N/A,FALSE,"GASTOS1995-2003"}</definedName>
    <definedName name="Ebitda" localSheetId="10" hidden="1">{#N/A,#N/A,FALSE,"GRAFICO";#N/A,#N/A,FALSE,"CAJA (2)";#N/A,#N/A,FALSE,"TERCEROS-PROMEDIO";#N/A,#N/A,FALSE,"CAJA";#N/A,#N/A,FALSE,"INGRESOS1995-2003";#N/A,#N/A,FALSE,"GASTOS1995-2003"}</definedName>
    <definedName name="Ebitda" localSheetId="11" hidden="1">{#N/A,#N/A,FALSE,"GRAFICO";#N/A,#N/A,FALSE,"CAJA (2)";#N/A,#N/A,FALSE,"TERCEROS-PROMEDIO";#N/A,#N/A,FALSE,"CAJA";#N/A,#N/A,FALSE,"INGRESOS1995-2003";#N/A,#N/A,FALSE,"GASTOS1995-2003"}</definedName>
    <definedName name="Ebitda" localSheetId="12" hidden="1">{#N/A,#N/A,FALSE,"GRAFICO";#N/A,#N/A,FALSE,"CAJA (2)";#N/A,#N/A,FALSE,"TERCEROS-PROMEDIO";#N/A,#N/A,FALSE,"CAJA";#N/A,#N/A,FALSE,"INGRESOS1995-2003";#N/A,#N/A,FALSE,"GASTOS1995-2003"}</definedName>
    <definedName name="Ebitda" localSheetId="13" hidden="1">{#N/A,#N/A,FALSE,"GRAFICO";#N/A,#N/A,FALSE,"CAJA (2)";#N/A,#N/A,FALSE,"TERCEROS-PROMEDIO";#N/A,#N/A,FALSE,"CAJA";#N/A,#N/A,FALSE,"INGRESOS1995-2003";#N/A,#N/A,FALSE,"GASTOS1995-2003"}</definedName>
    <definedName name="Ebitda" hidden="1">{#N/A,#N/A,FALSE,"GRAFICO";#N/A,#N/A,FALSE,"CAJA (2)";#N/A,#N/A,FALSE,"TERCEROS-PROMEDIO";#N/A,#N/A,FALSE,"CAJA";#N/A,#N/A,FALSE,"INGRESOS1995-2003";#N/A,#N/A,FALSE,"GASTOS1995-2003"}</definedName>
    <definedName name="EE" localSheetId="5" hidden="1">#REF!</definedName>
    <definedName name="EE" localSheetId="6" hidden="1">#REF!</definedName>
    <definedName name="EE" localSheetId="7" hidden="1">#REF!</definedName>
    <definedName name="EE" localSheetId="8" hidden="1">#REF!</definedName>
    <definedName name="EE" localSheetId="9" hidden="1">#REF!</definedName>
    <definedName name="EE" localSheetId="10" hidden="1">#REF!</definedName>
    <definedName name="EE" localSheetId="11" hidden="1">#REF!</definedName>
    <definedName name="EE" localSheetId="12" hidden="1">#REF!</definedName>
    <definedName name="EE" localSheetId="13" hidden="1">#REF!</definedName>
    <definedName name="EE" hidden="1">#REF!</definedName>
    <definedName name="ESCENARIO" localSheetId="5" hidden="1">{#N/A,#N/A,FALSE,"GRAFICO";#N/A,#N/A,FALSE,"CAJA (2)";#N/A,#N/A,FALSE,"TERCEROS-PROMEDIO";#N/A,#N/A,FALSE,"CAJA";#N/A,#N/A,FALSE,"INGRESOS1995-2003";#N/A,#N/A,FALSE,"GASTOS1995-2003"}</definedName>
    <definedName name="ESCENARIO" localSheetId="6" hidden="1">{#N/A,#N/A,FALSE,"GRAFICO";#N/A,#N/A,FALSE,"CAJA (2)";#N/A,#N/A,FALSE,"TERCEROS-PROMEDIO";#N/A,#N/A,FALSE,"CAJA";#N/A,#N/A,FALSE,"INGRESOS1995-2003";#N/A,#N/A,FALSE,"GASTOS1995-2003"}</definedName>
    <definedName name="ESCENARIO" localSheetId="7" hidden="1">{#N/A,#N/A,FALSE,"GRAFICO";#N/A,#N/A,FALSE,"CAJA (2)";#N/A,#N/A,FALSE,"TERCEROS-PROMEDIO";#N/A,#N/A,FALSE,"CAJA";#N/A,#N/A,FALSE,"INGRESOS1995-2003";#N/A,#N/A,FALSE,"GASTOS1995-2003"}</definedName>
    <definedName name="ESCENARIO" localSheetId="8" hidden="1">{#N/A,#N/A,FALSE,"GRAFICO";#N/A,#N/A,FALSE,"CAJA (2)";#N/A,#N/A,FALSE,"TERCEROS-PROMEDIO";#N/A,#N/A,FALSE,"CAJA";#N/A,#N/A,FALSE,"INGRESOS1995-2003";#N/A,#N/A,FALSE,"GASTOS1995-2003"}</definedName>
    <definedName name="ESCENARIO" localSheetId="9" hidden="1">{#N/A,#N/A,FALSE,"GRAFICO";#N/A,#N/A,FALSE,"CAJA (2)";#N/A,#N/A,FALSE,"TERCEROS-PROMEDIO";#N/A,#N/A,FALSE,"CAJA";#N/A,#N/A,FALSE,"INGRESOS1995-2003";#N/A,#N/A,FALSE,"GASTOS1995-2003"}</definedName>
    <definedName name="ESCENARIO" localSheetId="10" hidden="1">{#N/A,#N/A,FALSE,"GRAFICO";#N/A,#N/A,FALSE,"CAJA (2)";#N/A,#N/A,FALSE,"TERCEROS-PROMEDIO";#N/A,#N/A,FALSE,"CAJA";#N/A,#N/A,FALSE,"INGRESOS1995-2003";#N/A,#N/A,FALSE,"GASTOS1995-2003"}</definedName>
    <definedName name="ESCENARIO" localSheetId="11" hidden="1">{#N/A,#N/A,FALSE,"GRAFICO";#N/A,#N/A,FALSE,"CAJA (2)";#N/A,#N/A,FALSE,"TERCEROS-PROMEDIO";#N/A,#N/A,FALSE,"CAJA";#N/A,#N/A,FALSE,"INGRESOS1995-2003";#N/A,#N/A,FALSE,"GASTOS1995-2003"}</definedName>
    <definedName name="ESCENARIO" localSheetId="12" hidden="1">{#N/A,#N/A,FALSE,"GRAFICO";#N/A,#N/A,FALSE,"CAJA (2)";#N/A,#N/A,FALSE,"TERCEROS-PROMEDIO";#N/A,#N/A,FALSE,"CAJA";#N/A,#N/A,FALSE,"INGRESOS1995-2003";#N/A,#N/A,FALSE,"GASTOS1995-2003"}</definedName>
    <definedName name="ESCENARIO" localSheetId="13" hidden="1">{#N/A,#N/A,FALSE,"GRAFICO";#N/A,#N/A,FALSE,"CAJA (2)";#N/A,#N/A,FALSE,"TERCEROS-PROMEDIO";#N/A,#N/A,FALSE,"CAJA";#N/A,#N/A,FALSE,"INGRESOS1995-2003";#N/A,#N/A,FALSE,"GASTOS1995-2003"}</definedName>
    <definedName name="ESCENARIO" hidden="1">{#N/A,#N/A,FALSE,"GRAFICO";#N/A,#N/A,FALSE,"CAJA (2)";#N/A,#N/A,FALSE,"TERCEROS-PROMEDIO";#N/A,#N/A,FALSE,"CAJA";#N/A,#N/A,FALSE,"INGRESOS1995-2003";#N/A,#N/A,FALSE,"GASTOS1995-2003"}</definedName>
    <definedName name="este" localSheetId="5" hidden="1">{"PYGT",#N/A,FALSE,"PYG";"ACTIT",#N/A,FALSE,"BCE_GRAL-ACTIVO";"PASIT",#N/A,FALSE,"BCE_GRAL-PASIVO-PATRIM";"CAJAT",#N/A,FALSE,"CAJA"}</definedName>
    <definedName name="este" localSheetId="6" hidden="1">{"PYGT",#N/A,FALSE,"PYG";"ACTIT",#N/A,FALSE,"BCE_GRAL-ACTIVO";"PASIT",#N/A,FALSE,"BCE_GRAL-PASIVO-PATRIM";"CAJAT",#N/A,FALSE,"CAJA"}</definedName>
    <definedName name="este" localSheetId="7" hidden="1">{"PYGT",#N/A,FALSE,"PYG";"ACTIT",#N/A,FALSE,"BCE_GRAL-ACTIVO";"PASIT",#N/A,FALSE,"BCE_GRAL-PASIVO-PATRIM";"CAJAT",#N/A,FALSE,"CAJA"}</definedName>
    <definedName name="este" localSheetId="8" hidden="1">{"PYGT",#N/A,FALSE,"PYG";"ACTIT",#N/A,FALSE,"BCE_GRAL-ACTIVO";"PASIT",#N/A,FALSE,"BCE_GRAL-PASIVO-PATRIM";"CAJAT",#N/A,FALSE,"CAJA"}</definedName>
    <definedName name="este" localSheetId="9" hidden="1">{"PYGT",#N/A,FALSE,"PYG";"ACTIT",#N/A,FALSE,"BCE_GRAL-ACTIVO";"PASIT",#N/A,FALSE,"BCE_GRAL-PASIVO-PATRIM";"CAJAT",#N/A,FALSE,"CAJA"}</definedName>
    <definedName name="este" localSheetId="10" hidden="1">{"PYGT",#N/A,FALSE,"PYG";"ACTIT",#N/A,FALSE,"BCE_GRAL-ACTIVO";"PASIT",#N/A,FALSE,"BCE_GRAL-PASIVO-PATRIM";"CAJAT",#N/A,FALSE,"CAJA"}</definedName>
    <definedName name="este" localSheetId="11" hidden="1">{"PYGT",#N/A,FALSE,"PYG";"ACTIT",#N/A,FALSE,"BCE_GRAL-ACTIVO";"PASIT",#N/A,FALSE,"BCE_GRAL-PASIVO-PATRIM";"CAJAT",#N/A,FALSE,"CAJA"}</definedName>
    <definedName name="este" localSheetId="12" hidden="1">{"PYGT",#N/A,FALSE,"PYG";"ACTIT",#N/A,FALSE,"BCE_GRAL-ACTIVO";"PASIT",#N/A,FALSE,"BCE_GRAL-PASIVO-PATRIM";"CAJAT",#N/A,FALSE,"CAJA"}</definedName>
    <definedName name="este" localSheetId="13" hidden="1">{"PYGT",#N/A,FALSE,"PYG";"ACTIT",#N/A,FALSE,"BCE_GRAL-ACTIVO";"PASIT",#N/A,FALSE,"BCE_GRAL-PASIVO-PATRIM";"CAJAT",#N/A,FALSE,"CAJA"}</definedName>
    <definedName name="este" hidden="1">{"PYGT",#N/A,FALSE,"PYG";"ACTIT",#N/A,FALSE,"BCE_GRAL-ACTIVO";"PASIT",#N/A,FALSE,"BCE_GRAL-PASIVO-PATRIM";"CAJAT",#N/A,FALSE,"CAJA"}</definedName>
    <definedName name="ESTEWW" localSheetId="5" hidden="1">{#N/A,#N/A,FALSE,"GRAFICO";#N/A,#N/A,FALSE,"CAJA (2)";#N/A,#N/A,FALSE,"TERCEROS-PROMEDIO";#N/A,#N/A,FALSE,"CAJA";#N/A,#N/A,FALSE,"INGRESOS1995-2003";#N/A,#N/A,FALSE,"GASTOS1995-2003"}</definedName>
    <definedName name="ESTEWW" localSheetId="6" hidden="1">{#N/A,#N/A,FALSE,"GRAFICO";#N/A,#N/A,FALSE,"CAJA (2)";#N/A,#N/A,FALSE,"TERCEROS-PROMEDIO";#N/A,#N/A,FALSE,"CAJA";#N/A,#N/A,FALSE,"INGRESOS1995-2003";#N/A,#N/A,FALSE,"GASTOS1995-2003"}</definedName>
    <definedName name="ESTEWW" localSheetId="7" hidden="1">{#N/A,#N/A,FALSE,"GRAFICO";#N/A,#N/A,FALSE,"CAJA (2)";#N/A,#N/A,FALSE,"TERCEROS-PROMEDIO";#N/A,#N/A,FALSE,"CAJA";#N/A,#N/A,FALSE,"INGRESOS1995-2003";#N/A,#N/A,FALSE,"GASTOS1995-2003"}</definedName>
    <definedName name="ESTEWW" localSheetId="8" hidden="1">{#N/A,#N/A,FALSE,"GRAFICO";#N/A,#N/A,FALSE,"CAJA (2)";#N/A,#N/A,FALSE,"TERCEROS-PROMEDIO";#N/A,#N/A,FALSE,"CAJA";#N/A,#N/A,FALSE,"INGRESOS1995-2003";#N/A,#N/A,FALSE,"GASTOS1995-2003"}</definedName>
    <definedName name="ESTEWW" localSheetId="9" hidden="1">{#N/A,#N/A,FALSE,"GRAFICO";#N/A,#N/A,FALSE,"CAJA (2)";#N/A,#N/A,FALSE,"TERCEROS-PROMEDIO";#N/A,#N/A,FALSE,"CAJA";#N/A,#N/A,FALSE,"INGRESOS1995-2003";#N/A,#N/A,FALSE,"GASTOS1995-2003"}</definedName>
    <definedName name="ESTEWW" localSheetId="10" hidden="1">{#N/A,#N/A,FALSE,"GRAFICO";#N/A,#N/A,FALSE,"CAJA (2)";#N/A,#N/A,FALSE,"TERCEROS-PROMEDIO";#N/A,#N/A,FALSE,"CAJA";#N/A,#N/A,FALSE,"INGRESOS1995-2003";#N/A,#N/A,FALSE,"GASTOS1995-2003"}</definedName>
    <definedName name="ESTEWW" localSheetId="11" hidden="1">{#N/A,#N/A,FALSE,"GRAFICO";#N/A,#N/A,FALSE,"CAJA (2)";#N/A,#N/A,FALSE,"TERCEROS-PROMEDIO";#N/A,#N/A,FALSE,"CAJA";#N/A,#N/A,FALSE,"INGRESOS1995-2003";#N/A,#N/A,FALSE,"GASTOS1995-2003"}</definedName>
    <definedName name="ESTEWW" localSheetId="12" hidden="1">{#N/A,#N/A,FALSE,"GRAFICO";#N/A,#N/A,FALSE,"CAJA (2)";#N/A,#N/A,FALSE,"TERCEROS-PROMEDIO";#N/A,#N/A,FALSE,"CAJA";#N/A,#N/A,FALSE,"INGRESOS1995-2003";#N/A,#N/A,FALSE,"GASTOS1995-2003"}</definedName>
    <definedName name="ESTEWW" localSheetId="13" hidden="1">{#N/A,#N/A,FALSE,"GRAFICO";#N/A,#N/A,FALSE,"CAJA (2)";#N/A,#N/A,FALSE,"TERCEROS-PROMEDIO";#N/A,#N/A,FALSE,"CAJA";#N/A,#N/A,FALSE,"INGRESOS1995-2003";#N/A,#N/A,FALSE,"GASTOS1995-2003"}</definedName>
    <definedName name="ESTEWW" hidden="1">{#N/A,#N/A,FALSE,"GRAFICO";#N/A,#N/A,FALSE,"CAJA (2)";#N/A,#N/A,FALSE,"TERCEROS-PROMEDIO";#N/A,#N/A,FALSE,"CAJA";#N/A,#N/A,FALSE,"INGRESOS1995-2003";#N/A,#N/A,FALSE,"GASTOS1995-2003"}</definedName>
    <definedName name="estre" localSheetId="5" hidden="1">{#N/A,#N/A,FALSE,"GRAFICO";#N/A,#N/A,FALSE,"CAJA (2)";#N/A,#N/A,FALSE,"TERCEROS-PROMEDIO";#N/A,#N/A,FALSE,"CAJA";#N/A,#N/A,FALSE,"INGRESOS1995-2003";#N/A,#N/A,FALSE,"GASTOS1995-2003"}</definedName>
    <definedName name="estre" localSheetId="6" hidden="1">{#N/A,#N/A,FALSE,"GRAFICO";#N/A,#N/A,FALSE,"CAJA (2)";#N/A,#N/A,FALSE,"TERCEROS-PROMEDIO";#N/A,#N/A,FALSE,"CAJA";#N/A,#N/A,FALSE,"INGRESOS1995-2003";#N/A,#N/A,FALSE,"GASTOS1995-2003"}</definedName>
    <definedName name="estre" localSheetId="7" hidden="1">{#N/A,#N/A,FALSE,"GRAFICO";#N/A,#N/A,FALSE,"CAJA (2)";#N/A,#N/A,FALSE,"TERCEROS-PROMEDIO";#N/A,#N/A,FALSE,"CAJA";#N/A,#N/A,FALSE,"INGRESOS1995-2003";#N/A,#N/A,FALSE,"GASTOS1995-2003"}</definedName>
    <definedName name="estre" localSheetId="8" hidden="1">{#N/A,#N/A,FALSE,"GRAFICO";#N/A,#N/A,FALSE,"CAJA (2)";#N/A,#N/A,FALSE,"TERCEROS-PROMEDIO";#N/A,#N/A,FALSE,"CAJA";#N/A,#N/A,FALSE,"INGRESOS1995-2003";#N/A,#N/A,FALSE,"GASTOS1995-2003"}</definedName>
    <definedName name="estre" localSheetId="9" hidden="1">{#N/A,#N/A,FALSE,"GRAFICO";#N/A,#N/A,FALSE,"CAJA (2)";#N/A,#N/A,FALSE,"TERCEROS-PROMEDIO";#N/A,#N/A,FALSE,"CAJA";#N/A,#N/A,FALSE,"INGRESOS1995-2003";#N/A,#N/A,FALSE,"GASTOS1995-2003"}</definedName>
    <definedName name="estre" localSheetId="10" hidden="1">{#N/A,#N/A,FALSE,"GRAFICO";#N/A,#N/A,FALSE,"CAJA (2)";#N/A,#N/A,FALSE,"TERCEROS-PROMEDIO";#N/A,#N/A,FALSE,"CAJA";#N/A,#N/A,FALSE,"INGRESOS1995-2003";#N/A,#N/A,FALSE,"GASTOS1995-2003"}</definedName>
    <definedName name="estre" localSheetId="11" hidden="1">{#N/A,#N/A,FALSE,"GRAFICO";#N/A,#N/A,FALSE,"CAJA (2)";#N/A,#N/A,FALSE,"TERCEROS-PROMEDIO";#N/A,#N/A,FALSE,"CAJA";#N/A,#N/A,FALSE,"INGRESOS1995-2003";#N/A,#N/A,FALSE,"GASTOS1995-2003"}</definedName>
    <definedName name="estre" localSheetId="12" hidden="1">{#N/A,#N/A,FALSE,"GRAFICO";#N/A,#N/A,FALSE,"CAJA (2)";#N/A,#N/A,FALSE,"TERCEROS-PROMEDIO";#N/A,#N/A,FALSE,"CAJA";#N/A,#N/A,FALSE,"INGRESOS1995-2003";#N/A,#N/A,FALSE,"GASTOS1995-2003"}</definedName>
    <definedName name="estre" localSheetId="13" hidden="1">{#N/A,#N/A,FALSE,"GRAFICO";#N/A,#N/A,FALSE,"CAJA (2)";#N/A,#N/A,FALSE,"TERCEROS-PROMEDIO";#N/A,#N/A,FALSE,"CAJA";#N/A,#N/A,FALSE,"INGRESOS1995-2003";#N/A,#N/A,FALSE,"GASTOS1995-2003"}</definedName>
    <definedName name="estre" hidden="1">{#N/A,#N/A,FALSE,"GRAFICO";#N/A,#N/A,FALSE,"CAJA (2)";#N/A,#N/A,FALSE,"TERCEROS-PROMEDIO";#N/A,#N/A,FALSE,"CAJA";#N/A,#N/A,FALSE,"INGRESOS1995-2003";#N/A,#N/A,FALSE,"GASTOS1995-2003"}</definedName>
    <definedName name="FIDUCIASOCTUBRE" localSheetId="5" hidden="1">{#N/A,#N/A,FALSE,"Aging Summary";#N/A,#N/A,FALSE,"Ratio Analysis";#N/A,#N/A,FALSE,"Test 120 Day Accts";#N/A,#N/A,FALSE,"Tickmarks"}</definedName>
    <definedName name="FIDUCIASOCTUBRE" localSheetId="6" hidden="1">{#N/A,#N/A,FALSE,"Aging Summary";#N/A,#N/A,FALSE,"Ratio Analysis";#N/A,#N/A,FALSE,"Test 120 Day Accts";#N/A,#N/A,FALSE,"Tickmarks"}</definedName>
    <definedName name="FIDUCIASOCTUBRE" localSheetId="7" hidden="1">{#N/A,#N/A,FALSE,"Aging Summary";#N/A,#N/A,FALSE,"Ratio Analysis";#N/A,#N/A,FALSE,"Test 120 Day Accts";#N/A,#N/A,FALSE,"Tickmarks"}</definedName>
    <definedName name="FIDUCIASOCTUBRE" localSheetId="8" hidden="1">{#N/A,#N/A,FALSE,"Aging Summary";#N/A,#N/A,FALSE,"Ratio Analysis";#N/A,#N/A,FALSE,"Test 120 Day Accts";#N/A,#N/A,FALSE,"Tickmarks"}</definedName>
    <definedName name="FIDUCIASOCTUBRE" localSheetId="9" hidden="1">{#N/A,#N/A,FALSE,"Aging Summary";#N/A,#N/A,FALSE,"Ratio Analysis";#N/A,#N/A,FALSE,"Test 120 Day Accts";#N/A,#N/A,FALSE,"Tickmarks"}</definedName>
    <definedName name="FIDUCIASOCTUBRE" localSheetId="10" hidden="1">{#N/A,#N/A,FALSE,"Aging Summary";#N/A,#N/A,FALSE,"Ratio Analysis";#N/A,#N/A,FALSE,"Test 120 Day Accts";#N/A,#N/A,FALSE,"Tickmarks"}</definedName>
    <definedName name="FIDUCIASOCTUBRE" localSheetId="11" hidden="1">{#N/A,#N/A,FALSE,"Aging Summary";#N/A,#N/A,FALSE,"Ratio Analysis";#N/A,#N/A,FALSE,"Test 120 Day Accts";#N/A,#N/A,FALSE,"Tickmarks"}</definedName>
    <definedName name="FIDUCIASOCTUBRE" localSheetId="12" hidden="1">{#N/A,#N/A,FALSE,"Aging Summary";#N/A,#N/A,FALSE,"Ratio Analysis";#N/A,#N/A,FALSE,"Test 120 Day Accts";#N/A,#N/A,FALSE,"Tickmarks"}</definedName>
    <definedName name="FIDUCIASOCTUBRE" localSheetId="13" hidden="1">{#N/A,#N/A,FALSE,"Aging Summary";#N/A,#N/A,FALSE,"Ratio Analysis";#N/A,#N/A,FALSE,"Test 120 Day Accts";#N/A,#N/A,FALSE,"Tickmarks"}</definedName>
    <definedName name="FIDUCIASOCTUBRE" hidden="1">{#N/A,#N/A,FALSE,"Aging Summary";#N/A,#N/A,FALSE,"Ratio Analysis";#N/A,#N/A,FALSE,"Test 120 Day Accts";#N/A,#N/A,FALSE,"Tickmarks"}</definedName>
    <definedName name="FREV" localSheetId="5" hidden="1">{"PYGT",#N/A,FALSE,"PYG";"ACTIT",#N/A,FALSE,"BCE_GRAL-ACTIVO";"PASIT",#N/A,FALSE,"BCE_GRAL-PASIVO-PATRIM";"CAJAT",#N/A,FALSE,"CAJA"}</definedName>
    <definedName name="FREV" localSheetId="6" hidden="1">{"PYGT",#N/A,FALSE,"PYG";"ACTIT",#N/A,FALSE,"BCE_GRAL-ACTIVO";"PASIT",#N/A,FALSE,"BCE_GRAL-PASIVO-PATRIM";"CAJAT",#N/A,FALSE,"CAJA"}</definedName>
    <definedName name="FREV" localSheetId="7" hidden="1">{"PYGT",#N/A,FALSE,"PYG";"ACTIT",#N/A,FALSE,"BCE_GRAL-ACTIVO";"PASIT",#N/A,FALSE,"BCE_GRAL-PASIVO-PATRIM";"CAJAT",#N/A,FALSE,"CAJA"}</definedName>
    <definedName name="FREV" localSheetId="8" hidden="1">{"PYGT",#N/A,FALSE,"PYG";"ACTIT",#N/A,FALSE,"BCE_GRAL-ACTIVO";"PASIT",#N/A,FALSE,"BCE_GRAL-PASIVO-PATRIM";"CAJAT",#N/A,FALSE,"CAJA"}</definedName>
    <definedName name="FREV" localSheetId="9" hidden="1">{"PYGT",#N/A,FALSE,"PYG";"ACTIT",#N/A,FALSE,"BCE_GRAL-ACTIVO";"PASIT",#N/A,FALSE,"BCE_GRAL-PASIVO-PATRIM";"CAJAT",#N/A,FALSE,"CAJA"}</definedName>
    <definedName name="FREV" localSheetId="10" hidden="1">{"PYGT",#N/A,FALSE,"PYG";"ACTIT",#N/A,FALSE,"BCE_GRAL-ACTIVO";"PASIT",#N/A,FALSE,"BCE_GRAL-PASIVO-PATRIM";"CAJAT",#N/A,FALSE,"CAJA"}</definedName>
    <definedName name="FREV" localSheetId="11" hidden="1">{"PYGT",#N/A,FALSE,"PYG";"ACTIT",#N/A,FALSE,"BCE_GRAL-ACTIVO";"PASIT",#N/A,FALSE,"BCE_GRAL-PASIVO-PATRIM";"CAJAT",#N/A,FALSE,"CAJA"}</definedName>
    <definedName name="FREV" localSheetId="12" hidden="1">{"PYGT",#N/A,FALSE,"PYG";"ACTIT",#N/A,FALSE,"BCE_GRAL-ACTIVO";"PASIT",#N/A,FALSE,"BCE_GRAL-PASIVO-PATRIM";"CAJAT",#N/A,FALSE,"CAJA"}</definedName>
    <definedName name="FREV" localSheetId="13" hidden="1">{"PYGT",#N/A,FALSE,"PYG";"ACTIT",#N/A,FALSE,"BCE_GRAL-ACTIVO";"PASIT",#N/A,FALSE,"BCE_GRAL-PASIVO-PATRIM";"CAJAT",#N/A,FALSE,"CAJA"}</definedName>
    <definedName name="FREV" hidden="1">{"PYGT",#N/A,FALSE,"PYG";"ACTIT",#N/A,FALSE,"BCE_GRAL-ACTIVO";"PASIT",#N/A,FALSE,"BCE_GRAL-PASIVO-PATRIM";"CAJAT",#N/A,FALSE,"CAJA"}</definedName>
    <definedName name="Gastos" localSheetId="5" hidden="1">{#N/A,#N/A,FALSE,"GRAFICO";#N/A,#N/A,FALSE,"CAJA (2)";#N/A,#N/A,FALSE,"TERCEROS-PROMEDIO";#N/A,#N/A,FALSE,"CAJA";#N/A,#N/A,FALSE,"INGRESOS1995-2003";#N/A,#N/A,FALSE,"GASTOS1995-2003"}</definedName>
    <definedName name="Gastos" localSheetId="6" hidden="1">{#N/A,#N/A,FALSE,"GRAFICO";#N/A,#N/A,FALSE,"CAJA (2)";#N/A,#N/A,FALSE,"TERCEROS-PROMEDIO";#N/A,#N/A,FALSE,"CAJA";#N/A,#N/A,FALSE,"INGRESOS1995-2003";#N/A,#N/A,FALSE,"GASTOS1995-2003"}</definedName>
    <definedName name="Gastos" localSheetId="7" hidden="1">{#N/A,#N/A,FALSE,"GRAFICO";#N/A,#N/A,FALSE,"CAJA (2)";#N/A,#N/A,FALSE,"TERCEROS-PROMEDIO";#N/A,#N/A,FALSE,"CAJA";#N/A,#N/A,FALSE,"INGRESOS1995-2003";#N/A,#N/A,FALSE,"GASTOS1995-2003"}</definedName>
    <definedName name="Gastos" localSheetId="8" hidden="1">{#N/A,#N/A,FALSE,"GRAFICO";#N/A,#N/A,FALSE,"CAJA (2)";#N/A,#N/A,FALSE,"TERCEROS-PROMEDIO";#N/A,#N/A,FALSE,"CAJA";#N/A,#N/A,FALSE,"INGRESOS1995-2003";#N/A,#N/A,FALSE,"GASTOS1995-2003"}</definedName>
    <definedName name="Gastos" localSheetId="9" hidden="1">{#N/A,#N/A,FALSE,"GRAFICO";#N/A,#N/A,FALSE,"CAJA (2)";#N/A,#N/A,FALSE,"TERCEROS-PROMEDIO";#N/A,#N/A,FALSE,"CAJA";#N/A,#N/A,FALSE,"INGRESOS1995-2003";#N/A,#N/A,FALSE,"GASTOS1995-2003"}</definedName>
    <definedName name="Gastos" localSheetId="10" hidden="1">{#N/A,#N/A,FALSE,"GRAFICO";#N/A,#N/A,FALSE,"CAJA (2)";#N/A,#N/A,FALSE,"TERCEROS-PROMEDIO";#N/A,#N/A,FALSE,"CAJA";#N/A,#N/A,FALSE,"INGRESOS1995-2003";#N/A,#N/A,FALSE,"GASTOS1995-2003"}</definedName>
    <definedName name="Gastos" localSheetId="11" hidden="1">{#N/A,#N/A,FALSE,"GRAFICO";#N/A,#N/A,FALSE,"CAJA (2)";#N/A,#N/A,FALSE,"TERCEROS-PROMEDIO";#N/A,#N/A,FALSE,"CAJA";#N/A,#N/A,FALSE,"INGRESOS1995-2003";#N/A,#N/A,FALSE,"GASTOS1995-2003"}</definedName>
    <definedName name="Gastos" localSheetId="12" hidden="1">{#N/A,#N/A,FALSE,"GRAFICO";#N/A,#N/A,FALSE,"CAJA (2)";#N/A,#N/A,FALSE,"TERCEROS-PROMEDIO";#N/A,#N/A,FALSE,"CAJA";#N/A,#N/A,FALSE,"INGRESOS1995-2003";#N/A,#N/A,FALSE,"GASTOS1995-2003"}</definedName>
    <definedName name="Gastos" localSheetId="13" hidden="1">{#N/A,#N/A,FALSE,"GRAFICO";#N/A,#N/A,FALSE,"CAJA (2)";#N/A,#N/A,FALSE,"TERCEROS-PROMEDIO";#N/A,#N/A,FALSE,"CAJA";#N/A,#N/A,FALSE,"INGRESOS1995-2003";#N/A,#N/A,FALSE,"GASTOS1995-2003"}</definedName>
    <definedName name="Gastos" hidden="1">{#N/A,#N/A,FALSE,"GRAFICO";#N/A,#N/A,FALSE,"CAJA (2)";#N/A,#N/A,FALSE,"TERCEROS-PROMEDIO";#N/A,#N/A,FALSE,"CAJA";#N/A,#N/A,FALSE,"INGRESOS1995-2003";#N/A,#N/A,FALSE,"GASTOS1995-2003"}</definedName>
    <definedName name="hoha" localSheetId="5" hidden="1">{"PYGT",#N/A,FALSE,"PYG";"ACTIT",#N/A,FALSE,"BCE_GRAL-ACTIVO";"PASIT",#N/A,FALSE,"BCE_GRAL-PASIVO-PATRIM";"CAJAT",#N/A,FALSE,"CAJA"}</definedName>
    <definedName name="hoha" localSheetId="6" hidden="1">{"PYGT",#N/A,FALSE,"PYG";"ACTIT",#N/A,FALSE,"BCE_GRAL-ACTIVO";"PASIT",#N/A,FALSE,"BCE_GRAL-PASIVO-PATRIM";"CAJAT",#N/A,FALSE,"CAJA"}</definedName>
    <definedName name="hoha" localSheetId="7" hidden="1">{"PYGT",#N/A,FALSE,"PYG";"ACTIT",#N/A,FALSE,"BCE_GRAL-ACTIVO";"PASIT",#N/A,FALSE,"BCE_GRAL-PASIVO-PATRIM";"CAJAT",#N/A,FALSE,"CAJA"}</definedName>
    <definedName name="hoha" localSheetId="8" hidden="1">{"PYGT",#N/A,FALSE,"PYG";"ACTIT",#N/A,FALSE,"BCE_GRAL-ACTIVO";"PASIT",#N/A,FALSE,"BCE_GRAL-PASIVO-PATRIM";"CAJAT",#N/A,FALSE,"CAJA"}</definedName>
    <definedName name="hoha" localSheetId="9" hidden="1">{"PYGT",#N/A,FALSE,"PYG";"ACTIT",#N/A,FALSE,"BCE_GRAL-ACTIVO";"PASIT",#N/A,FALSE,"BCE_GRAL-PASIVO-PATRIM";"CAJAT",#N/A,FALSE,"CAJA"}</definedName>
    <definedName name="hoha" localSheetId="10" hidden="1">{"PYGT",#N/A,FALSE,"PYG";"ACTIT",#N/A,FALSE,"BCE_GRAL-ACTIVO";"PASIT",#N/A,FALSE,"BCE_GRAL-PASIVO-PATRIM";"CAJAT",#N/A,FALSE,"CAJA"}</definedName>
    <definedName name="hoha" localSheetId="11" hidden="1">{"PYGT",#N/A,FALSE,"PYG";"ACTIT",#N/A,FALSE,"BCE_GRAL-ACTIVO";"PASIT",#N/A,FALSE,"BCE_GRAL-PASIVO-PATRIM";"CAJAT",#N/A,FALSE,"CAJA"}</definedName>
    <definedName name="hoha" localSheetId="12" hidden="1">{"PYGT",#N/A,FALSE,"PYG";"ACTIT",#N/A,FALSE,"BCE_GRAL-ACTIVO";"PASIT",#N/A,FALSE,"BCE_GRAL-PASIVO-PATRIM";"CAJAT",#N/A,FALSE,"CAJA"}</definedName>
    <definedName name="hoha" localSheetId="13" hidden="1">{"PYGT",#N/A,FALSE,"PYG";"ACTIT",#N/A,FALSE,"BCE_GRAL-ACTIVO";"PASIT",#N/A,FALSE,"BCE_GRAL-PASIVO-PATRIM";"CAJAT",#N/A,FALSE,"CAJA"}</definedName>
    <definedName name="hoha" hidden="1">{"PYGT",#N/A,FALSE,"PYG";"ACTIT",#N/A,FALSE,"BCE_GRAL-ACTIVO";"PASIT",#N/A,FALSE,"BCE_GRAL-PASIVO-PATRIM";"CAJAT",#N/A,FALSE,"CAJA"}</definedName>
    <definedName name="HTML_CodePage" hidden="1">1252</definedName>
    <definedName name="HTML_Control" localSheetId="5" hidden="1">{"'PACÍFICO12'!$A$1:$E$6"}</definedName>
    <definedName name="HTML_Control" localSheetId="6" hidden="1">{"'PACÍFICO12'!$A$1:$E$6"}</definedName>
    <definedName name="HTML_Control" localSheetId="7" hidden="1">{"'PACÍFICO12'!$A$1:$E$6"}</definedName>
    <definedName name="HTML_Control" localSheetId="8" hidden="1">{"'PACÍFICO12'!$A$1:$E$6"}</definedName>
    <definedName name="HTML_Control" localSheetId="9" hidden="1">{"'PACÍFICO12'!$A$1:$E$6"}</definedName>
    <definedName name="HTML_Control" localSheetId="10" hidden="1">{"'PACÍFICO12'!$A$1:$E$6"}</definedName>
    <definedName name="HTML_Control" localSheetId="11" hidden="1">{"'PACÍFICO12'!$A$1:$E$6"}</definedName>
    <definedName name="HTML_Control" localSheetId="12" hidden="1">{"'PACÍFICO12'!$A$1:$E$6"}</definedName>
    <definedName name="HTML_Control" localSheetId="13" hidden="1">{"'PACÍFICO12'!$A$1:$E$6"}</definedName>
    <definedName name="HTML_Control" hidden="1">{"'PACÍFICO12'!$A$1:$E$6"}</definedName>
    <definedName name="HTML_Description" hidden="1">""</definedName>
    <definedName name="HTML_Email" hidden="1">""</definedName>
    <definedName name="HTML_Header" hidden="1">"PACÍFICO12"</definedName>
    <definedName name="HTML_LastUpdate" hidden="1">"11/12/01"</definedName>
    <definedName name="HTML_LineAfter" hidden="1">FALSE</definedName>
    <definedName name="HTML_LineBefore" hidden="1">FALSE</definedName>
    <definedName name="HTML_Name" hidden="1">"GERENCIA DE SISTEMAS"</definedName>
    <definedName name="HTML_OBDlg2" hidden="1">TRUE</definedName>
    <definedName name="HTML_OBDlg4" hidden="1">TRUE</definedName>
    <definedName name="HTML_OS" hidden="1">0</definedName>
    <definedName name="HTML_PathFile" hidden="1">"\\Sap1002264\c\COMPAQ\HTML.htm"</definedName>
    <definedName name="HTML_Title" hidden="1">"Planeacion 2002-cto11"</definedName>
    <definedName name="I" localSheetId="5" hidden="1">{"PYGT",#N/A,FALSE,"PYG";"ACTIT",#N/A,FALSE,"BCE_GRAL-ACTIVO";"PASIT",#N/A,FALSE,"BCE_GRAL-PASIVO-PATRIM";"CAJAT",#N/A,FALSE,"CAJA"}</definedName>
    <definedName name="I" localSheetId="6" hidden="1">{"PYGT",#N/A,FALSE,"PYG";"ACTIT",#N/A,FALSE,"BCE_GRAL-ACTIVO";"PASIT",#N/A,FALSE,"BCE_GRAL-PASIVO-PATRIM";"CAJAT",#N/A,FALSE,"CAJA"}</definedName>
    <definedName name="I" localSheetId="7" hidden="1">{"PYGT",#N/A,FALSE,"PYG";"ACTIT",#N/A,FALSE,"BCE_GRAL-ACTIVO";"PASIT",#N/A,FALSE,"BCE_GRAL-PASIVO-PATRIM";"CAJAT",#N/A,FALSE,"CAJA"}</definedName>
    <definedName name="I" localSheetId="8" hidden="1">{"PYGT",#N/A,FALSE,"PYG";"ACTIT",#N/A,FALSE,"BCE_GRAL-ACTIVO";"PASIT",#N/A,FALSE,"BCE_GRAL-PASIVO-PATRIM";"CAJAT",#N/A,FALSE,"CAJA"}</definedName>
    <definedName name="I" localSheetId="9" hidden="1">{"PYGT",#N/A,FALSE,"PYG";"ACTIT",#N/A,FALSE,"BCE_GRAL-ACTIVO";"PASIT",#N/A,FALSE,"BCE_GRAL-PASIVO-PATRIM";"CAJAT",#N/A,FALSE,"CAJA"}</definedName>
    <definedName name="I" localSheetId="10" hidden="1">{"PYGT",#N/A,FALSE,"PYG";"ACTIT",#N/A,FALSE,"BCE_GRAL-ACTIVO";"PASIT",#N/A,FALSE,"BCE_GRAL-PASIVO-PATRIM";"CAJAT",#N/A,FALSE,"CAJA"}</definedName>
    <definedName name="I" localSheetId="11" hidden="1">{"PYGT",#N/A,FALSE,"PYG";"ACTIT",#N/A,FALSE,"BCE_GRAL-ACTIVO";"PASIT",#N/A,FALSE,"BCE_GRAL-PASIVO-PATRIM";"CAJAT",#N/A,FALSE,"CAJA"}</definedName>
    <definedName name="I" localSheetId="12" hidden="1">{"PYGT",#N/A,FALSE,"PYG";"ACTIT",#N/A,FALSE,"BCE_GRAL-ACTIVO";"PASIT",#N/A,FALSE,"BCE_GRAL-PASIVO-PATRIM";"CAJAT",#N/A,FALSE,"CAJA"}</definedName>
    <definedName name="I" localSheetId="13" hidden="1">{"PYGT",#N/A,FALSE,"PYG";"ACTIT",#N/A,FALSE,"BCE_GRAL-ACTIVO";"PASIT",#N/A,FALSE,"BCE_GRAL-PASIVO-PATRIM";"CAJAT",#N/A,FALSE,"CAJA"}</definedName>
    <definedName name="I" hidden="1">{"PYGT",#N/A,FALSE,"PYG";"ACTIT",#N/A,FALSE,"BCE_GRAL-ACTIVO";"PASIT",#N/A,FALSE,"BCE_GRAL-PASIVO-PATRIM";"CAJAT",#N/A,FALSE,"CAJA"}</definedName>
    <definedName name="K" localSheetId="5" hidden="1">{"PYGT",#N/A,FALSE,"PYG";"ACTIT",#N/A,FALSE,"BCE_GRAL-ACTIVO";"PASIT",#N/A,FALSE,"BCE_GRAL-PASIVO-PATRIM";"CAJAT",#N/A,FALSE,"CAJA"}</definedName>
    <definedName name="K" localSheetId="6" hidden="1">{"PYGT",#N/A,FALSE,"PYG";"ACTIT",#N/A,FALSE,"BCE_GRAL-ACTIVO";"PASIT",#N/A,FALSE,"BCE_GRAL-PASIVO-PATRIM";"CAJAT",#N/A,FALSE,"CAJA"}</definedName>
    <definedName name="K" localSheetId="7" hidden="1">{"PYGT",#N/A,FALSE,"PYG";"ACTIT",#N/A,FALSE,"BCE_GRAL-ACTIVO";"PASIT",#N/A,FALSE,"BCE_GRAL-PASIVO-PATRIM";"CAJAT",#N/A,FALSE,"CAJA"}</definedName>
    <definedName name="K" localSheetId="8" hidden="1">{"PYGT",#N/A,FALSE,"PYG";"ACTIT",#N/A,FALSE,"BCE_GRAL-ACTIVO";"PASIT",#N/A,FALSE,"BCE_GRAL-PASIVO-PATRIM";"CAJAT",#N/A,FALSE,"CAJA"}</definedName>
    <definedName name="K" localSheetId="9" hidden="1">{"PYGT",#N/A,FALSE,"PYG";"ACTIT",#N/A,FALSE,"BCE_GRAL-ACTIVO";"PASIT",#N/A,FALSE,"BCE_GRAL-PASIVO-PATRIM";"CAJAT",#N/A,FALSE,"CAJA"}</definedName>
    <definedName name="K" localSheetId="10" hidden="1">{"PYGT",#N/A,FALSE,"PYG";"ACTIT",#N/A,FALSE,"BCE_GRAL-ACTIVO";"PASIT",#N/A,FALSE,"BCE_GRAL-PASIVO-PATRIM";"CAJAT",#N/A,FALSE,"CAJA"}</definedName>
    <definedName name="K" localSheetId="11" hidden="1">{"PYGT",#N/A,FALSE,"PYG";"ACTIT",#N/A,FALSE,"BCE_GRAL-ACTIVO";"PASIT",#N/A,FALSE,"BCE_GRAL-PASIVO-PATRIM";"CAJAT",#N/A,FALSE,"CAJA"}</definedName>
    <definedName name="K" localSheetId="12" hidden="1">{"PYGT",#N/A,FALSE,"PYG";"ACTIT",#N/A,FALSE,"BCE_GRAL-ACTIVO";"PASIT",#N/A,FALSE,"BCE_GRAL-PASIVO-PATRIM";"CAJAT",#N/A,FALSE,"CAJA"}</definedName>
    <definedName name="K" localSheetId="13" hidden="1">{"PYGT",#N/A,FALSE,"PYG";"ACTIT",#N/A,FALSE,"BCE_GRAL-ACTIVO";"PASIT",#N/A,FALSE,"BCE_GRAL-PASIVO-PATRIM";"CAJAT",#N/A,FALSE,"CAJA"}</definedName>
    <definedName name="K" hidden="1">{"PYGT",#N/A,FALSE,"PYG";"ACTIT",#N/A,FALSE,"BCE_GRAL-ACTIVO";"PASIT",#N/A,FALSE,"BCE_GRAL-PASIVO-PATRIM";"CAJAT",#N/A,FALSE,"CAJA"}</definedName>
    <definedName name="KO" localSheetId="5" hidden="1">#REF!</definedName>
    <definedName name="KO" localSheetId="6" hidden="1">#REF!</definedName>
    <definedName name="KO" localSheetId="7" hidden="1">#REF!</definedName>
    <definedName name="KO" localSheetId="8" hidden="1">#REF!</definedName>
    <definedName name="KO" localSheetId="9" hidden="1">#REF!</definedName>
    <definedName name="KO" localSheetId="10" hidden="1">#REF!</definedName>
    <definedName name="KO" localSheetId="11" hidden="1">#REF!</definedName>
    <definedName name="KO" localSheetId="12" hidden="1">#REF!</definedName>
    <definedName name="KO" localSheetId="13" hidden="1">#REF!</definedName>
    <definedName name="KO" hidden="1">#REF!</definedName>
    <definedName name="LL" localSheetId="6" hidden="1">#REF!</definedName>
    <definedName name="LL" localSheetId="9" hidden="1">#REF!</definedName>
    <definedName name="LL" localSheetId="11" hidden="1">#REF!</definedName>
    <definedName name="LL" localSheetId="13" hidden="1">#REF!</definedName>
    <definedName name="LL" hidden="1">#REF!</definedName>
    <definedName name="lo" localSheetId="5" hidden="1">{#N/A,#N/A,FALSE,"GRAFICO";#N/A,#N/A,FALSE,"CAJA (2)";#N/A,#N/A,FALSE,"TERCEROS-PROMEDIO";#N/A,#N/A,FALSE,"CAJA";#N/A,#N/A,FALSE,"INGRESOS1995-2003";#N/A,#N/A,FALSE,"GASTOS1995-2003"}</definedName>
    <definedName name="lo" localSheetId="6" hidden="1">{#N/A,#N/A,FALSE,"GRAFICO";#N/A,#N/A,FALSE,"CAJA (2)";#N/A,#N/A,FALSE,"TERCEROS-PROMEDIO";#N/A,#N/A,FALSE,"CAJA";#N/A,#N/A,FALSE,"INGRESOS1995-2003";#N/A,#N/A,FALSE,"GASTOS1995-2003"}</definedName>
    <definedName name="lo" localSheetId="7" hidden="1">{#N/A,#N/A,FALSE,"GRAFICO";#N/A,#N/A,FALSE,"CAJA (2)";#N/A,#N/A,FALSE,"TERCEROS-PROMEDIO";#N/A,#N/A,FALSE,"CAJA";#N/A,#N/A,FALSE,"INGRESOS1995-2003";#N/A,#N/A,FALSE,"GASTOS1995-2003"}</definedName>
    <definedName name="lo" localSheetId="8" hidden="1">{#N/A,#N/A,FALSE,"GRAFICO";#N/A,#N/A,FALSE,"CAJA (2)";#N/A,#N/A,FALSE,"TERCEROS-PROMEDIO";#N/A,#N/A,FALSE,"CAJA";#N/A,#N/A,FALSE,"INGRESOS1995-2003";#N/A,#N/A,FALSE,"GASTOS1995-2003"}</definedName>
    <definedName name="lo" localSheetId="9" hidden="1">{#N/A,#N/A,FALSE,"GRAFICO";#N/A,#N/A,FALSE,"CAJA (2)";#N/A,#N/A,FALSE,"TERCEROS-PROMEDIO";#N/A,#N/A,FALSE,"CAJA";#N/A,#N/A,FALSE,"INGRESOS1995-2003";#N/A,#N/A,FALSE,"GASTOS1995-2003"}</definedName>
    <definedName name="lo" localSheetId="10" hidden="1">{#N/A,#N/A,FALSE,"GRAFICO";#N/A,#N/A,FALSE,"CAJA (2)";#N/A,#N/A,FALSE,"TERCEROS-PROMEDIO";#N/A,#N/A,FALSE,"CAJA";#N/A,#N/A,FALSE,"INGRESOS1995-2003";#N/A,#N/A,FALSE,"GASTOS1995-2003"}</definedName>
    <definedName name="lo" localSheetId="11" hidden="1">{#N/A,#N/A,FALSE,"GRAFICO";#N/A,#N/A,FALSE,"CAJA (2)";#N/A,#N/A,FALSE,"TERCEROS-PROMEDIO";#N/A,#N/A,FALSE,"CAJA";#N/A,#N/A,FALSE,"INGRESOS1995-2003";#N/A,#N/A,FALSE,"GASTOS1995-2003"}</definedName>
    <definedName name="lo" localSheetId="12" hidden="1">{#N/A,#N/A,FALSE,"GRAFICO";#N/A,#N/A,FALSE,"CAJA (2)";#N/A,#N/A,FALSE,"TERCEROS-PROMEDIO";#N/A,#N/A,FALSE,"CAJA";#N/A,#N/A,FALSE,"INGRESOS1995-2003";#N/A,#N/A,FALSE,"GASTOS1995-2003"}</definedName>
    <definedName name="lo" localSheetId="13" hidden="1">{#N/A,#N/A,FALSE,"GRAFICO";#N/A,#N/A,FALSE,"CAJA (2)";#N/A,#N/A,FALSE,"TERCEROS-PROMEDIO";#N/A,#N/A,FALSE,"CAJA";#N/A,#N/A,FALSE,"INGRESOS1995-2003";#N/A,#N/A,FALSE,"GASTOS1995-2003"}</definedName>
    <definedName name="lo" hidden="1">{#N/A,#N/A,FALSE,"GRAFICO";#N/A,#N/A,FALSE,"CAJA (2)";#N/A,#N/A,FALSE,"TERCEROS-PROMEDIO";#N/A,#N/A,FALSE,"CAJA";#N/A,#N/A,FALSE,"INGRESOS1995-2003";#N/A,#N/A,FALSE,"GASTOS1995-2003"}</definedName>
    <definedName name="MarkP" localSheetId="5" hidden="1">{#N/A,#N/A,FALSE,"GRAFICO";#N/A,#N/A,FALSE,"CAJA (2)";#N/A,#N/A,FALSE,"TERCEROS-PROMEDIO";#N/A,#N/A,FALSE,"CAJA";#N/A,#N/A,FALSE,"INGRESOS1995-2003";#N/A,#N/A,FALSE,"GASTOS1995-2003"}</definedName>
    <definedName name="MarkP" localSheetId="6" hidden="1">{#N/A,#N/A,FALSE,"GRAFICO";#N/A,#N/A,FALSE,"CAJA (2)";#N/A,#N/A,FALSE,"TERCEROS-PROMEDIO";#N/A,#N/A,FALSE,"CAJA";#N/A,#N/A,FALSE,"INGRESOS1995-2003";#N/A,#N/A,FALSE,"GASTOS1995-2003"}</definedName>
    <definedName name="MarkP" localSheetId="7" hidden="1">{#N/A,#N/A,FALSE,"GRAFICO";#N/A,#N/A,FALSE,"CAJA (2)";#N/A,#N/A,FALSE,"TERCEROS-PROMEDIO";#N/A,#N/A,FALSE,"CAJA";#N/A,#N/A,FALSE,"INGRESOS1995-2003";#N/A,#N/A,FALSE,"GASTOS1995-2003"}</definedName>
    <definedName name="MarkP" localSheetId="8" hidden="1">{#N/A,#N/A,FALSE,"GRAFICO";#N/A,#N/A,FALSE,"CAJA (2)";#N/A,#N/A,FALSE,"TERCEROS-PROMEDIO";#N/A,#N/A,FALSE,"CAJA";#N/A,#N/A,FALSE,"INGRESOS1995-2003";#N/A,#N/A,FALSE,"GASTOS1995-2003"}</definedName>
    <definedName name="MarkP" localSheetId="9" hidden="1">{#N/A,#N/A,FALSE,"GRAFICO";#N/A,#N/A,FALSE,"CAJA (2)";#N/A,#N/A,FALSE,"TERCEROS-PROMEDIO";#N/A,#N/A,FALSE,"CAJA";#N/A,#N/A,FALSE,"INGRESOS1995-2003";#N/A,#N/A,FALSE,"GASTOS1995-2003"}</definedName>
    <definedName name="MarkP" localSheetId="10" hidden="1">{#N/A,#N/A,FALSE,"GRAFICO";#N/A,#N/A,FALSE,"CAJA (2)";#N/A,#N/A,FALSE,"TERCEROS-PROMEDIO";#N/A,#N/A,FALSE,"CAJA";#N/A,#N/A,FALSE,"INGRESOS1995-2003";#N/A,#N/A,FALSE,"GASTOS1995-2003"}</definedName>
    <definedName name="MarkP" localSheetId="11" hidden="1">{#N/A,#N/A,FALSE,"GRAFICO";#N/A,#N/A,FALSE,"CAJA (2)";#N/A,#N/A,FALSE,"TERCEROS-PROMEDIO";#N/A,#N/A,FALSE,"CAJA";#N/A,#N/A,FALSE,"INGRESOS1995-2003";#N/A,#N/A,FALSE,"GASTOS1995-2003"}</definedName>
    <definedName name="MarkP" localSheetId="12" hidden="1">{#N/A,#N/A,FALSE,"GRAFICO";#N/A,#N/A,FALSE,"CAJA (2)";#N/A,#N/A,FALSE,"TERCEROS-PROMEDIO";#N/A,#N/A,FALSE,"CAJA";#N/A,#N/A,FALSE,"INGRESOS1995-2003";#N/A,#N/A,FALSE,"GASTOS1995-2003"}</definedName>
    <definedName name="MarkP" localSheetId="13" hidden="1">{#N/A,#N/A,FALSE,"GRAFICO";#N/A,#N/A,FALSE,"CAJA (2)";#N/A,#N/A,FALSE,"TERCEROS-PROMEDIO";#N/A,#N/A,FALSE,"CAJA";#N/A,#N/A,FALSE,"INGRESOS1995-2003";#N/A,#N/A,FALSE,"GASTOS1995-2003"}</definedName>
    <definedName name="MarkP" hidden="1">{#N/A,#N/A,FALSE,"GRAFICO";#N/A,#N/A,FALSE,"CAJA (2)";#N/A,#N/A,FALSE,"TERCEROS-PROMEDIO";#N/A,#N/A,FALSE,"CAJA";#N/A,#N/A,FALSE,"INGRESOS1995-2003";#N/A,#N/A,FALSE,"GASTOS1995-2003"}</definedName>
    <definedName name="NO" localSheetId="5" hidden="1">{"PYGT",#N/A,FALSE,"PYG";"ACTIT",#N/A,FALSE,"BCE_GRAL-ACTIVO";"PASIT",#N/A,FALSE,"BCE_GRAL-PASIVO-PATRIM";"CAJAT",#N/A,FALSE,"CAJA"}</definedName>
    <definedName name="NO" localSheetId="6" hidden="1">{"PYGT",#N/A,FALSE,"PYG";"ACTIT",#N/A,FALSE,"BCE_GRAL-ACTIVO";"PASIT",#N/A,FALSE,"BCE_GRAL-PASIVO-PATRIM";"CAJAT",#N/A,FALSE,"CAJA"}</definedName>
    <definedName name="NO" localSheetId="7" hidden="1">{"PYGT",#N/A,FALSE,"PYG";"ACTIT",#N/A,FALSE,"BCE_GRAL-ACTIVO";"PASIT",#N/A,FALSE,"BCE_GRAL-PASIVO-PATRIM";"CAJAT",#N/A,FALSE,"CAJA"}</definedName>
    <definedName name="NO" localSheetId="8" hidden="1">{"PYGT",#N/A,FALSE,"PYG";"ACTIT",#N/A,FALSE,"BCE_GRAL-ACTIVO";"PASIT",#N/A,FALSE,"BCE_GRAL-PASIVO-PATRIM";"CAJAT",#N/A,FALSE,"CAJA"}</definedName>
    <definedName name="NO" localSheetId="9" hidden="1">{"PYGT",#N/A,FALSE,"PYG";"ACTIT",#N/A,FALSE,"BCE_GRAL-ACTIVO";"PASIT",#N/A,FALSE,"BCE_GRAL-PASIVO-PATRIM";"CAJAT",#N/A,FALSE,"CAJA"}</definedName>
    <definedName name="NO" localSheetId="10" hidden="1">{"PYGT",#N/A,FALSE,"PYG";"ACTIT",#N/A,FALSE,"BCE_GRAL-ACTIVO";"PASIT",#N/A,FALSE,"BCE_GRAL-PASIVO-PATRIM";"CAJAT",#N/A,FALSE,"CAJA"}</definedName>
    <definedName name="NO" localSheetId="11" hidden="1">{"PYGT",#N/A,FALSE,"PYG";"ACTIT",#N/A,FALSE,"BCE_GRAL-ACTIVO";"PASIT",#N/A,FALSE,"BCE_GRAL-PASIVO-PATRIM";"CAJAT",#N/A,FALSE,"CAJA"}</definedName>
    <definedName name="NO" localSheetId="12" hidden="1">{"PYGT",#N/A,FALSE,"PYG";"ACTIT",#N/A,FALSE,"BCE_GRAL-ACTIVO";"PASIT",#N/A,FALSE,"BCE_GRAL-PASIVO-PATRIM";"CAJAT",#N/A,FALSE,"CAJA"}</definedName>
    <definedName name="NO" localSheetId="13" hidden="1">{"PYGT",#N/A,FALSE,"PYG";"ACTIT",#N/A,FALSE,"BCE_GRAL-ACTIVO";"PASIT",#N/A,FALSE,"BCE_GRAL-PASIVO-PATRIM";"CAJAT",#N/A,FALSE,"CAJA"}</definedName>
    <definedName name="NO" hidden="1">{"PYGT",#N/A,FALSE,"PYG";"ACTIT",#N/A,FALSE,"BCE_GRAL-ACTIVO";"PASIT",#N/A,FALSE,"BCE_GRAL-PASIVO-PATRIM";"CAJAT",#N/A,FALSE,"CAJA"}</definedName>
    <definedName name="oera" localSheetId="5" hidden="1">{#N/A,#N/A,FALSE,"Aging Summary";#N/A,#N/A,FALSE,"Ratio Analysis";#N/A,#N/A,FALSE,"Test 120 Day Accts";#N/A,#N/A,FALSE,"Tickmarks"}</definedName>
    <definedName name="oera" localSheetId="6" hidden="1">{#N/A,#N/A,FALSE,"Aging Summary";#N/A,#N/A,FALSE,"Ratio Analysis";#N/A,#N/A,FALSE,"Test 120 Day Accts";#N/A,#N/A,FALSE,"Tickmarks"}</definedName>
    <definedName name="oera" localSheetId="7" hidden="1">{#N/A,#N/A,FALSE,"Aging Summary";#N/A,#N/A,FALSE,"Ratio Analysis";#N/A,#N/A,FALSE,"Test 120 Day Accts";#N/A,#N/A,FALSE,"Tickmarks"}</definedName>
    <definedName name="oera" localSheetId="8" hidden="1">{#N/A,#N/A,FALSE,"Aging Summary";#N/A,#N/A,FALSE,"Ratio Analysis";#N/A,#N/A,FALSE,"Test 120 Day Accts";#N/A,#N/A,FALSE,"Tickmarks"}</definedName>
    <definedName name="oera" localSheetId="9" hidden="1">{#N/A,#N/A,FALSE,"Aging Summary";#N/A,#N/A,FALSE,"Ratio Analysis";#N/A,#N/A,FALSE,"Test 120 Day Accts";#N/A,#N/A,FALSE,"Tickmarks"}</definedName>
    <definedName name="oera" localSheetId="10" hidden="1">{#N/A,#N/A,FALSE,"Aging Summary";#N/A,#N/A,FALSE,"Ratio Analysis";#N/A,#N/A,FALSE,"Test 120 Day Accts";#N/A,#N/A,FALSE,"Tickmarks"}</definedName>
    <definedName name="oera" localSheetId="11" hidden="1">{#N/A,#N/A,FALSE,"Aging Summary";#N/A,#N/A,FALSE,"Ratio Analysis";#N/A,#N/A,FALSE,"Test 120 Day Accts";#N/A,#N/A,FALSE,"Tickmarks"}</definedName>
    <definedName name="oera" localSheetId="12" hidden="1">{#N/A,#N/A,FALSE,"Aging Summary";#N/A,#N/A,FALSE,"Ratio Analysis";#N/A,#N/A,FALSE,"Test 120 Day Accts";#N/A,#N/A,FALSE,"Tickmarks"}</definedName>
    <definedName name="oera" localSheetId="13" hidden="1">{#N/A,#N/A,FALSE,"Aging Summary";#N/A,#N/A,FALSE,"Ratio Analysis";#N/A,#N/A,FALSE,"Test 120 Day Accts";#N/A,#N/A,FALSE,"Tickmarks"}</definedName>
    <definedName name="oera" hidden="1">{#N/A,#N/A,FALSE,"Aging Summary";#N/A,#N/A,FALSE,"Ratio Analysis";#N/A,#N/A,FALSE,"Test 120 Day Accts";#N/A,#N/A,FALSE,"Tickmarks"}</definedName>
    <definedName name="particulares1" localSheetId="5" hidden="1">{#N/A,#N/A,FALSE,"Aging Summary";#N/A,#N/A,FALSE,"Ratio Analysis";#N/A,#N/A,FALSE,"Test 120 Day Accts";#N/A,#N/A,FALSE,"Tickmarks"}</definedName>
    <definedName name="particulares1" localSheetId="6" hidden="1">{#N/A,#N/A,FALSE,"Aging Summary";#N/A,#N/A,FALSE,"Ratio Analysis";#N/A,#N/A,FALSE,"Test 120 Day Accts";#N/A,#N/A,FALSE,"Tickmarks"}</definedName>
    <definedName name="particulares1" localSheetId="7" hidden="1">{#N/A,#N/A,FALSE,"Aging Summary";#N/A,#N/A,FALSE,"Ratio Analysis";#N/A,#N/A,FALSE,"Test 120 Day Accts";#N/A,#N/A,FALSE,"Tickmarks"}</definedName>
    <definedName name="particulares1" localSheetId="8" hidden="1">{#N/A,#N/A,FALSE,"Aging Summary";#N/A,#N/A,FALSE,"Ratio Analysis";#N/A,#N/A,FALSE,"Test 120 Day Accts";#N/A,#N/A,FALSE,"Tickmarks"}</definedName>
    <definedName name="particulares1" localSheetId="9" hidden="1">{#N/A,#N/A,FALSE,"Aging Summary";#N/A,#N/A,FALSE,"Ratio Analysis";#N/A,#N/A,FALSE,"Test 120 Day Accts";#N/A,#N/A,FALSE,"Tickmarks"}</definedName>
    <definedName name="particulares1" localSheetId="10" hidden="1">{#N/A,#N/A,FALSE,"Aging Summary";#N/A,#N/A,FALSE,"Ratio Analysis";#N/A,#N/A,FALSE,"Test 120 Day Accts";#N/A,#N/A,FALSE,"Tickmarks"}</definedName>
    <definedName name="particulares1" localSheetId="11" hidden="1">{#N/A,#N/A,FALSE,"Aging Summary";#N/A,#N/A,FALSE,"Ratio Analysis";#N/A,#N/A,FALSE,"Test 120 Day Accts";#N/A,#N/A,FALSE,"Tickmarks"}</definedName>
    <definedName name="particulares1" localSheetId="12" hidden="1">{#N/A,#N/A,FALSE,"Aging Summary";#N/A,#N/A,FALSE,"Ratio Analysis";#N/A,#N/A,FALSE,"Test 120 Day Accts";#N/A,#N/A,FALSE,"Tickmarks"}</definedName>
    <definedName name="particulares1" localSheetId="13" hidden="1">{#N/A,#N/A,FALSE,"Aging Summary";#N/A,#N/A,FALSE,"Ratio Analysis";#N/A,#N/A,FALSE,"Test 120 Day Accts";#N/A,#N/A,FALSE,"Tickmarks"}</definedName>
    <definedName name="particulares1" hidden="1">{#N/A,#N/A,FALSE,"Aging Summary";#N/A,#N/A,FALSE,"Ratio Analysis";#N/A,#N/A,FALSE,"Test 120 Day Accts";#N/A,#N/A,FALSE,"Tickmarks"}</definedName>
    <definedName name="res" localSheetId="5" hidden="1">{#N/A,#N/A,FALSE,"GRAFICO";#N/A,#N/A,FALSE,"CAJA (2)";#N/A,#N/A,FALSE,"TERCEROS-PROMEDIO";#N/A,#N/A,FALSE,"CAJA";#N/A,#N/A,FALSE,"INGRESOS1995-2003";#N/A,#N/A,FALSE,"GASTOS1995-2003"}</definedName>
    <definedName name="res" localSheetId="6" hidden="1">{#N/A,#N/A,FALSE,"GRAFICO";#N/A,#N/A,FALSE,"CAJA (2)";#N/A,#N/A,FALSE,"TERCEROS-PROMEDIO";#N/A,#N/A,FALSE,"CAJA";#N/A,#N/A,FALSE,"INGRESOS1995-2003";#N/A,#N/A,FALSE,"GASTOS1995-2003"}</definedName>
    <definedName name="res" localSheetId="7" hidden="1">{#N/A,#N/A,FALSE,"GRAFICO";#N/A,#N/A,FALSE,"CAJA (2)";#N/A,#N/A,FALSE,"TERCEROS-PROMEDIO";#N/A,#N/A,FALSE,"CAJA";#N/A,#N/A,FALSE,"INGRESOS1995-2003";#N/A,#N/A,FALSE,"GASTOS1995-2003"}</definedName>
    <definedName name="res" localSheetId="8" hidden="1">{#N/A,#N/A,FALSE,"GRAFICO";#N/A,#N/A,FALSE,"CAJA (2)";#N/A,#N/A,FALSE,"TERCEROS-PROMEDIO";#N/A,#N/A,FALSE,"CAJA";#N/A,#N/A,FALSE,"INGRESOS1995-2003";#N/A,#N/A,FALSE,"GASTOS1995-2003"}</definedName>
    <definedName name="res" localSheetId="9" hidden="1">{#N/A,#N/A,FALSE,"GRAFICO";#N/A,#N/A,FALSE,"CAJA (2)";#N/A,#N/A,FALSE,"TERCEROS-PROMEDIO";#N/A,#N/A,FALSE,"CAJA";#N/A,#N/A,FALSE,"INGRESOS1995-2003";#N/A,#N/A,FALSE,"GASTOS1995-2003"}</definedName>
    <definedName name="res" localSheetId="10" hidden="1">{#N/A,#N/A,FALSE,"GRAFICO";#N/A,#N/A,FALSE,"CAJA (2)";#N/A,#N/A,FALSE,"TERCEROS-PROMEDIO";#N/A,#N/A,FALSE,"CAJA";#N/A,#N/A,FALSE,"INGRESOS1995-2003";#N/A,#N/A,FALSE,"GASTOS1995-2003"}</definedName>
    <definedName name="res" localSheetId="11" hidden="1">{#N/A,#N/A,FALSE,"GRAFICO";#N/A,#N/A,FALSE,"CAJA (2)";#N/A,#N/A,FALSE,"TERCEROS-PROMEDIO";#N/A,#N/A,FALSE,"CAJA";#N/A,#N/A,FALSE,"INGRESOS1995-2003";#N/A,#N/A,FALSE,"GASTOS1995-2003"}</definedName>
    <definedName name="res" localSheetId="12" hidden="1">{#N/A,#N/A,FALSE,"GRAFICO";#N/A,#N/A,FALSE,"CAJA (2)";#N/A,#N/A,FALSE,"TERCEROS-PROMEDIO";#N/A,#N/A,FALSE,"CAJA";#N/A,#N/A,FALSE,"INGRESOS1995-2003";#N/A,#N/A,FALSE,"GASTOS1995-2003"}</definedName>
    <definedName name="res" localSheetId="13" hidden="1">{#N/A,#N/A,FALSE,"GRAFICO";#N/A,#N/A,FALSE,"CAJA (2)";#N/A,#N/A,FALSE,"TERCEROS-PROMEDIO";#N/A,#N/A,FALSE,"CAJA";#N/A,#N/A,FALSE,"INGRESOS1995-2003";#N/A,#N/A,FALSE,"GASTOS1995-2003"}</definedName>
    <definedName name="res" hidden="1">{#N/A,#N/A,FALSE,"GRAFICO";#N/A,#N/A,FALSE,"CAJA (2)";#N/A,#N/A,FALSE,"TERCEROS-PROMEDIO";#N/A,#N/A,FALSE,"CAJA";#N/A,#N/A,FALSE,"INGRESOS1995-2003";#N/A,#N/A,FALSE,"GASTOS1995-2003"}</definedName>
    <definedName name="TC" localSheetId="5" hidden="1">{#N/A,#N/A,FALSE,"GRAFICO";#N/A,#N/A,FALSE,"CAJA (2)";#N/A,#N/A,FALSE,"TERCEROS-PROMEDIO";#N/A,#N/A,FALSE,"CAJA";#N/A,#N/A,FALSE,"INGRESOS1995-2003";#N/A,#N/A,FALSE,"GASTOS1995-2003"}</definedName>
    <definedName name="TC" localSheetId="6" hidden="1">{#N/A,#N/A,FALSE,"GRAFICO";#N/A,#N/A,FALSE,"CAJA (2)";#N/A,#N/A,FALSE,"TERCEROS-PROMEDIO";#N/A,#N/A,FALSE,"CAJA";#N/A,#N/A,FALSE,"INGRESOS1995-2003";#N/A,#N/A,FALSE,"GASTOS1995-2003"}</definedName>
    <definedName name="TC" localSheetId="7" hidden="1">{#N/A,#N/A,FALSE,"GRAFICO";#N/A,#N/A,FALSE,"CAJA (2)";#N/A,#N/A,FALSE,"TERCEROS-PROMEDIO";#N/A,#N/A,FALSE,"CAJA";#N/A,#N/A,FALSE,"INGRESOS1995-2003";#N/A,#N/A,FALSE,"GASTOS1995-2003"}</definedName>
    <definedName name="TC" localSheetId="8" hidden="1">{#N/A,#N/A,FALSE,"GRAFICO";#N/A,#N/A,FALSE,"CAJA (2)";#N/A,#N/A,FALSE,"TERCEROS-PROMEDIO";#N/A,#N/A,FALSE,"CAJA";#N/A,#N/A,FALSE,"INGRESOS1995-2003";#N/A,#N/A,FALSE,"GASTOS1995-2003"}</definedName>
    <definedName name="TC" localSheetId="9" hidden="1">{#N/A,#N/A,FALSE,"GRAFICO";#N/A,#N/A,FALSE,"CAJA (2)";#N/A,#N/A,FALSE,"TERCEROS-PROMEDIO";#N/A,#N/A,FALSE,"CAJA";#N/A,#N/A,FALSE,"INGRESOS1995-2003";#N/A,#N/A,FALSE,"GASTOS1995-2003"}</definedName>
    <definedName name="TC" localSheetId="10" hidden="1">{#N/A,#N/A,FALSE,"GRAFICO";#N/A,#N/A,FALSE,"CAJA (2)";#N/A,#N/A,FALSE,"TERCEROS-PROMEDIO";#N/A,#N/A,FALSE,"CAJA";#N/A,#N/A,FALSE,"INGRESOS1995-2003";#N/A,#N/A,FALSE,"GASTOS1995-2003"}</definedName>
    <definedName name="TC" localSheetId="11" hidden="1">{#N/A,#N/A,FALSE,"GRAFICO";#N/A,#N/A,FALSE,"CAJA (2)";#N/A,#N/A,FALSE,"TERCEROS-PROMEDIO";#N/A,#N/A,FALSE,"CAJA";#N/A,#N/A,FALSE,"INGRESOS1995-2003";#N/A,#N/A,FALSE,"GASTOS1995-2003"}</definedName>
    <definedName name="TC" localSheetId="12" hidden="1">{#N/A,#N/A,FALSE,"GRAFICO";#N/A,#N/A,FALSE,"CAJA (2)";#N/A,#N/A,FALSE,"TERCEROS-PROMEDIO";#N/A,#N/A,FALSE,"CAJA";#N/A,#N/A,FALSE,"INGRESOS1995-2003";#N/A,#N/A,FALSE,"GASTOS1995-2003"}</definedName>
    <definedName name="TC" localSheetId="13" hidden="1">{#N/A,#N/A,FALSE,"GRAFICO";#N/A,#N/A,FALSE,"CAJA (2)";#N/A,#N/A,FALSE,"TERCEROS-PROMEDIO";#N/A,#N/A,FALSE,"CAJA";#N/A,#N/A,FALSE,"INGRESOS1995-2003";#N/A,#N/A,FALSE,"GASTOS1995-2003"}</definedName>
    <definedName name="TC" hidden="1">{#N/A,#N/A,FALSE,"GRAFICO";#N/A,#N/A,FALSE,"CAJA (2)";#N/A,#N/A,FALSE,"TERCEROS-PROMEDIO";#N/A,#N/A,FALSE,"CAJA";#N/A,#N/A,FALSE,"INGRESOS1995-2003";#N/A,#N/A,FALSE,"GASTOS1995-2003"}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8" hidden="1">{#N/A,#N/A,FALSE,"Aging Summary";#N/A,#N/A,FALSE,"Ratio Analysis";#N/A,#N/A,FALSE,"Test 120 Day Accts";#N/A,#N/A,FALSE,"Tickmarks"}</definedName>
    <definedName name="wrn.Aging._.and._.Trend._.Analysis." localSheetId="9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localSheetId="11" hidden="1">{#N/A,#N/A,FALSE,"Aging Summary";#N/A,#N/A,FALSE,"Ratio Analysis";#N/A,#N/A,FALSE,"Test 120 Day Accts";#N/A,#N/A,FALSE,"Tickmarks"}</definedName>
    <definedName name="wrn.Aging._.and._.Trend._.Analysis." localSheetId="12" hidden="1">{#N/A,#N/A,FALSE,"Aging Summary";#N/A,#N/A,FALSE,"Ratio Analysis";#N/A,#N/A,FALSE,"Test 120 Day Accts";#N/A,#N/A,FALSE,"Tickmarks"}</definedName>
    <definedName name="wrn.Aging._.and._.Trend._.Analysis." localSheetId="13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PROYEC." localSheetId="5" hidden="1">{#N/A,#N/A,FALSE,"GRAFICO";#N/A,#N/A,FALSE,"CAJA (2)";#N/A,#N/A,FALSE,"TERCEROS-PROMEDIO";#N/A,#N/A,FALSE,"CAJA";#N/A,#N/A,FALSE,"INGRESOS1995-2003";#N/A,#N/A,FALSE,"GASTOS1995-2003"}</definedName>
    <definedName name="wrn.PROYEC." localSheetId="6" hidden="1">{#N/A,#N/A,FALSE,"GRAFICO";#N/A,#N/A,FALSE,"CAJA (2)";#N/A,#N/A,FALSE,"TERCEROS-PROMEDIO";#N/A,#N/A,FALSE,"CAJA";#N/A,#N/A,FALSE,"INGRESOS1995-2003";#N/A,#N/A,FALSE,"GASTOS1995-2003"}</definedName>
    <definedName name="wrn.PROYEC." localSheetId="7" hidden="1">{#N/A,#N/A,FALSE,"GRAFICO";#N/A,#N/A,FALSE,"CAJA (2)";#N/A,#N/A,FALSE,"TERCEROS-PROMEDIO";#N/A,#N/A,FALSE,"CAJA";#N/A,#N/A,FALSE,"INGRESOS1995-2003";#N/A,#N/A,FALSE,"GASTOS1995-2003"}</definedName>
    <definedName name="wrn.PROYEC." localSheetId="8" hidden="1">{#N/A,#N/A,FALSE,"GRAFICO";#N/A,#N/A,FALSE,"CAJA (2)";#N/A,#N/A,FALSE,"TERCEROS-PROMEDIO";#N/A,#N/A,FALSE,"CAJA";#N/A,#N/A,FALSE,"INGRESOS1995-2003";#N/A,#N/A,FALSE,"GASTOS1995-2003"}</definedName>
    <definedName name="wrn.PROYEC." localSheetId="9" hidden="1">{#N/A,#N/A,FALSE,"GRAFICO";#N/A,#N/A,FALSE,"CAJA (2)";#N/A,#N/A,FALSE,"TERCEROS-PROMEDIO";#N/A,#N/A,FALSE,"CAJA";#N/A,#N/A,FALSE,"INGRESOS1995-2003";#N/A,#N/A,FALSE,"GASTOS1995-2003"}</definedName>
    <definedName name="wrn.PROYEC." localSheetId="10" hidden="1">{#N/A,#N/A,FALSE,"GRAFICO";#N/A,#N/A,FALSE,"CAJA (2)";#N/A,#N/A,FALSE,"TERCEROS-PROMEDIO";#N/A,#N/A,FALSE,"CAJA";#N/A,#N/A,FALSE,"INGRESOS1995-2003";#N/A,#N/A,FALSE,"GASTOS1995-2003"}</definedName>
    <definedName name="wrn.PROYEC." localSheetId="11" hidden="1">{#N/A,#N/A,FALSE,"GRAFICO";#N/A,#N/A,FALSE,"CAJA (2)";#N/A,#N/A,FALSE,"TERCEROS-PROMEDIO";#N/A,#N/A,FALSE,"CAJA";#N/A,#N/A,FALSE,"INGRESOS1995-2003";#N/A,#N/A,FALSE,"GASTOS1995-2003"}</definedName>
    <definedName name="wrn.PROYEC." localSheetId="12" hidden="1">{#N/A,#N/A,FALSE,"GRAFICO";#N/A,#N/A,FALSE,"CAJA (2)";#N/A,#N/A,FALSE,"TERCEROS-PROMEDIO";#N/A,#N/A,FALSE,"CAJA";#N/A,#N/A,FALSE,"INGRESOS1995-2003";#N/A,#N/A,FALSE,"GASTOS1995-2003"}</definedName>
    <definedName name="wrn.PROYEC." localSheetId="13" hidden="1">{#N/A,#N/A,FALSE,"GRAFICO";#N/A,#N/A,FALSE,"CAJA (2)";#N/A,#N/A,FALSE,"TERCEROS-PROMEDIO";#N/A,#N/A,FALSE,"CAJA";#N/A,#N/A,FALSE,"INGRESOS1995-2003";#N/A,#N/A,FALSE,"GASTOS1995-2003"}</definedName>
    <definedName name="wrn.PROYEC." hidden="1">{#N/A,#N/A,FALSE,"GRAFICO";#N/A,#N/A,FALSE,"CAJA (2)";#N/A,#N/A,FALSE,"TERCEROS-PROMEDIO";#N/A,#N/A,FALSE,"CAJA";#N/A,#N/A,FALSE,"INGRESOS1995-2003";#N/A,#N/A,FALSE,"GASTOS1995-2003"}</definedName>
    <definedName name="wrn.SENCILLO." localSheetId="5" hidden="1">{"PYGS",#N/A,FALSE,"PYG";"ACTIS",#N/A,FALSE,"BCE_GRAL-ACTIVO";"PASIS",#N/A,FALSE,"BCE_GRAL-PASIVO-PATRIM";"CAJAS",#N/A,FALSE,"CAJA"}</definedName>
    <definedName name="wrn.SENCILLO." localSheetId="6" hidden="1">{"PYGS",#N/A,FALSE,"PYG";"ACTIS",#N/A,FALSE,"BCE_GRAL-ACTIVO";"PASIS",#N/A,FALSE,"BCE_GRAL-PASIVO-PATRIM";"CAJAS",#N/A,FALSE,"CAJA"}</definedName>
    <definedName name="wrn.SENCILLO." localSheetId="7" hidden="1">{"PYGS",#N/A,FALSE,"PYG";"ACTIS",#N/A,FALSE,"BCE_GRAL-ACTIVO";"PASIS",#N/A,FALSE,"BCE_GRAL-PASIVO-PATRIM";"CAJAS",#N/A,FALSE,"CAJA"}</definedName>
    <definedName name="wrn.SENCILLO." localSheetId="8" hidden="1">{"PYGS",#N/A,FALSE,"PYG";"ACTIS",#N/A,FALSE,"BCE_GRAL-ACTIVO";"PASIS",#N/A,FALSE,"BCE_GRAL-PASIVO-PATRIM";"CAJAS",#N/A,FALSE,"CAJA"}</definedName>
    <definedName name="wrn.SENCILLO." localSheetId="9" hidden="1">{"PYGS",#N/A,FALSE,"PYG";"ACTIS",#N/A,FALSE,"BCE_GRAL-ACTIVO";"PASIS",#N/A,FALSE,"BCE_GRAL-PASIVO-PATRIM";"CAJAS",#N/A,FALSE,"CAJA"}</definedName>
    <definedName name="wrn.SENCILLO." localSheetId="10" hidden="1">{"PYGS",#N/A,FALSE,"PYG";"ACTIS",#N/A,FALSE,"BCE_GRAL-ACTIVO";"PASIS",#N/A,FALSE,"BCE_GRAL-PASIVO-PATRIM";"CAJAS",#N/A,FALSE,"CAJA"}</definedName>
    <definedName name="wrn.SENCILLO." localSheetId="11" hidden="1">{"PYGS",#N/A,FALSE,"PYG";"ACTIS",#N/A,FALSE,"BCE_GRAL-ACTIVO";"PASIS",#N/A,FALSE,"BCE_GRAL-PASIVO-PATRIM";"CAJAS",#N/A,FALSE,"CAJA"}</definedName>
    <definedName name="wrn.SENCILLO." localSheetId="12" hidden="1">{"PYGS",#N/A,FALSE,"PYG";"ACTIS",#N/A,FALSE,"BCE_GRAL-ACTIVO";"PASIS",#N/A,FALSE,"BCE_GRAL-PASIVO-PATRIM";"CAJAS",#N/A,FALSE,"CAJA"}</definedName>
    <definedName name="wrn.SENCILLO." localSheetId="13" hidden="1">{"PYGS",#N/A,FALSE,"PYG";"ACTIS",#N/A,FALSE,"BCE_GRAL-ACTIVO";"PASIS",#N/A,FALSE,"BCE_GRAL-PASIVO-PATRIM";"CAJAS",#N/A,FALSE,"CAJA"}</definedName>
    <definedName name="wrn.SENCILLO." hidden="1">{"PYGS",#N/A,FALSE,"PYG";"ACTIS",#N/A,FALSE,"BCE_GRAL-ACTIVO";"PASIS",#N/A,FALSE,"BCE_GRAL-PASIVO-PATRIM";"CAJAS",#N/A,FALSE,"CAJA"}</definedName>
    <definedName name="wrn.Total." localSheetId="5" hidden="1">{"Parcial",#N/A,FALSE,"GastFuncionamiento";"Parcial2",#N/A,FALSE,"GastFuncionamiento";"Total",#N/A,FALSE,"GastFuncionamiento"}</definedName>
    <definedName name="wrn.Total." localSheetId="6" hidden="1">{"Parcial",#N/A,FALSE,"GastFuncionamiento";"Parcial2",#N/A,FALSE,"GastFuncionamiento";"Total",#N/A,FALSE,"GastFuncionamiento"}</definedName>
    <definedName name="wrn.Total." localSheetId="7" hidden="1">{"Parcial",#N/A,FALSE,"GastFuncionamiento";"Parcial2",#N/A,FALSE,"GastFuncionamiento";"Total",#N/A,FALSE,"GastFuncionamiento"}</definedName>
    <definedName name="wrn.Total." localSheetId="8" hidden="1">{"Parcial",#N/A,FALSE,"GastFuncionamiento";"Parcial2",#N/A,FALSE,"GastFuncionamiento";"Total",#N/A,FALSE,"GastFuncionamiento"}</definedName>
    <definedName name="wrn.Total." localSheetId="9" hidden="1">{"Parcial",#N/A,FALSE,"GastFuncionamiento";"Parcial2",#N/A,FALSE,"GastFuncionamiento";"Total",#N/A,FALSE,"GastFuncionamiento"}</definedName>
    <definedName name="wrn.Total." localSheetId="10" hidden="1">{"Parcial",#N/A,FALSE,"GastFuncionamiento";"Parcial2",#N/A,FALSE,"GastFuncionamiento";"Total",#N/A,FALSE,"GastFuncionamiento"}</definedName>
    <definedName name="wrn.Total." localSheetId="11" hidden="1">{"Parcial",#N/A,FALSE,"GastFuncionamiento";"Parcial2",#N/A,FALSE,"GastFuncionamiento";"Total",#N/A,FALSE,"GastFuncionamiento"}</definedName>
    <definedName name="wrn.Total." localSheetId="12" hidden="1">{"Parcial",#N/A,FALSE,"GastFuncionamiento";"Parcial2",#N/A,FALSE,"GastFuncionamiento";"Total",#N/A,FALSE,"GastFuncionamiento"}</definedName>
    <definedName name="wrn.Total." localSheetId="13" hidden="1">{"Parcial",#N/A,FALSE,"GastFuncionamiento";"Parcial2",#N/A,FALSE,"GastFuncionamiento";"Total",#N/A,FALSE,"GastFuncionamiento"}</definedName>
    <definedName name="wrn.Total." hidden="1">{"Parcial",#N/A,FALSE,"GastFuncionamiento";"Parcial2",#N/A,FALSE,"GastFuncionamiento";"Total",#N/A,FALSE,"GastFuncionamiento"}</definedName>
    <definedName name="YO" localSheetId="5" hidden="1">{#N/A,#N/A,FALSE,"GRAFICO";#N/A,#N/A,FALSE,"CAJA (2)";#N/A,#N/A,FALSE,"TERCEROS-PROMEDIO";#N/A,#N/A,FALSE,"CAJA";#N/A,#N/A,FALSE,"INGRESOS1995-2003";#N/A,#N/A,FALSE,"GASTOS1995-2003"}</definedName>
    <definedName name="YO" localSheetId="6" hidden="1">{#N/A,#N/A,FALSE,"GRAFICO";#N/A,#N/A,FALSE,"CAJA (2)";#N/A,#N/A,FALSE,"TERCEROS-PROMEDIO";#N/A,#N/A,FALSE,"CAJA";#N/A,#N/A,FALSE,"INGRESOS1995-2003";#N/A,#N/A,FALSE,"GASTOS1995-2003"}</definedName>
    <definedName name="YO" localSheetId="7" hidden="1">{#N/A,#N/A,FALSE,"GRAFICO";#N/A,#N/A,FALSE,"CAJA (2)";#N/A,#N/A,FALSE,"TERCEROS-PROMEDIO";#N/A,#N/A,FALSE,"CAJA";#N/A,#N/A,FALSE,"INGRESOS1995-2003";#N/A,#N/A,FALSE,"GASTOS1995-2003"}</definedName>
    <definedName name="YO" localSheetId="8" hidden="1">{#N/A,#N/A,FALSE,"GRAFICO";#N/A,#N/A,FALSE,"CAJA (2)";#N/A,#N/A,FALSE,"TERCEROS-PROMEDIO";#N/A,#N/A,FALSE,"CAJA";#N/A,#N/A,FALSE,"INGRESOS1995-2003";#N/A,#N/A,FALSE,"GASTOS1995-2003"}</definedName>
    <definedName name="YO" localSheetId="9" hidden="1">{#N/A,#N/A,FALSE,"GRAFICO";#N/A,#N/A,FALSE,"CAJA (2)";#N/A,#N/A,FALSE,"TERCEROS-PROMEDIO";#N/A,#N/A,FALSE,"CAJA";#N/A,#N/A,FALSE,"INGRESOS1995-2003";#N/A,#N/A,FALSE,"GASTOS1995-2003"}</definedName>
    <definedName name="YO" localSheetId="10" hidden="1">{#N/A,#N/A,FALSE,"GRAFICO";#N/A,#N/A,FALSE,"CAJA (2)";#N/A,#N/A,FALSE,"TERCEROS-PROMEDIO";#N/A,#N/A,FALSE,"CAJA";#N/A,#N/A,FALSE,"INGRESOS1995-2003";#N/A,#N/A,FALSE,"GASTOS1995-2003"}</definedName>
    <definedName name="YO" localSheetId="11" hidden="1">{#N/A,#N/A,FALSE,"GRAFICO";#N/A,#N/A,FALSE,"CAJA (2)";#N/A,#N/A,FALSE,"TERCEROS-PROMEDIO";#N/A,#N/A,FALSE,"CAJA";#N/A,#N/A,FALSE,"INGRESOS1995-2003";#N/A,#N/A,FALSE,"GASTOS1995-2003"}</definedName>
    <definedName name="YO" localSheetId="12" hidden="1">{#N/A,#N/A,FALSE,"GRAFICO";#N/A,#N/A,FALSE,"CAJA (2)";#N/A,#N/A,FALSE,"TERCEROS-PROMEDIO";#N/A,#N/A,FALSE,"CAJA";#N/A,#N/A,FALSE,"INGRESOS1995-2003";#N/A,#N/A,FALSE,"GASTOS1995-2003"}</definedName>
    <definedName name="YO" localSheetId="13" hidden="1">{#N/A,#N/A,FALSE,"GRAFICO";#N/A,#N/A,FALSE,"CAJA (2)";#N/A,#N/A,FALSE,"TERCEROS-PROMEDIO";#N/A,#N/A,FALSE,"CAJA";#N/A,#N/A,FALSE,"INGRESOS1995-2003";#N/A,#N/A,FALSE,"GASTOS1995-2003"}</definedName>
    <definedName name="YO" hidden="1">{#N/A,#N/A,FALSE,"GRAFICO";#N/A,#N/A,FALSE,"CAJA (2)";#N/A,#N/A,FALSE,"TERCEROS-PROMEDIO";#N/A,#N/A,FALSE,"CAJA";#N/A,#N/A,FALSE,"INGRESOS1995-2003";#N/A,#N/A,FALSE,"GASTOS1995-2003"}</definedName>
    <definedName name="ZONA_PPTO" localSheetId="2">IF(ISEVEN(COLUMN()),CANT_Z_PPTO,SUB_TOT)</definedName>
    <definedName name="ZONA_PPTO" localSheetId="5">IF(ISEVEN(COLUMN()),CANT_Z_PPTO,SUB_TOT)</definedName>
    <definedName name="ZONA_PPTO" localSheetId="6">IF(ISEVEN(COLUMN()),CANT_Z_PPTO,SUB_TOT)</definedName>
    <definedName name="ZONA_PPTO" localSheetId="7">IF(ISEVEN(COLUMN()),CANT_Z_PPTO,SUB_TOT)</definedName>
    <definedName name="ZONA_PPTO" localSheetId="8">IF(ISEVEN(COLUMN()),CANT_Z_PPTO,SUB_TOT)</definedName>
    <definedName name="ZONA_PPTO" localSheetId="9">IF(ISEVEN(COLUMN()),CANT_Z_PPTO,SUB_TOT)</definedName>
    <definedName name="ZONA_PPTO" localSheetId="10">IF(ISEVEN(COLUMN()),CANT_Z_PPTO,SUB_TOT)</definedName>
    <definedName name="ZONA_PPTO" localSheetId="11">IF(ISEVEN(COLUMN()),CANT_Z_PPTO,SUB_TOT)</definedName>
    <definedName name="ZONA_PPTO" localSheetId="12">IF(ISEVEN(COLUMN()),CANT_Z_PPTO,SUB_TOT)</definedName>
    <definedName name="ZONA_PPTO" localSheetId="13">IF(ISEVEN(COLUMN()),CANT_Z_PPTO,SUB_TOT)</definedName>
    <definedName name="ZONA_PPTO" localSheetId="3">IF(ISEVEN(COLUMN()),CANT_Z_PPTO,SUB_TOT)</definedName>
    <definedName name="ZONA_PPTO">IF(ISEVEN(COLUMN()),CANT_Z_PPTO,SUB_TOT)</definedName>
  </definedNames>
  <calcPr calcId="191029"/>
</workbook>
</file>

<file path=xl/calcChain.xml><?xml version="1.0" encoding="utf-8"?>
<calcChain xmlns="http://schemas.openxmlformats.org/spreadsheetml/2006/main">
  <c r="I46" i="88" l="1"/>
  <c r="I47" i="88"/>
  <c r="E7" i="95"/>
  <c r="I42" i="88"/>
  <c r="G44" i="88"/>
  <c r="F44" i="88"/>
  <c r="G30" i="86"/>
  <c r="G16" i="86"/>
  <c r="E29" i="86"/>
  <c r="H13" i="95"/>
  <c r="H20" i="95"/>
  <c r="H19" i="95"/>
  <c r="H15" i="95"/>
  <c r="H14" i="95"/>
  <c r="H12" i="95"/>
  <c r="H11" i="95"/>
  <c r="H7" i="95"/>
  <c r="H6" i="95"/>
  <c r="H8" i="95" s="1"/>
  <c r="F16" i="86" s="1"/>
  <c r="F30" i="86" s="1"/>
  <c r="E15" i="86"/>
  <c r="J15" i="86" s="1"/>
  <c r="H15" i="86"/>
  <c r="H29" i="86" s="1"/>
  <c r="G15" i="86"/>
  <c r="G29" i="86" s="1"/>
  <c r="F15" i="86"/>
  <c r="F29" i="86" s="1"/>
  <c r="F13" i="93"/>
  <c r="H13" i="93" s="1"/>
  <c r="H18" i="93"/>
  <c r="H17" i="93"/>
  <c r="H19" i="93" s="1"/>
  <c r="H12" i="93"/>
  <c r="H11" i="93"/>
  <c r="H10" i="93"/>
  <c r="H6" i="93"/>
  <c r="H7" i="93" s="1"/>
  <c r="H21" i="95" l="1"/>
  <c r="H16" i="86" s="1"/>
  <c r="H42" i="88"/>
  <c r="F42" i="88"/>
  <c r="G42" i="88" s="1"/>
  <c r="J42" i="88"/>
  <c r="K42" i="88" s="1"/>
  <c r="H16" i="95"/>
  <c r="H14" i="93"/>
  <c r="H21" i="93" s="1"/>
  <c r="H23" i="95" l="1"/>
  <c r="E16" i="86" s="1"/>
  <c r="H44" i="88"/>
  <c r="I44" i="88" s="1"/>
  <c r="H30" i="86"/>
  <c r="H13" i="65"/>
  <c r="H13" i="68"/>
  <c r="E30" i="86" l="1"/>
  <c r="J44" i="88"/>
  <c r="K44" i="88" s="1"/>
  <c r="J16" i="86"/>
  <c r="P239" i="91"/>
  <c r="E53" i="63"/>
  <c r="H53" i="63" s="1"/>
  <c r="E52" i="63"/>
  <c r="H52" i="63" s="1"/>
  <c r="H58" i="64"/>
  <c r="H57" i="64"/>
  <c r="H56" i="64"/>
  <c r="H57" i="42"/>
  <c r="H56" i="42"/>
  <c r="H55" i="42"/>
  <c r="H57" i="55"/>
  <c r="H56" i="55"/>
  <c r="H55" i="55"/>
  <c r="H48" i="48"/>
  <c r="H47" i="48"/>
  <c r="H46" i="48"/>
  <c r="H48" i="78"/>
  <c r="H47" i="78"/>
  <c r="H46" i="78"/>
  <c r="H58" i="65"/>
  <c r="H54" i="63"/>
  <c r="H43" i="29"/>
  <c r="P370" i="91" l="1"/>
  <c r="P369" i="91"/>
  <c r="P368" i="91"/>
  <c r="P367" i="91"/>
  <c r="P366" i="91"/>
  <c r="P365" i="91"/>
  <c r="P364" i="91"/>
  <c r="P363" i="91"/>
  <c r="P362" i="91"/>
  <c r="P361" i="91"/>
  <c r="P360" i="91"/>
  <c r="P359" i="91"/>
  <c r="P358" i="91"/>
  <c r="P354" i="91"/>
  <c r="P353" i="91"/>
  <c r="P352" i="91"/>
  <c r="P351" i="91"/>
  <c r="P350" i="91"/>
  <c r="P349" i="91"/>
  <c r="P348" i="91"/>
  <c r="P347" i="91"/>
  <c r="P346" i="91"/>
  <c r="P345" i="91"/>
  <c r="P344" i="91"/>
  <c r="P343" i="91"/>
  <c r="P342" i="91"/>
  <c r="P341" i="91"/>
  <c r="P340" i="91"/>
  <c r="P339" i="91"/>
  <c r="P338" i="91"/>
  <c r="P337" i="91"/>
  <c r="P336" i="91"/>
  <c r="P335" i="91"/>
  <c r="P334" i="91"/>
  <c r="P333" i="91"/>
  <c r="P332" i="91"/>
  <c r="P331" i="91"/>
  <c r="P330" i="91"/>
  <c r="P329" i="91"/>
  <c r="P328" i="91"/>
  <c r="P327" i="91"/>
  <c r="P326" i="91"/>
  <c r="P325" i="91"/>
  <c r="P324" i="91"/>
  <c r="P323" i="91"/>
  <c r="P322" i="91"/>
  <c r="P321" i="91"/>
  <c r="P320" i="91"/>
  <c r="P319" i="91"/>
  <c r="P317" i="91"/>
  <c r="P316" i="91"/>
  <c r="P304" i="91"/>
  <c r="P303" i="91"/>
  <c r="P302" i="91"/>
  <c r="P301" i="91"/>
  <c r="P300" i="91"/>
  <c r="P299" i="91"/>
  <c r="P298" i="91"/>
  <c r="P297" i="91"/>
  <c r="P296" i="91"/>
  <c r="P295" i="91"/>
  <c r="P294" i="91"/>
  <c r="P293" i="91"/>
  <c r="P292" i="91"/>
  <c r="P291" i="91"/>
  <c r="P290" i="91"/>
  <c r="P289" i="91"/>
  <c r="P288" i="91"/>
  <c r="P287" i="91"/>
  <c r="P285" i="91"/>
  <c r="P284" i="91"/>
  <c r="P283" i="91"/>
  <c r="P282" i="91"/>
  <c r="P281" i="91"/>
  <c r="P280" i="91"/>
  <c r="P279" i="91"/>
  <c r="P278" i="91"/>
  <c r="P277" i="91"/>
  <c r="P276" i="91"/>
  <c r="P275" i="91"/>
  <c r="P269" i="91"/>
  <c r="P268" i="91"/>
  <c r="P267" i="91"/>
  <c r="P259" i="91"/>
  <c r="P258" i="91"/>
  <c r="P257" i="91"/>
  <c r="P256" i="91"/>
  <c r="P255" i="91"/>
  <c r="P254" i="91"/>
  <c r="P253" i="91"/>
  <c r="P252" i="91"/>
  <c r="P251" i="91"/>
  <c r="P250" i="91"/>
  <c r="P249" i="91"/>
  <c r="P248" i="91"/>
  <c r="P247" i="91"/>
  <c r="P246" i="91"/>
  <c r="P245" i="91"/>
  <c r="P244" i="91"/>
  <c r="P243" i="91"/>
  <c r="P242" i="91"/>
  <c r="P241" i="91"/>
  <c r="P240" i="91"/>
  <c r="P181" i="91"/>
  <c r="P180" i="91"/>
  <c r="P179" i="91"/>
  <c r="P178" i="91"/>
  <c r="P177" i="91"/>
  <c r="P176" i="91"/>
  <c r="P175" i="91"/>
  <c r="P165" i="91"/>
  <c r="P164" i="91"/>
  <c r="P163" i="91"/>
  <c r="P142" i="91"/>
  <c r="P134" i="91"/>
  <c r="P133" i="91"/>
  <c r="P131" i="91"/>
  <c r="P130" i="91"/>
  <c r="P129" i="91"/>
  <c r="P128" i="91"/>
  <c r="P127" i="91"/>
  <c r="P126" i="91"/>
  <c r="P125" i="91"/>
  <c r="P124" i="91"/>
  <c r="P123" i="91"/>
  <c r="P122" i="91"/>
  <c r="P121" i="91"/>
  <c r="P120" i="91"/>
  <c r="P119" i="91"/>
  <c r="P118" i="91"/>
  <c r="P117" i="91"/>
  <c r="P116" i="91"/>
  <c r="P115" i="91"/>
  <c r="P114" i="91"/>
  <c r="P113" i="91"/>
  <c r="P112" i="91"/>
  <c r="P111" i="91"/>
  <c r="P102" i="91"/>
  <c r="P101" i="91"/>
  <c r="P100" i="91"/>
  <c r="P99" i="91"/>
  <c r="P98" i="91"/>
  <c r="P97" i="91"/>
  <c r="P96" i="91"/>
  <c r="P95" i="91"/>
  <c r="P93" i="91"/>
  <c r="P92" i="91"/>
  <c r="P91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0" i="91"/>
  <c r="P69" i="91"/>
  <c r="P68" i="91"/>
  <c r="P32" i="91"/>
  <c r="P31" i="91"/>
  <c r="R21" i="91"/>
  <c r="S21" i="91" s="1"/>
  <c r="S20" i="91"/>
  <c r="R20" i="91"/>
  <c r="R12" i="91"/>
  <c r="P11" i="91"/>
  <c r="P12" i="91"/>
  <c r="P13" i="91"/>
  <c r="P14" i="91"/>
  <c r="P15" i="91"/>
  <c r="P16" i="91"/>
  <c r="P17" i="91"/>
  <c r="P19" i="91"/>
  <c r="P20" i="91"/>
  <c r="P21" i="91"/>
  <c r="P24" i="91"/>
  <c r="P25" i="91"/>
  <c r="P26" i="91"/>
  <c r="P27" i="91"/>
  <c r="P28" i="91"/>
  <c r="M148" i="91"/>
  <c r="P148" i="91" s="1"/>
  <c r="M147" i="91"/>
  <c r="P147" i="91" s="1"/>
  <c r="M146" i="91"/>
  <c r="P146" i="91" s="1"/>
  <c r="M145" i="91"/>
  <c r="P145" i="91" s="1"/>
  <c r="M144" i="91"/>
  <c r="P144" i="91" s="1"/>
  <c r="M143" i="91"/>
  <c r="P143" i="91" s="1"/>
  <c r="M23" i="91" l="1"/>
  <c r="P23" i="91" s="1"/>
  <c r="M357" i="91" l="1"/>
  <c r="P357" i="91" s="1"/>
  <c r="M356" i="91"/>
  <c r="P356" i="91" s="1"/>
  <c r="M355" i="91"/>
  <c r="P355" i="91" s="1"/>
  <c r="M318" i="91"/>
  <c r="P318" i="91" s="1"/>
  <c r="M315" i="91"/>
  <c r="P315" i="91" s="1"/>
  <c r="M314" i="91"/>
  <c r="P314" i="91" s="1"/>
  <c r="M313" i="91"/>
  <c r="P313" i="91" s="1"/>
  <c r="M312" i="91"/>
  <c r="P312" i="91" s="1"/>
  <c r="M311" i="91"/>
  <c r="P311" i="91" s="1"/>
  <c r="M310" i="91"/>
  <c r="P310" i="91" s="1"/>
  <c r="M309" i="91"/>
  <c r="P309" i="91" s="1"/>
  <c r="M308" i="91"/>
  <c r="P308" i="91" s="1"/>
  <c r="M307" i="91"/>
  <c r="P307" i="91" s="1"/>
  <c r="M306" i="91"/>
  <c r="P306" i="91" s="1"/>
  <c r="M305" i="91"/>
  <c r="P305" i="91" s="1"/>
  <c r="M286" i="91"/>
  <c r="P286" i="91" s="1"/>
  <c r="M274" i="91"/>
  <c r="P274" i="91" s="1"/>
  <c r="M273" i="91"/>
  <c r="P273" i="91" s="1"/>
  <c r="M272" i="91"/>
  <c r="P272" i="91" s="1"/>
  <c r="M271" i="91"/>
  <c r="P271" i="91" s="1"/>
  <c r="M270" i="91"/>
  <c r="P270" i="91" s="1"/>
  <c r="M266" i="91"/>
  <c r="P266" i="91" s="1"/>
  <c r="M265" i="91"/>
  <c r="P265" i="91" s="1"/>
  <c r="M264" i="91"/>
  <c r="P264" i="91" s="1"/>
  <c r="M263" i="91"/>
  <c r="P263" i="91" s="1"/>
  <c r="M262" i="91"/>
  <c r="P262" i="91" s="1"/>
  <c r="M261" i="91"/>
  <c r="P261" i="91" s="1"/>
  <c r="M260" i="91"/>
  <c r="P260" i="91" s="1"/>
  <c r="M238" i="91"/>
  <c r="P238" i="91" s="1"/>
  <c r="M162" i="91"/>
  <c r="P162" i="91" s="1"/>
  <c r="M161" i="91"/>
  <c r="P161" i="91" s="1"/>
  <c r="M160" i="91"/>
  <c r="P160" i="91" s="1"/>
  <c r="M159" i="91"/>
  <c r="P159" i="91" s="1"/>
  <c r="M158" i="91"/>
  <c r="P158" i="91" s="1"/>
  <c r="M157" i="91"/>
  <c r="P157" i="91" s="1"/>
  <c r="M156" i="91"/>
  <c r="P156" i="91" s="1"/>
  <c r="M155" i="91"/>
  <c r="P155" i="91" s="1"/>
  <c r="M154" i="91"/>
  <c r="P154" i="91" s="1"/>
  <c r="M153" i="91"/>
  <c r="P153" i="91" s="1"/>
  <c r="M152" i="91"/>
  <c r="P152" i="91" s="1"/>
  <c r="M151" i="91"/>
  <c r="P151" i="91" s="1"/>
  <c r="M150" i="91"/>
  <c r="P150" i="91" s="1"/>
  <c r="M149" i="91"/>
  <c r="P149" i="91" s="1"/>
  <c r="M105" i="91" l="1"/>
  <c r="P105" i="91" s="1"/>
  <c r="M106" i="91"/>
  <c r="P106" i="91" s="1"/>
  <c r="M107" i="91"/>
  <c r="P107" i="91" s="1"/>
  <c r="M108" i="91"/>
  <c r="P108" i="91" s="1"/>
  <c r="M109" i="91"/>
  <c r="P109" i="91" s="1"/>
  <c r="M110" i="91"/>
  <c r="P110" i="91" s="1"/>
  <c r="M104" i="91"/>
  <c r="P104" i="91" s="1"/>
  <c r="M103" i="91"/>
  <c r="P103" i="91" s="1"/>
  <c r="M94" i="91"/>
  <c r="P94" i="91" s="1"/>
  <c r="M71" i="91"/>
  <c r="M67" i="91" l="1"/>
  <c r="P67" i="91" s="1"/>
  <c r="M52" i="91"/>
  <c r="P52" i="91" s="1"/>
  <c r="M53" i="91"/>
  <c r="P53" i="91" s="1"/>
  <c r="M54" i="91"/>
  <c r="P54" i="91" s="1"/>
  <c r="M55" i="91"/>
  <c r="P55" i="91" s="1"/>
  <c r="M56" i="91"/>
  <c r="P56" i="91" s="1"/>
  <c r="M57" i="91"/>
  <c r="P57" i="91" s="1"/>
  <c r="M58" i="91"/>
  <c r="P58" i="91" s="1"/>
  <c r="M51" i="91"/>
  <c r="P51" i="91" s="1"/>
  <c r="M35" i="91"/>
  <c r="P35" i="91" s="1"/>
  <c r="M36" i="91"/>
  <c r="P36" i="91" s="1"/>
  <c r="M37" i="91"/>
  <c r="P37" i="91" s="1"/>
  <c r="M38" i="91"/>
  <c r="P38" i="91" s="1"/>
  <c r="M39" i="91"/>
  <c r="P39" i="91" s="1"/>
  <c r="M40" i="91"/>
  <c r="P40" i="91" s="1"/>
  <c r="M41" i="91"/>
  <c r="P41" i="91" s="1"/>
  <c r="M42" i="91"/>
  <c r="P42" i="91" s="1"/>
  <c r="M34" i="91"/>
  <c r="P34" i="91" s="1"/>
  <c r="M22" i="91"/>
  <c r="P22" i="91" s="1"/>
  <c r="M18" i="91"/>
  <c r="P18" i="91" s="1"/>
  <c r="H204" i="91"/>
  <c r="H174" i="91"/>
  <c r="K174" i="91" s="1"/>
  <c r="H58" i="91"/>
  <c r="K58" i="91" s="1"/>
  <c r="H66" i="91"/>
  <c r="H50" i="91"/>
  <c r="H16" i="91"/>
  <c r="K16" i="91" s="1"/>
  <c r="H17" i="91"/>
  <c r="K17" i="91" s="1"/>
  <c r="H327" i="91"/>
  <c r="K327" i="91" s="1"/>
  <c r="H150" i="91"/>
  <c r="K150" i="91" s="1"/>
  <c r="H93" i="91"/>
  <c r="K93" i="91" s="1"/>
  <c r="H74" i="91"/>
  <c r="K74" i="91" s="1"/>
  <c r="H295" i="91"/>
  <c r="K295" i="91" s="1"/>
  <c r="H315" i="91"/>
  <c r="K315" i="91" s="1"/>
  <c r="H313" i="91"/>
  <c r="K313" i="91" s="1"/>
  <c r="H304" i="91"/>
  <c r="K304" i="91" s="1"/>
  <c r="H336" i="91"/>
  <c r="K336" i="91" s="1"/>
  <c r="H42" i="91"/>
  <c r="K42" i="91" s="1"/>
  <c r="H161" i="91"/>
  <c r="K161" i="91" s="1"/>
  <c r="H131" i="91"/>
  <c r="K131" i="91" s="1"/>
  <c r="H88" i="91"/>
  <c r="K88" i="91" s="1"/>
  <c r="H280" i="91"/>
  <c r="K280" i="91" s="1"/>
  <c r="H94" i="91"/>
  <c r="K94" i="91" s="1"/>
  <c r="H149" i="91"/>
  <c r="K149" i="91" s="1"/>
  <c r="H152" i="91"/>
  <c r="K152" i="91" s="1"/>
  <c r="H134" i="91"/>
  <c r="K134" i="91" s="1"/>
  <c r="H164" i="91"/>
  <c r="K164" i="91" s="1"/>
  <c r="H70" i="91"/>
  <c r="K70" i="91" s="1"/>
  <c r="H102" i="91"/>
  <c r="K102" i="91" s="1"/>
  <c r="H247" i="91"/>
  <c r="K247" i="91" s="1"/>
  <c r="H256" i="91"/>
  <c r="K256" i="91" s="1"/>
  <c r="H182" i="91"/>
  <c r="K182" i="91" s="1"/>
  <c r="H195" i="91"/>
  <c r="K195" i="91" s="1"/>
  <c r="H207" i="91"/>
  <c r="K207" i="91" s="1"/>
  <c r="H206" i="91"/>
  <c r="K206" i="91" s="1"/>
  <c r="H237" i="91"/>
  <c r="K237" i="91" s="1"/>
  <c r="H224" i="91"/>
  <c r="K224" i="91" s="1"/>
  <c r="H203" i="91"/>
  <c r="H173" i="91"/>
  <c r="K173" i="91" s="1"/>
  <c r="H165" i="91"/>
  <c r="K165" i="91" s="1"/>
  <c r="H259" i="91"/>
  <c r="K259" i="91" s="1"/>
  <c r="H257" i="91"/>
  <c r="K257" i="91" s="1"/>
  <c r="H18" i="91"/>
  <c r="K18" i="91" s="1"/>
  <c r="H22" i="91"/>
  <c r="K22" i="91" s="1"/>
  <c r="H32" i="91"/>
  <c r="K32" i="91" s="1"/>
  <c r="H31" i="91"/>
  <c r="K31" i="91" s="1"/>
  <c r="H23" i="91"/>
  <c r="K23" i="91" s="1"/>
  <c r="H24" i="91"/>
  <c r="K24" i="91" s="1"/>
  <c r="H19" i="91"/>
  <c r="K19" i="91" s="1"/>
  <c r="H73" i="91"/>
  <c r="K73" i="91" s="1"/>
  <c r="H279" i="91"/>
  <c r="K279" i="91" s="1"/>
  <c r="H285" i="91"/>
  <c r="K285" i="91" s="1"/>
  <c r="H258" i="91"/>
  <c r="K258" i="91" s="1"/>
  <c r="H317" i="91"/>
  <c r="K317" i="91" s="1"/>
  <c r="H11" i="91"/>
  <c r="K11" i="91" s="1"/>
  <c r="H303" i="91"/>
  <c r="K303" i="91" s="1"/>
  <c r="H319" i="91"/>
  <c r="K319" i="91" s="1"/>
  <c r="H316" i="91"/>
  <c r="K316" i="91" s="1"/>
  <c r="H281" i="91"/>
  <c r="K281" i="91" s="1"/>
  <c r="H335" i="91"/>
  <c r="K335" i="91" s="1"/>
  <c r="H41" i="91"/>
  <c r="K41" i="91" s="1"/>
  <c r="H305" i="91"/>
  <c r="K305" i="91" s="1"/>
  <c r="H318" i="91"/>
  <c r="K318" i="91" s="1"/>
  <c r="H314" i="91"/>
  <c r="K314" i="91" s="1"/>
  <c r="H238" i="91"/>
  <c r="K238" i="91" s="1"/>
  <c r="H273" i="91"/>
  <c r="K273" i="91" s="1"/>
  <c r="H103" i="91"/>
  <c r="K103" i="91" s="1"/>
  <c r="H89" i="91"/>
  <c r="K89" i="91" s="1"/>
  <c r="H286" i="91"/>
  <c r="K286" i="91" s="1"/>
  <c r="H294" i="91"/>
  <c r="K294" i="91" s="1"/>
  <c r="H151" i="91"/>
  <c r="K151" i="91" s="1"/>
  <c r="H163" i="91"/>
  <c r="K163" i="91" s="1"/>
  <c r="H69" i="91"/>
  <c r="K69" i="91" s="1"/>
  <c r="H130" i="91"/>
  <c r="K130" i="91" s="1"/>
  <c r="H162" i="91"/>
  <c r="K162" i="91" s="1"/>
  <c r="H71" i="91"/>
  <c r="K71" i="91" s="1"/>
  <c r="H246" i="91"/>
  <c r="K246" i="91" s="1"/>
  <c r="H255" i="91"/>
  <c r="K255" i="91" s="1"/>
  <c r="H183" i="91"/>
  <c r="K183" i="91" s="1"/>
  <c r="H232" i="91"/>
  <c r="K232" i="91" s="1"/>
  <c r="H215" i="91"/>
  <c r="K215" i="91" s="1"/>
  <c r="H205" i="91"/>
  <c r="K205" i="91" s="1"/>
  <c r="H236" i="91"/>
  <c r="K236" i="91" s="1"/>
  <c r="H223" i="91"/>
  <c r="K223" i="91" s="1"/>
  <c r="H202" i="91"/>
  <c r="H231" i="91"/>
  <c r="K231" i="91" s="1"/>
  <c r="H172" i="91"/>
  <c r="K172" i="91" s="1"/>
  <c r="H57" i="91"/>
  <c r="K57" i="91" s="1"/>
  <c r="H65" i="91"/>
  <c r="H49" i="91"/>
  <c r="H15" i="91"/>
  <c r="K15" i="91" s="1"/>
  <c r="H363" i="91"/>
  <c r="K363" i="91" s="1"/>
  <c r="H351" i="91"/>
  <c r="K351" i="91" s="1"/>
  <c r="H325" i="91"/>
  <c r="K325" i="91" s="1"/>
  <c r="H271" i="91"/>
  <c r="K271" i="91" s="1"/>
  <c r="H360" i="91"/>
  <c r="K360" i="91" s="1"/>
  <c r="H278" i="91"/>
  <c r="K278" i="91" s="1"/>
  <c r="H357" i="91"/>
  <c r="K357" i="91" s="1"/>
  <c r="H354" i="91"/>
  <c r="K354" i="91" s="1"/>
  <c r="H80" i="91"/>
  <c r="K80" i="91" s="1"/>
  <c r="H342" i="91"/>
  <c r="K342" i="91" s="1"/>
  <c r="H293" i="91"/>
  <c r="K293" i="91" s="1"/>
  <c r="H339" i="91"/>
  <c r="K339" i="91" s="1"/>
  <c r="H148" i="91"/>
  <c r="K148" i="91" s="1"/>
  <c r="H110" i="91"/>
  <c r="K110" i="91" s="1"/>
  <c r="H141" i="91"/>
  <c r="H96" i="91"/>
  <c r="K96" i="91" s="1"/>
  <c r="H28" i="91"/>
  <c r="K28" i="91" s="1"/>
  <c r="H125" i="91"/>
  <c r="K125" i="91" s="1"/>
  <c r="H118" i="91"/>
  <c r="K118" i="91" s="1"/>
  <c r="H334" i="91"/>
  <c r="K334" i="91" s="1"/>
  <c r="H40" i="91"/>
  <c r="K40" i="91" s="1"/>
  <c r="H302" i="91"/>
  <c r="K302" i="91" s="1"/>
  <c r="H312" i="91"/>
  <c r="K312" i="91" s="1"/>
  <c r="H87" i="91"/>
  <c r="K87" i="91" s="1"/>
  <c r="H345" i="91"/>
  <c r="K345" i="91" s="1"/>
  <c r="H348" i="91"/>
  <c r="K348" i="91" s="1"/>
  <c r="H266" i="91"/>
  <c r="K266" i="91" s="1"/>
  <c r="H92" i="91"/>
  <c r="K92" i="91" s="1"/>
  <c r="H245" i="91"/>
  <c r="K245" i="91" s="1"/>
  <c r="H370" i="91"/>
  <c r="K370" i="91" s="1"/>
  <c r="H254" i="91"/>
  <c r="K254" i="91" s="1"/>
  <c r="H181" i="91"/>
  <c r="K181" i="91" s="1"/>
  <c r="H190" i="91"/>
  <c r="K190" i="91" s="1"/>
  <c r="H194" i="91"/>
  <c r="K194" i="91" s="1"/>
  <c r="H210" i="91"/>
  <c r="K210" i="91" s="1"/>
  <c r="H222" i="91"/>
  <c r="K222" i="91" s="1"/>
  <c r="H201" i="91"/>
  <c r="H230" i="91"/>
  <c r="K230" i="91" s="1"/>
  <c r="H171" i="91"/>
  <c r="K171" i="91" s="1"/>
  <c r="H56" i="91"/>
  <c r="K56" i="91" s="1"/>
  <c r="H64" i="91"/>
  <c r="H48" i="91"/>
  <c r="H14" i="91"/>
  <c r="K14" i="91" s="1"/>
  <c r="H362" i="91"/>
  <c r="K362" i="91" s="1"/>
  <c r="H350" i="91"/>
  <c r="K350" i="91" s="1"/>
  <c r="H324" i="91"/>
  <c r="K324" i="91" s="1"/>
  <c r="H272" i="91"/>
  <c r="K272" i="91" s="1"/>
  <c r="H359" i="91"/>
  <c r="K359" i="91" s="1"/>
  <c r="H277" i="91"/>
  <c r="K277" i="91" s="1"/>
  <c r="H356" i="91"/>
  <c r="K356" i="91" s="1"/>
  <c r="H353" i="91"/>
  <c r="K353" i="91" s="1"/>
  <c r="H338" i="91"/>
  <c r="K338" i="91" s="1"/>
  <c r="H147" i="91"/>
  <c r="K147" i="91" s="1"/>
  <c r="H109" i="91"/>
  <c r="K109" i="91" s="1"/>
  <c r="H140" i="91"/>
  <c r="H101" i="91"/>
  <c r="K101" i="91" s="1"/>
  <c r="H27" i="91"/>
  <c r="K27" i="91" s="1"/>
  <c r="H124" i="91"/>
  <c r="K124" i="91" s="1"/>
  <c r="H117" i="91"/>
  <c r="K117" i="91" s="1"/>
  <c r="H333" i="91"/>
  <c r="K333" i="91" s="1"/>
  <c r="H39" i="91"/>
  <c r="K39" i="91" s="1"/>
  <c r="H311" i="91"/>
  <c r="K311" i="91" s="1"/>
  <c r="H301" i="91"/>
  <c r="K301" i="91" s="1"/>
  <c r="H86" i="91"/>
  <c r="K86" i="91" s="1"/>
  <c r="H344" i="91"/>
  <c r="K344" i="91" s="1"/>
  <c r="H79" i="91"/>
  <c r="K79" i="91" s="1"/>
  <c r="H341" i="91"/>
  <c r="K341" i="91" s="1"/>
  <c r="H292" i="91"/>
  <c r="K292" i="91" s="1"/>
  <c r="H347" i="91"/>
  <c r="K347" i="91" s="1"/>
  <c r="H265" i="91"/>
  <c r="K265" i="91" s="1"/>
  <c r="H91" i="91"/>
  <c r="K91" i="91" s="1"/>
  <c r="H244" i="91"/>
  <c r="K244" i="91" s="1"/>
  <c r="H369" i="91"/>
  <c r="K369" i="91" s="1"/>
  <c r="H253" i="91"/>
  <c r="K253" i="91" s="1"/>
  <c r="H180" i="91"/>
  <c r="K180" i="91" s="1"/>
  <c r="H189" i="91"/>
  <c r="K189" i="91" s="1"/>
  <c r="H193" i="91"/>
  <c r="K193" i="91" s="1"/>
  <c r="H209" i="91"/>
  <c r="K209" i="91" s="1"/>
  <c r="H221" i="91"/>
  <c r="K221" i="91" s="1"/>
  <c r="H200" i="91"/>
  <c r="H229" i="91"/>
  <c r="K229" i="91" s="1"/>
  <c r="H170" i="91"/>
  <c r="K170" i="91" s="1"/>
  <c r="H67" i="91"/>
  <c r="K67" i="91" s="1"/>
  <c r="H55" i="91"/>
  <c r="K55" i="91" s="1"/>
  <c r="H63" i="91"/>
  <c r="H47" i="91"/>
  <c r="H33" i="91"/>
  <c r="K33" i="91" s="1"/>
  <c r="H300" i="91"/>
  <c r="K300" i="91" s="1"/>
  <c r="H72" i="91"/>
  <c r="K72" i="91" s="1"/>
  <c r="H291" i="91"/>
  <c r="K291" i="91" s="1"/>
  <c r="H326" i="91"/>
  <c r="K326" i="91" s="1"/>
  <c r="H274" i="91"/>
  <c r="K274" i="91" s="1"/>
  <c r="H276" i="91"/>
  <c r="K276" i="91" s="1"/>
  <c r="H142" i="91"/>
  <c r="K142" i="91" s="1"/>
  <c r="H132" i="91"/>
  <c r="K132" i="91" s="1"/>
  <c r="H68" i="91"/>
  <c r="K68" i="91" s="1"/>
  <c r="H108" i="91"/>
  <c r="K108" i="91" s="1"/>
  <c r="H139" i="91"/>
  <c r="H100" i="91"/>
  <c r="K100" i="91" s="1"/>
  <c r="H123" i="91"/>
  <c r="K123" i="91" s="1"/>
  <c r="H116" i="91"/>
  <c r="K116" i="91" s="1"/>
  <c r="H310" i="91"/>
  <c r="K310" i="91" s="1"/>
  <c r="H332" i="91"/>
  <c r="K332" i="91" s="1"/>
  <c r="H38" i="91"/>
  <c r="K38" i="91" s="1"/>
  <c r="H85" i="91"/>
  <c r="K85" i="91" s="1"/>
  <c r="H160" i="91"/>
  <c r="K160" i="91" s="1"/>
  <c r="H111" i="91"/>
  <c r="K111" i="91" s="1"/>
  <c r="H133" i="91"/>
  <c r="K133" i="91" s="1"/>
  <c r="H129" i="91"/>
  <c r="K129" i="91" s="1"/>
  <c r="H156" i="91"/>
  <c r="K156" i="91" s="1"/>
  <c r="H264" i="91"/>
  <c r="K264" i="91" s="1"/>
  <c r="H243" i="91"/>
  <c r="K243" i="91" s="1"/>
  <c r="H368" i="91"/>
  <c r="K368" i="91" s="1"/>
  <c r="H252" i="91"/>
  <c r="K252" i="91" s="1"/>
  <c r="H179" i="91"/>
  <c r="K179" i="91" s="1"/>
  <c r="H188" i="91"/>
  <c r="K188" i="91" s="1"/>
  <c r="H192" i="91"/>
  <c r="K192" i="91" s="1"/>
  <c r="H214" i="91"/>
  <c r="K214" i="91" s="1"/>
  <c r="H220" i="91"/>
  <c r="K220" i="91" s="1"/>
  <c r="H199" i="91"/>
  <c r="H228" i="91"/>
  <c r="K228" i="91" s="1"/>
  <c r="H54" i="91"/>
  <c r="K54" i="91" s="1"/>
  <c r="H62" i="91"/>
  <c r="H46" i="91"/>
  <c r="H21" i="91"/>
  <c r="K21" i="91" s="1"/>
  <c r="H30" i="91"/>
  <c r="K30" i="91" s="1"/>
  <c r="H323" i="91"/>
  <c r="K323" i="91" s="1"/>
  <c r="H269" i="91"/>
  <c r="K269" i="91" s="1"/>
  <c r="H78" i="91"/>
  <c r="K78" i="91" s="1"/>
  <c r="H290" i="91"/>
  <c r="K290" i="91" s="1"/>
  <c r="H284" i="91"/>
  <c r="K284" i="91" s="1"/>
  <c r="H144" i="91"/>
  <c r="K144" i="91" s="1"/>
  <c r="H107" i="91"/>
  <c r="K107" i="91" s="1"/>
  <c r="H138" i="91"/>
  <c r="H99" i="91"/>
  <c r="K99" i="91" s="1"/>
  <c r="H115" i="91"/>
  <c r="K115" i="91" s="1"/>
  <c r="H122" i="91"/>
  <c r="K122" i="91" s="1"/>
  <c r="H299" i="91"/>
  <c r="K299" i="91" s="1"/>
  <c r="H309" i="91"/>
  <c r="K309" i="91" s="1"/>
  <c r="H331" i="91"/>
  <c r="K331" i="91" s="1"/>
  <c r="H37" i="91"/>
  <c r="K37" i="91" s="1"/>
  <c r="H84" i="91"/>
  <c r="K84" i="91" s="1"/>
  <c r="H128" i="91"/>
  <c r="K128" i="91" s="1"/>
  <c r="H155" i="91"/>
  <c r="K155" i="91" s="1"/>
  <c r="H159" i="91"/>
  <c r="K159" i="91" s="1"/>
  <c r="H263" i="91"/>
  <c r="K263" i="91" s="1"/>
  <c r="H242" i="91"/>
  <c r="K242" i="91" s="1"/>
  <c r="H367" i="91"/>
  <c r="K367" i="91" s="1"/>
  <c r="H251" i="91"/>
  <c r="K251" i="91" s="1"/>
  <c r="H178" i="91"/>
  <c r="K178" i="91" s="1"/>
  <c r="H187" i="91"/>
  <c r="K187" i="91" s="1"/>
  <c r="H235" i="91"/>
  <c r="K235" i="91" s="1"/>
  <c r="H208" i="91"/>
  <c r="K208" i="91" s="1"/>
  <c r="H219" i="91"/>
  <c r="K219" i="91" s="1"/>
  <c r="J237" i="91"/>
  <c r="J206" i="91"/>
  <c r="J207" i="91"/>
  <c r="J195" i="91"/>
  <c r="J182" i="91"/>
  <c r="J256" i="91"/>
  <c r="J247" i="91"/>
  <c r="J102" i="91"/>
  <c r="J70" i="91"/>
  <c r="J164" i="91"/>
  <c r="J134" i="91"/>
  <c r="J152" i="91"/>
  <c r="J149" i="91"/>
  <c r="J94" i="91"/>
  <c r="J280" i="91"/>
  <c r="J88" i="91"/>
  <c r="J131" i="91"/>
  <c r="J161" i="91"/>
  <c r="J42" i="91"/>
  <c r="J336" i="91"/>
  <c r="J304" i="91"/>
  <c r="J313" i="91"/>
  <c r="J315" i="91"/>
  <c r="J295" i="91"/>
  <c r="J74" i="91"/>
  <c r="J93" i="91"/>
  <c r="J150" i="91"/>
  <c r="J327" i="91"/>
  <c r="J17" i="91"/>
  <c r="J16" i="91"/>
  <c r="J58" i="91"/>
  <c r="J174" i="91"/>
  <c r="J224" i="91"/>
  <c r="J236" i="91"/>
  <c r="J205" i="91"/>
  <c r="J215" i="91"/>
  <c r="J232" i="91"/>
  <c r="J183" i="91"/>
  <c r="J255" i="91"/>
  <c r="J246" i="91"/>
  <c r="J71" i="91"/>
  <c r="J162" i="91"/>
  <c r="J130" i="91"/>
  <c r="J69" i="91"/>
  <c r="J163" i="91"/>
  <c r="J151" i="91"/>
  <c r="J294" i="91"/>
  <c r="J286" i="91"/>
  <c r="J89" i="91"/>
  <c r="J103" i="91"/>
  <c r="J273" i="91"/>
  <c r="J238" i="91"/>
  <c r="J314" i="91"/>
  <c r="J318" i="91"/>
  <c r="J305" i="91"/>
  <c r="J41" i="91"/>
  <c r="J335" i="91"/>
  <c r="J281" i="91"/>
  <c r="J316" i="91"/>
  <c r="J319" i="91"/>
  <c r="J303" i="91"/>
  <c r="J11" i="91"/>
  <c r="J317" i="91"/>
  <c r="J258" i="91"/>
  <c r="J285" i="91"/>
  <c r="J279" i="91"/>
  <c r="J73" i="91"/>
  <c r="J19" i="91"/>
  <c r="J24" i="91"/>
  <c r="J23" i="91"/>
  <c r="J31" i="91"/>
  <c r="J32" i="91"/>
  <c r="J22" i="91"/>
  <c r="J18" i="91"/>
  <c r="J257" i="91"/>
  <c r="J259" i="91"/>
  <c r="J165" i="91"/>
  <c r="J173" i="91"/>
  <c r="J223" i="91"/>
  <c r="J210" i="91"/>
  <c r="J194" i="91"/>
  <c r="J190" i="91"/>
  <c r="J181" i="91"/>
  <c r="J254" i="91"/>
  <c r="J370" i="91"/>
  <c r="J245" i="91"/>
  <c r="J92" i="91"/>
  <c r="J266" i="91"/>
  <c r="J348" i="91"/>
  <c r="J345" i="91"/>
  <c r="J87" i="91"/>
  <c r="J312" i="91"/>
  <c r="J302" i="91"/>
  <c r="J40" i="91"/>
  <c r="J334" i="91"/>
  <c r="J118" i="91"/>
  <c r="J125" i="91"/>
  <c r="J28" i="91"/>
  <c r="J96" i="91"/>
  <c r="J110" i="91"/>
  <c r="J148" i="91"/>
  <c r="J339" i="91"/>
  <c r="J293" i="91"/>
  <c r="J342" i="91"/>
  <c r="J80" i="91"/>
  <c r="J354" i="91"/>
  <c r="J357" i="91"/>
  <c r="J278" i="91"/>
  <c r="J360" i="91"/>
  <c r="J271" i="91"/>
  <c r="J325" i="91"/>
  <c r="J351" i="91"/>
  <c r="J363" i="91"/>
  <c r="J15" i="91"/>
  <c r="J57" i="91"/>
  <c r="J172" i="91"/>
  <c r="J231" i="91"/>
  <c r="J222" i="91"/>
  <c r="J209" i="91"/>
  <c r="J193" i="91"/>
  <c r="J189" i="91"/>
  <c r="J180" i="91"/>
  <c r="J253" i="91"/>
  <c r="J369" i="91"/>
  <c r="J244" i="91"/>
  <c r="J91" i="91"/>
  <c r="J265" i="91"/>
  <c r="J347" i="91"/>
  <c r="J292" i="91"/>
  <c r="J341" i="91"/>
  <c r="J79" i="91"/>
  <c r="J344" i="91"/>
  <c r="J86" i="91"/>
  <c r="J301" i="91"/>
  <c r="J311" i="91"/>
  <c r="J39" i="91"/>
  <c r="J333" i="91"/>
  <c r="J117" i="91"/>
  <c r="J124" i="91"/>
  <c r="J27" i="91"/>
  <c r="J101" i="91"/>
  <c r="J109" i="91"/>
  <c r="J147" i="91"/>
  <c r="J338" i="91"/>
  <c r="J353" i="91"/>
  <c r="J356" i="91"/>
  <c r="J277" i="91"/>
  <c r="J359" i="91"/>
  <c r="J272" i="91"/>
  <c r="J324" i="91"/>
  <c r="J350" i="91"/>
  <c r="J362" i="91"/>
  <c r="J14" i="91"/>
  <c r="J56" i="91"/>
  <c r="J171" i="91"/>
  <c r="J230" i="91"/>
  <c r="J221" i="91"/>
  <c r="J214" i="91"/>
  <c r="J192" i="91"/>
  <c r="J188" i="91"/>
  <c r="J179" i="91"/>
  <c r="J252" i="91"/>
  <c r="J368" i="91"/>
  <c r="J243" i="91"/>
  <c r="J264" i="91"/>
  <c r="J156" i="91"/>
  <c r="J129" i="91"/>
  <c r="J133" i="91"/>
  <c r="J111" i="91"/>
  <c r="J160" i="91"/>
  <c r="J85" i="91"/>
  <c r="J38" i="91"/>
  <c r="J332" i="91"/>
  <c r="J310" i="91"/>
  <c r="J116" i="91"/>
  <c r="J123" i="91"/>
  <c r="J100" i="91"/>
  <c r="J108" i="91"/>
  <c r="J68" i="91"/>
  <c r="J132" i="91"/>
  <c r="J142" i="91"/>
  <c r="J276" i="91"/>
  <c r="J274" i="91"/>
  <c r="J326" i="91"/>
  <c r="J291" i="91"/>
  <c r="J72" i="91"/>
  <c r="J300" i="91"/>
  <c r="J33" i="91"/>
  <c r="J55" i="91"/>
  <c r="J67" i="91"/>
  <c r="J170" i="91"/>
  <c r="J229" i="91"/>
  <c r="J220" i="91"/>
  <c r="J208" i="91"/>
  <c r="J235" i="91"/>
  <c r="J187" i="91"/>
  <c r="J178" i="91"/>
  <c r="J251" i="91"/>
  <c r="J367" i="91"/>
  <c r="J242" i="91"/>
  <c r="J263" i="91"/>
  <c r="J159" i="91"/>
  <c r="J155" i="91"/>
  <c r="J128" i="91"/>
  <c r="J84" i="91"/>
  <c r="J37" i="91"/>
  <c r="J331" i="91"/>
  <c r="J309" i="91"/>
  <c r="J299" i="91"/>
  <c r="J122" i="91"/>
  <c r="J115" i="91"/>
  <c r="J99" i="91"/>
  <c r="J107" i="91"/>
  <c r="J144" i="91"/>
  <c r="J284" i="91"/>
  <c r="J290" i="91"/>
  <c r="J78" i="91"/>
  <c r="J269" i="91"/>
  <c r="J323" i="91"/>
  <c r="J30" i="91"/>
  <c r="J21" i="91"/>
  <c r="J54" i="91"/>
  <c r="J228" i="91"/>
  <c r="J219" i="91"/>
  <c r="J213" i="91"/>
  <c r="J191" i="91"/>
  <c r="J186" i="91"/>
  <c r="J177" i="91"/>
  <c r="J250" i="91"/>
  <c r="J366" i="91"/>
  <c r="J241" i="91"/>
  <c r="J90" i="91"/>
  <c r="J262" i="91"/>
  <c r="J289" i="91"/>
  <c r="J340" i="91"/>
  <c r="J77" i="91"/>
  <c r="J346" i="91"/>
  <c r="J343" i="91"/>
  <c r="J83" i="91"/>
  <c r="J298" i="91"/>
  <c r="J308" i="91"/>
  <c r="J36" i="91"/>
  <c r="J330" i="91"/>
  <c r="J114" i="91"/>
  <c r="J121" i="91"/>
  <c r="J98" i="91"/>
  <c r="J106" i="91"/>
  <c r="J143" i="91"/>
  <c r="J337" i="91"/>
  <c r="J352" i="91"/>
  <c r="J355" i="91"/>
  <c r="J275" i="91"/>
  <c r="J358" i="91"/>
  <c r="J270" i="91"/>
  <c r="J322" i="91"/>
  <c r="J349" i="91"/>
  <c r="J361" i="91"/>
  <c r="J29" i="91"/>
  <c r="J20" i="91"/>
  <c r="J53" i="91"/>
  <c r="J168" i="91"/>
  <c r="J227" i="91"/>
  <c r="J218" i="91"/>
  <c r="J212" i="91"/>
  <c r="J234" i="91"/>
  <c r="J185" i="91"/>
  <c r="J176" i="91"/>
  <c r="J249" i="91"/>
  <c r="J365" i="91"/>
  <c r="J240" i="91"/>
  <c r="J261" i="91"/>
  <c r="J158" i="91"/>
  <c r="J127" i="91"/>
  <c r="J297" i="91"/>
  <c r="J154" i="91"/>
  <c r="J82" i="91"/>
  <c r="J35" i="91"/>
  <c r="J329" i="91"/>
  <c r="J307" i="91"/>
  <c r="J113" i="91"/>
  <c r="J120" i="91"/>
  <c r="J26" i="91"/>
  <c r="J97" i="91"/>
  <c r="J105" i="91"/>
  <c r="J146" i="91"/>
  <c r="J283" i="91"/>
  <c r="J288" i="91"/>
  <c r="J76" i="91"/>
  <c r="J268" i="91"/>
  <c r="J321" i="91"/>
  <c r="J13" i="91"/>
  <c r="J52" i="91"/>
  <c r="J167" i="91"/>
  <c r="J226" i="91"/>
  <c r="J217" i="91"/>
  <c r="H198" i="91"/>
  <c r="H227" i="91"/>
  <c r="K227" i="91" s="1"/>
  <c r="H168" i="91"/>
  <c r="K168" i="91" s="1"/>
  <c r="H53" i="91"/>
  <c r="K53" i="91" s="1"/>
  <c r="H61" i="91"/>
  <c r="H45" i="91"/>
  <c r="H20" i="91"/>
  <c r="K20" i="91" s="1"/>
  <c r="H29" i="91"/>
  <c r="K29" i="91" s="1"/>
  <c r="H361" i="91"/>
  <c r="K361" i="91" s="1"/>
  <c r="H349" i="91"/>
  <c r="K349" i="91" s="1"/>
  <c r="H322" i="91"/>
  <c r="K322" i="91" s="1"/>
  <c r="H270" i="91"/>
  <c r="K270" i="91" s="1"/>
  <c r="H358" i="91"/>
  <c r="K358" i="91" s="1"/>
  <c r="H275" i="91"/>
  <c r="K275" i="91" s="1"/>
  <c r="H355" i="91"/>
  <c r="K355" i="91" s="1"/>
  <c r="H352" i="91"/>
  <c r="K352" i="91" s="1"/>
  <c r="H337" i="91"/>
  <c r="K337" i="91" s="1"/>
  <c r="H143" i="91"/>
  <c r="K143" i="91" s="1"/>
  <c r="H106" i="91"/>
  <c r="K106" i="91" s="1"/>
  <c r="H137" i="91"/>
  <c r="H98" i="91"/>
  <c r="K98" i="91" s="1"/>
  <c r="H121" i="91"/>
  <c r="K121" i="91" s="1"/>
  <c r="H114" i="91"/>
  <c r="K114" i="91" s="1"/>
  <c r="H330" i="91"/>
  <c r="K330" i="91" s="1"/>
  <c r="H36" i="91"/>
  <c r="K36" i="91" s="1"/>
  <c r="H308" i="91"/>
  <c r="K308" i="91" s="1"/>
  <c r="H298" i="91"/>
  <c r="K298" i="91" s="1"/>
  <c r="H83" i="91"/>
  <c r="K83" i="91" s="1"/>
  <c r="H343" i="91"/>
  <c r="K343" i="91" s="1"/>
  <c r="H346" i="91"/>
  <c r="K346" i="91" s="1"/>
  <c r="H77" i="91"/>
  <c r="K77" i="91" s="1"/>
  <c r="H340" i="91"/>
  <c r="K340" i="91" s="1"/>
  <c r="H289" i="91"/>
  <c r="K289" i="91" s="1"/>
  <c r="H262" i="91"/>
  <c r="K262" i="91" s="1"/>
  <c r="H90" i="91"/>
  <c r="K90" i="91" s="1"/>
  <c r="H241" i="91"/>
  <c r="K241" i="91" s="1"/>
  <c r="H366" i="91"/>
  <c r="K366" i="91" s="1"/>
  <c r="H250" i="91"/>
  <c r="K250" i="91" s="1"/>
  <c r="H177" i="91"/>
  <c r="K177" i="91" s="1"/>
  <c r="H186" i="91"/>
  <c r="K186" i="91" s="1"/>
  <c r="H191" i="91"/>
  <c r="K191" i="91" s="1"/>
  <c r="H213" i="91"/>
  <c r="K213" i="91" s="1"/>
  <c r="H218" i="91"/>
  <c r="K218" i="91" s="1"/>
  <c r="J225" i="91"/>
  <c r="J166" i="91"/>
  <c r="J51" i="91"/>
  <c r="J12" i="91"/>
  <c r="J320" i="91"/>
  <c r="J267" i="91"/>
  <c r="J75" i="91"/>
  <c r="J287" i="91"/>
  <c r="J282" i="91"/>
  <c r="J145" i="91"/>
  <c r="J104" i="91"/>
  <c r="J95" i="91"/>
  <c r="J25" i="91"/>
  <c r="J119" i="91"/>
  <c r="J112" i="91"/>
  <c r="J306" i="91"/>
  <c r="J328" i="91"/>
  <c r="J34" i="91"/>
  <c r="J81" i="91"/>
  <c r="J153" i="91"/>
  <c r="J296" i="91"/>
  <c r="J126" i="91"/>
  <c r="J157" i="91"/>
  <c r="J260" i="91"/>
  <c r="J239" i="91"/>
  <c r="J364" i="91"/>
  <c r="J248" i="91"/>
  <c r="J175" i="91"/>
  <c r="J184" i="91"/>
  <c r="J233" i="91"/>
  <c r="J211" i="91"/>
  <c r="H197" i="91"/>
  <c r="H226" i="91"/>
  <c r="K226" i="91" s="1"/>
  <c r="H167" i="91"/>
  <c r="K167" i="91" s="1"/>
  <c r="H52" i="91"/>
  <c r="K52" i="91" s="1"/>
  <c r="H60" i="91"/>
  <c r="H44" i="91"/>
  <c r="H13" i="91"/>
  <c r="K13" i="91" s="1"/>
  <c r="H321" i="91"/>
  <c r="K321" i="91" s="1"/>
  <c r="H268" i="91"/>
  <c r="K268" i="91" s="1"/>
  <c r="H76" i="91"/>
  <c r="K76" i="91" s="1"/>
  <c r="H288" i="91"/>
  <c r="K288" i="91" s="1"/>
  <c r="H283" i="91"/>
  <c r="K283" i="91" s="1"/>
  <c r="H146" i="91"/>
  <c r="K146" i="91" s="1"/>
  <c r="H105" i="91"/>
  <c r="K105" i="91" s="1"/>
  <c r="H136" i="91"/>
  <c r="H97" i="91"/>
  <c r="K97" i="91" s="1"/>
  <c r="H26" i="91"/>
  <c r="K26" i="91" s="1"/>
  <c r="H120" i="91"/>
  <c r="K120" i="91" s="1"/>
  <c r="H113" i="91"/>
  <c r="K113" i="91" s="1"/>
  <c r="H307" i="91"/>
  <c r="K307" i="91" s="1"/>
  <c r="H329" i="91"/>
  <c r="K329" i="91" s="1"/>
  <c r="H35" i="91"/>
  <c r="K35" i="91" s="1"/>
  <c r="H82" i="91"/>
  <c r="K82" i="91" s="1"/>
  <c r="H154" i="91"/>
  <c r="K154" i="91" s="1"/>
  <c r="H297" i="91"/>
  <c r="K297" i="91" s="1"/>
  <c r="H127" i="91"/>
  <c r="K127" i="91" s="1"/>
  <c r="H158" i="91"/>
  <c r="K158" i="91" s="1"/>
  <c r="H261" i="91"/>
  <c r="K261" i="91" s="1"/>
  <c r="H240" i="91"/>
  <c r="K240" i="91" s="1"/>
  <c r="H365" i="91"/>
  <c r="K365" i="91" s="1"/>
  <c r="H249" i="91"/>
  <c r="K249" i="91" s="1"/>
  <c r="H176" i="91"/>
  <c r="K176" i="91" s="1"/>
  <c r="H185" i="91"/>
  <c r="K185" i="91" s="1"/>
  <c r="H234" i="91"/>
  <c r="K234" i="91" s="1"/>
  <c r="H212" i="91"/>
  <c r="K212" i="91" s="1"/>
  <c r="H217" i="91"/>
  <c r="K217" i="91" s="1"/>
  <c r="H196" i="91"/>
  <c r="H225" i="91"/>
  <c r="K225" i="91" s="1"/>
  <c r="H166" i="91"/>
  <c r="K166" i="91" s="1"/>
  <c r="H51" i="91"/>
  <c r="K51" i="91" s="1"/>
  <c r="H59" i="91"/>
  <c r="H43" i="91"/>
  <c r="H12" i="91"/>
  <c r="K12" i="91" s="1"/>
  <c r="H320" i="91"/>
  <c r="K320" i="91" s="1"/>
  <c r="H267" i="91"/>
  <c r="K267" i="91" s="1"/>
  <c r="H75" i="91"/>
  <c r="K75" i="91" s="1"/>
  <c r="H287" i="91"/>
  <c r="K287" i="91" s="1"/>
  <c r="H282" i="91"/>
  <c r="K282" i="91" s="1"/>
  <c r="H145" i="91"/>
  <c r="K145" i="91" s="1"/>
  <c r="H104" i="91"/>
  <c r="K104" i="91" s="1"/>
  <c r="H135" i="91"/>
  <c r="H95" i="91"/>
  <c r="K95" i="91" s="1"/>
  <c r="H25" i="91"/>
  <c r="K25" i="91" s="1"/>
  <c r="H119" i="91"/>
  <c r="K119" i="91" s="1"/>
  <c r="H112" i="91"/>
  <c r="K112" i="91" s="1"/>
  <c r="H306" i="91"/>
  <c r="K306" i="91" s="1"/>
  <c r="H328" i="91"/>
  <c r="K328" i="91" s="1"/>
  <c r="H34" i="91"/>
  <c r="K34" i="91" s="1"/>
  <c r="H81" i="91"/>
  <c r="K81" i="91" s="1"/>
  <c r="H153" i="91"/>
  <c r="K153" i="91" s="1"/>
  <c r="H296" i="91"/>
  <c r="K296" i="91" s="1"/>
  <c r="H126" i="91"/>
  <c r="K126" i="91" s="1"/>
  <c r="H157" i="91"/>
  <c r="K157" i="91" s="1"/>
  <c r="H260" i="91"/>
  <c r="K260" i="91" s="1"/>
  <c r="H239" i="91"/>
  <c r="K239" i="91" s="1"/>
  <c r="H364" i="91"/>
  <c r="K364" i="91" s="1"/>
  <c r="H248" i="91"/>
  <c r="K248" i="91" s="1"/>
  <c r="H175" i="91"/>
  <c r="K175" i="91" s="1"/>
  <c r="H184" i="91"/>
  <c r="K184" i="91" s="1"/>
  <c r="H233" i="91"/>
  <c r="K233" i="91" s="1"/>
  <c r="H211" i="91"/>
  <c r="K211" i="91" s="1"/>
  <c r="H216" i="91"/>
  <c r="K216" i="91" s="1"/>
  <c r="F50" i="91"/>
  <c r="F66" i="91"/>
  <c r="F141" i="91"/>
  <c r="F49" i="91"/>
  <c r="F65" i="91"/>
  <c r="F140" i="91"/>
  <c r="F48" i="91"/>
  <c r="F64" i="91"/>
  <c r="F139" i="91"/>
  <c r="F47" i="91"/>
  <c r="F63" i="91"/>
  <c r="F138" i="91"/>
  <c r="F46" i="91"/>
  <c r="F62" i="91"/>
  <c r="G169" i="91"/>
  <c r="H169" i="91" s="1"/>
  <c r="K169" i="91" s="1"/>
  <c r="F137" i="91"/>
  <c r="F45" i="91"/>
  <c r="F61" i="91"/>
  <c r="F136" i="91"/>
  <c r="F44" i="91"/>
  <c r="F60" i="91"/>
  <c r="F135" i="91"/>
  <c r="F43" i="91"/>
  <c r="F59" i="91"/>
  <c r="J216" i="91"/>
  <c r="J47" i="91" l="1"/>
  <c r="P47" i="91"/>
  <c r="J45" i="91"/>
  <c r="P45" i="91"/>
  <c r="J139" i="91"/>
  <c r="P139" i="91"/>
  <c r="J50" i="91"/>
  <c r="P50" i="91"/>
  <c r="J43" i="91"/>
  <c r="P43" i="91"/>
  <c r="J136" i="91"/>
  <c r="P136" i="91"/>
  <c r="J63" i="91"/>
  <c r="P63" i="91"/>
  <c r="J48" i="91"/>
  <c r="P48" i="91"/>
  <c r="J141" i="91"/>
  <c r="P141" i="91"/>
  <c r="J61" i="91"/>
  <c r="P61" i="91"/>
  <c r="J66" i="91"/>
  <c r="P66" i="91"/>
  <c r="J62" i="91"/>
  <c r="P62" i="91"/>
  <c r="J65" i="91"/>
  <c r="P65" i="91"/>
  <c r="J135" i="91"/>
  <c r="P135" i="91"/>
  <c r="J140" i="91"/>
  <c r="P140" i="91"/>
  <c r="J60" i="91"/>
  <c r="P60" i="91"/>
  <c r="J46" i="91"/>
  <c r="P46" i="91"/>
  <c r="J59" i="91"/>
  <c r="P59" i="91"/>
  <c r="J44" i="91"/>
  <c r="P44" i="91"/>
  <c r="J137" i="91"/>
  <c r="P137" i="91"/>
  <c r="J138" i="91"/>
  <c r="P138" i="91"/>
  <c r="J64" i="91"/>
  <c r="P64" i="91"/>
  <c r="J49" i="91"/>
  <c r="P49" i="91"/>
  <c r="K60" i="91"/>
  <c r="K45" i="91"/>
  <c r="K62" i="91"/>
  <c r="K141" i="91"/>
  <c r="K49" i="91"/>
  <c r="K61" i="91"/>
  <c r="K65" i="91"/>
  <c r="K137" i="91"/>
  <c r="K46" i="91"/>
  <c r="K48" i="91"/>
  <c r="K50" i="91"/>
  <c r="K64" i="91"/>
  <c r="K66" i="91"/>
  <c r="K44" i="91"/>
  <c r="K135" i="91"/>
  <c r="K140" i="91"/>
  <c r="K136" i="91"/>
  <c r="K139" i="91"/>
  <c r="K138" i="91"/>
  <c r="K47" i="91"/>
  <c r="K63" i="91"/>
  <c r="J169" i="91"/>
  <c r="K43" i="91"/>
  <c r="K59" i="91"/>
  <c r="I331" i="90" l="1"/>
  <c r="I133" i="90"/>
  <c r="I151" i="90"/>
  <c r="I65" i="90"/>
  <c r="H371" i="90"/>
  <c r="I371" i="90" s="1"/>
  <c r="H370" i="90"/>
  <c r="I370" i="90" s="1"/>
  <c r="H369" i="90"/>
  <c r="I369" i="90" s="1"/>
  <c r="H368" i="90"/>
  <c r="I368" i="90" s="1"/>
  <c r="H367" i="90"/>
  <c r="I367" i="90" s="1"/>
  <c r="H366" i="90"/>
  <c r="I366" i="90" s="1"/>
  <c r="H365" i="90"/>
  <c r="I365" i="90" s="1"/>
  <c r="H364" i="90"/>
  <c r="I364" i="90" s="1"/>
  <c r="H363" i="90"/>
  <c r="I363" i="90" s="1"/>
  <c r="H362" i="90"/>
  <c r="I362" i="90" s="1"/>
  <c r="H361" i="90"/>
  <c r="I361" i="90" s="1"/>
  <c r="H360" i="90"/>
  <c r="I360" i="90" s="1"/>
  <c r="H359" i="90"/>
  <c r="I359" i="90" s="1"/>
  <c r="H358" i="90"/>
  <c r="I358" i="90" s="1"/>
  <c r="H357" i="90"/>
  <c r="I357" i="90" s="1"/>
  <c r="H356" i="90"/>
  <c r="I356" i="90" s="1"/>
  <c r="H355" i="90"/>
  <c r="I355" i="90" s="1"/>
  <c r="H354" i="90"/>
  <c r="I354" i="90" s="1"/>
  <c r="H353" i="90"/>
  <c r="I353" i="90" s="1"/>
  <c r="H352" i="90"/>
  <c r="I352" i="90" s="1"/>
  <c r="H351" i="90"/>
  <c r="I351" i="90" s="1"/>
  <c r="H350" i="90"/>
  <c r="I350" i="90" s="1"/>
  <c r="H349" i="90"/>
  <c r="I349" i="90" s="1"/>
  <c r="H348" i="90"/>
  <c r="I348" i="90" s="1"/>
  <c r="H347" i="90"/>
  <c r="I347" i="90" s="1"/>
  <c r="H346" i="90"/>
  <c r="I346" i="90" s="1"/>
  <c r="H345" i="90"/>
  <c r="I345" i="90" s="1"/>
  <c r="H344" i="90"/>
  <c r="I344" i="90" s="1"/>
  <c r="H343" i="90"/>
  <c r="I343" i="90" s="1"/>
  <c r="H342" i="90"/>
  <c r="I342" i="90" s="1"/>
  <c r="E341" i="90"/>
  <c r="H341" i="90" s="1"/>
  <c r="I341" i="90" s="1"/>
  <c r="E340" i="90"/>
  <c r="H340" i="90" s="1"/>
  <c r="I340" i="90" s="1"/>
  <c r="H339" i="90"/>
  <c r="I339" i="90" s="1"/>
  <c r="H338" i="90"/>
  <c r="I338" i="90" s="1"/>
  <c r="H336" i="90"/>
  <c r="I336" i="90" s="1"/>
  <c r="H334" i="90"/>
  <c r="I334" i="90" s="1"/>
  <c r="H333" i="90"/>
  <c r="I333" i="90" s="1"/>
  <c r="H332" i="90"/>
  <c r="I332" i="90" s="1"/>
  <c r="H331" i="90"/>
  <c r="H330" i="90"/>
  <c r="I330" i="90" s="1"/>
  <c r="H329" i="90"/>
  <c r="I329" i="90" s="1"/>
  <c r="H328" i="90"/>
  <c r="I328" i="90" s="1"/>
  <c r="H327" i="90"/>
  <c r="I327" i="90" s="1"/>
  <c r="H326" i="90"/>
  <c r="I326" i="90" s="1"/>
  <c r="H325" i="90"/>
  <c r="I325" i="90" s="1"/>
  <c r="H324" i="90"/>
  <c r="I324" i="90" s="1"/>
  <c r="H323" i="90"/>
  <c r="I323" i="90" s="1"/>
  <c r="H322" i="90"/>
  <c r="I322" i="90" s="1"/>
  <c r="H321" i="90"/>
  <c r="I321" i="90" s="1"/>
  <c r="H320" i="90"/>
  <c r="I320" i="90" s="1"/>
  <c r="H319" i="90"/>
  <c r="I319" i="90" s="1"/>
  <c r="H318" i="90"/>
  <c r="I318" i="90" s="1"/>
  <c r="H317" i="90"/>
  <c r="I317" i="90" s="1"/>
  <c r="H316" i="90"/>
  <c r="I316" i="90" s="1"/>
  <c r="H315" i="90"/>
  <c r="I315" i="90" s="1"/>
  <c r="H314" i="90"/>
  <c r="I314" i="90" s="1"/>
  <c r="H313" i="90"/>
  <c r="I313" i="90" s="1"/>
  <c r="H312" i="90"/>
  <c r="I312" i="90" s="1"/>
  <c r="H311" i="90"/>
  <c r="I311" i="90" s="1"/>
  <c r="H310" i="90"/>
  <c r="I310" i="90" s="1"/>
  <c r="H309" i="90"/>
  <c r="I309" i="90" s="1"/>
  <c r="H308" i="90"/>
  <c r="I308" i="90" s="1"/>
  <c r="H307" i="90"/>
  <c r="I307" i="90" s="1"/>
  <c r="H306" i="90"/>
  <c r="I306" i="90" s="1"/>
  <c r="H305" i="90"/>
  <c r="I305" i="90" s="1"/>
  <c r="H304" i="90"/>
  <c r="I304" i="90" s="1"/>
  <c r="H303" i="90"/>
  <c r="I303" i="90" s="1"/>
  <c r="H302" i="90"/>
  <c r="I302" i="90" s="1"/>
  <c r="H301" i="90"/>
  <c r="I301" i="90" s="1"/>
  <c r="H300" i="90"/>
  <c r="I300" i="90" s="1"/>
  <c r="H299" i="90"/>
  <c r="I299" i="90" s="1"/>
  <c r="H298" i="90"/>
  <c r="I298" i="90" s="1"/>
  <c r="H297" i="90"/>
  <c r="I297" i="90" s="1"/>
  <c r="H296" i="90"/>
  <c r="I296" i="90" s="1"/>
  <c r="H295" i="90"/>
  <c r="I295" i="90" s="1"/>
  <c r="H294" i="90"/>
  <c r="I294" i="90" s="1"/>
  <c r="H293" i="90"/>
  <c r="I293" i="90" s="1"/>
  <c r="H292" i="90"/>
  <c r="I292" i="90" s="1"/>
  <c r="H291" i="90"/>
  <c r="I291" i="90" s="1"/>
  <c r="H290" i="90"/>
  <c r="I290" i="90" s="1"/>
  <c r="H289" i="90"/>
  <c r="I289" i="90" s="1"/>
  <c r="H287" i="90"/>
  <c r="I287" i="90" s="1"/>
  <c r="H285" i="90"/>
  <c r="I285" i="90" s="1"/>
  <c r="H284" i="90"/>
  <c r="I284" i="90" s="1"/>
  <c r="H283" i="90"/>
  <c r="I283" i="90" s="1"/>
  <c r="H282" i="90"/>
  <c r="I282" i="90" s="1"/>
  <c r="H281" i="90"/>
  <c r="I281" i="90" s="1"/>
  <c r="H280" i="90"/>
  <c r="I280" i="90" s="1"/>
  <c r="H279" i="90"/>
  <c r="I279" i="90" s="1"/>
  <c r="H278" i="90"/>
  <c r="I278" i="90" s="1"/>
  <c r="H277" i="90"/>
  <c r="I277" i="90" s="1"/>
  <c r="H276" i="90"/>
  <c r="I276" i="90" s="1"/>
  <c r="H275" i="90"/>
  <c r="I275" i="90" s="1"/>
  <c r="H274" i="90"/>
  <c r="I274" i="90" s="1"/>
  <c r="H273" i="90"/>
  <c r="I273" i="90" s="1"/>
  <c r="H272" i="90"/>
  <c r="I272" i="90" s="1"/>
  <c r="H271" i="90"/>
  <c r="I271" i="90" s="1"/>
  <c r="H270" i="90"/>
  <c r="I270" i="90" s="1"/>
  <c r="H269" i="90"/>
  <c r="I269" i="90" s="1"/>
  <c r="H268" i="90"/>
  <c r="I268" i="90" s="1"/>
  <c r="H267" i="90"/>
  <c r="I267" i="90" s="1"/>
  <c r="H266" i="90"/>
  <c r="I266" i="90" s="1"/>
  <c r="E265" i="90"/>
  <c r="H265" i="90" s="1"/>
  <c r="I265" i="90" s="1"/>
  <c r="H264" i="90"/>
  <c r="I264" i="90" s="1"/>
  <c r="H263" i="90"/>
  <c r="I263" i="90" s="1"/>
  <c r="H262" i="90"/>
  <c r="I262" i="90" s="1"/>
  <c r="H261" i="90"/>
  <c r="I261" i="90" s="1"/>
  <c r="H260" i="90"/>
  <c r="I260" i="90" s="1"/>
  <c r="H259" i="90"/>
  <c r="I259" i="90" s="1"/>
  <c r="H258" i="90"/>
  <c r="I258" i="90" s="1"/>
  <c r="H257" i="90"/>
  <c r="I257" i="90" s="1"/>
  <c r="H256" i="90"/>
  <c r="I256" i="90" s="1"/>
  <c r="H255" i="90"/>
  <c r="I255" i="90" s="1"/>
  <c r="H254" i="90"/>
  <c r="I254" i="90" s="1"/>
  <c r="H253" i="90"/>
  <c r="I253" i="90" s="1"/>
  <c r="H252" i="90"/>
  <c r="I252" i="90" s="1"/>
  <c r="H251" i="90"/>
  <c r="I251" i="90" s="1"/>
  <c r="H250" i="90"/>
  <c r="I250" i="90" s="1"/>
  <c r="E249" i="90"/>
  <c r="H249" i="90" s="1"/>
  <c r="I249" i="90" s="1"/>
  <c r="E248" i="90"/>
  <c r="H248" i="90" s="1"/>
  <c r="I248" i="90" s="1"/>
  <c r="H247" i="90"/>
  <c r="I247" i="90" s="1"/>
  <c r="H246" i="90"/>
  <c r="I246" i="90" s="1"/>
  <c r="H245" i="90"/>
  <c r="I245" i="90" s="1"/>
  <c r="H243" i="90"/>
  <c r="I243" i="90" s="1"/>
  <c r="H241" i="90"/>
  <c r="I241" i="90" s="1"/>
  <c r="H240" i="90"/>
  <c r="I240" i="90" s="1"/>
  <c r="H239" i="90"/>
  <c r="I239" i="90" s="1"/>
  <c r="H238" i="90"/>
  <c r="I238" i="90" s="1"/>
  <c r="H237" i="90"/>
  <c r="I237" i="90" s="1"/>
  <c r="H236" i="90"/>
  <c r="I236" i="90" s="1"/>
  <c r="H235" i="90"/>
  <c r="I235" i="90" s="1"/>
  <c r="H234" i="90"/>
  <c r="I234" i="90" s="1"/>
  <c r="H233" i="90"/>
  <c r="I233" i="90" s="1"/>
  <c r="H232" i="90"/>
  <c r="I232" i="90" s="1"/>
  <c r="H231" i="90"/>
  <c r="I231" i="90" s="1"/>
  <c r="H230" i="90"/>
  <c r="I230" i="90" s="1"/>
  <c r="H229" i="90"/>
  <c r="I229" i="90" s="1"/>
  <c r="H228" i="90"/>
  <c r="I228" i="90" s="1"/>
  <c r="H227" i="90"/>
  <c r="I227" i="90" s="1"/>
  <c r="H226" i="90"/>
  <c r="I226" i="90" s="1"/>
  <c r="H225" i="90"/>
  <c r="I225" i="90" s="1"/>
  <c r="H224" i="90"/>
  <c r="I224" i="90" s="1"/>
  <c r="H223" i="90"/>
  <c r="I223" i="90" s="1"/>
  <c r="H222" i="90"/>
  <c r="I222" i="90" s="1"/>
  <c r="H221" i="90"/>
  <c r="I221" i="90" s="1"/>
  <c r="H220" i="90"/>
  <c r="I220" i="90" s="1"/>
  <c r="H219" i="90"/>
  <c r="I219" i="90" s="1"/>
  <c r="E218" i="90"/>
  <c r="H218" i="90" s="1"/>
  <c r="I218" i="90" s="1"/>
  <c r="H217" i="90"/>
  <c r="I217" i="90" s="1"/>
  <c r="H216" i="90"/>
  <c r="I216" i="90" s="1"/>
  <c r="H215" i="90"/>
  <c r="I215" i="90" s="1"/>
  <c r="H214" i="90"/>
  <c r="I214" i="90" s="1"/>
  <c r="H213" i="90"/>
  <c r="I213" i="90" s="1"/>
  <c r="H212" i="90"/>
  <c r="I212" i="90" s="1"/>
  <c r="H211" i="90"/>
  <c r="I211" i="90" s="1"/>
  <c r="H210" i="90"/>
  <c r="I210" i="90" s="1"/>
  <c r="H209" i="90"/>
  <c r="I209" i="90" s="1"/>
  <c r="H208" i="90"/>
  <c r="I208" i="90" s="1"/>
  <c r="H207" i="90"/>
  <c r="I207" i="90" s="1"/>
  <c r="H206" i="90"/>
  <c r="I206" i="90" s="1"/>
  <c r="E205" i="90"/>
  <c r="H205" i="90" s="1"/>
  <c r="I205" i="90" s="1"/>
  <c r="E204" i="90"/>
  <c r="H204" i="90" s="1"/>
  <c r="I204" i="90" s="1"/>
  <c r="H203" i="90"/>
  <c r="I203" i="90" s="1"/>
  <c r="H202" i="90"/>
  <c r="I202" i="90" s="1"/>
  <c r="H201" i="90"/>
  <c r="I201" i="90" s="1"/>
  <c r="H199" i="90"/>
  <c r="I199" i="90" s="1"/>
  <c r="H197" i="90"/>
  <c r="I197" i="90" s="1"/>
  <c r="H196" i="90"/>
  <c r="I196" i="90" s="1"/>
  <c r="H195" i="90"/>
  <c r="I195" i="90" s="1"/>
  <c r="H194" i="90"/>
  <c r="I194" i="90" s="1"/>
  <c r="H193" i="90"/>
  <c r="I193" i="90" s="1"/>
  <c r="H192" i="90"/>
  <c r="I192" i="90" s="1"/>
  <c r="H191" i="90"/>
  <c r="I191" i="90" s="1"/>
  <c r="H190" i="90"/>
  <c r="I190" i="90" s="1"/>
  <c r="H189" i="90"/>
  <c r="I189" i="90" s="1"/>
  <c r="H188" i="90"/>
  <c r="I188" i="90" s="1"/>
  <c r="H187" i="90"/>
  <c r="I187" i="90" s="1"/>
  <c r="H186" i="90"/>
  <c r="I186" i="90" s="1"/>
  <c r="H185" i="90"/>
  <c r="I185" i="90" s="1"/>
  <c r="H184" i="90"/>
  <c r="I184" i="90" s="1"/>
  <c r="H183" i="90"/>
  <c r="I183" i="90" s="1"/>
  <c r="H182" i="90"/>
  <c r="I182" i="90" s="1"/>
  <c r="H181" i="90"/>
  <c r="I181" i="90" s="1"/>
  <c r="H180" i="90"/>
  <c r="I180" i="90" s="1"/>
  <c r="H179" i="90"/>
  <c r="I179" i="90" s="1"/>
  <c r="H178" i="90"/>
  <c r="I178" i="90" s="1"/>
  <c r="E177" i="90"/>
  <c r="H177" i="90" s="1"/>
  <c r="I177" i="90" s="1"/>
  <c r="H176" i="90"/>
  <c r="I176" i="90" s="1"/>
  <c r="H175" i="90"/>
  <c r="I175" i="90" s="1"/>
  <c r="H174" i="90"/>
  <c r="I174" i="90" s="1"/>
  <c r="H173" i="90"/>
  <c r="I173" i="90" s="1"/>
  <c r="H172" i="90"/>
  <c r="I172" i="90" s="1"/>
  <c r="H171" i="90"/>
  <c r="I171" i="90" s="1"/>
  <c r="H170" i="90"/>
  <c r="I170" i="90" s="1"/>
  <c r="H169" i="90"/>
  <c r="I169" i="90" s="1"/>
  <c r="H168" i="90"/>
  <c r="I168" i="90" s="1"/>
  <c r="H167" i="90"/>
  <c r="I167" i="90" s="1"/>
  <c r="H166" i="90"/>
  <c r="I166" i="90" s="1"/>
  <c r="E165" i="90"/>
  <c r="H165" i="90" s="1"/>
  <c r="I165" i="90" s="1"/>
  <c r="E164" i="90"/>
  <c r="H164" i="90" s="1"/>
  <c r="I164" i="90" s="1"/>
  <c r="H163" i="90"/>
  <c r="I163" i="90" s="1"/>
  <c r="H162" i="90"/>
  <c r="I162" i="90" s="1"/>
  <c r="H161" i="90"/>
  <c r="I161" i="90" s="1"/>
  <c r="H160" i="90"/>
  <c r="I160" i="90" s="1"/>
  <c r="H158" i="90"/>
  <c r="I158" i="90" s="1"/>
  <c r="H156" i="90"/>
  <c r="I156" i="90" s="1"/>
  <c r="H155" i="90"/>
  <c r="I155" i="90" s="1"/>
  <c r="H154" i="90"/>
  <c r="I154" i="90" s="1"/>
  <c r="H153" i="90"/>
  <c r="I153" i="90" s="1"/>
  <c r="H152" i="90"/>
  <c r="I152" i="90" s="1"/>
  <c r="H151" i="90"/>
  <c r="H150" i="90"/>
  <c r="I150" i="90" s="1"/>
  <c r="H149" i="90"/>
  <c r="I149" i="90" s="1"/>
  <c r="H148" i="90"/>
  <c r="I148" i="90" s="1"/>
  <c r="H147" i="90"/>
  <c r="I147" i="90" s="1"/>
  <c r="H146" i="90"/>
  <c r="I146" i="90" s="1"/>
  <c r="H145" i="90"/>
  <c r="I145" i="90" s="1"/>
  <c r="H144" i="90"/>
  <c r="I144" i="90" s="1"/>
  <c r="H143" i="90"/>
  <c r="I143" i="90" s="1"/>
  <c r="H142" i="90"/>
  <c r="I142" i="90" s="1"/>
  <c r="H141" i="90"/>
  <c r="I141" i="90" s="1"/>
  <c r="H140" i="90"/>
  <c r="I140" i="90" s="1"/>
  <c r="H139" i="90"/>
  <c r="I139" i="90" s="1"/>
  <c r="H138" i="90"/>
  <c r="I138" i="90" s="1"/>
  <c r="E137" i="90"/>
  <c r="H137" i="90" s="1"/>
  <c r="I137" i="90" s="1"/>
  <c r="H136" i="90"/>
  <c r="I136" i="90" s="1"/>
  <c r="H135" i="90"/>
  <c r="I135" i="90" s="1"/>
  <c r="H134" i="90"/>
  <c r="I134" i="90" s="1"/>
  <c r="H133" i="90"/>
  <c r="H132" i="90"/>
  <c r="I132" i="90" s="1"/>
  <c r="H131" i="90"/>
  <c r="I131" i="90" s="1"/>
  <c r="H130" i="90"/>
  <c r="I130" i="90" s="1"/>
  <c r="H129" i="90"/>
  <c r="I129" i="90" s="1"/>
  <c r="H128" i="90"/>
  <c r="I128" i="90" s="1"/>
  <c r="E127" i="90"/>
  <c r="H127" i="90" s="1"/>
  <c r="I127" i="90" s="1"/>
  <c r="E126" i="90"/>
  <c r="H126" i="90" s="1"/>
  <c r="I126" i="90" s="1"/>
  <c r="H125" i="90"/>
  <c r="I125" i="90" s="1"/>
  <c r="F124" i="90"/>
  <c r="H124" i="90" s="1"/>
  <c r="I124" i="90" s="1"/>
  <c r="H123" i="90"/>
  <c r="I123" i="90" s="1"/>
  <c r="H121" i="90"/>
  <c r="I121" i="90" s="1"/>
  <c r="H119" i="90"/>
  <c r="I119" i="90" s="1"/>
  <c r="H118" i="90"/>
  <c r="I118" i="90" s="1"/>
  <c r="H117" i="90"/>
  <c r="I117" i="90" s="1"/>
  <c r="H116" i="90"/>
  <c r="I116" i="90" s="1"/>
  <c r="H115" i="90"/>
  <c r="I115" i="90" s="1"/>
  <c r="H114" i="90"/>
  <c r="I114" i="90" s="1"/>
  <c r="H113" i="90"/>
  <c r="I113" i="90" s="1"/>
  <c r="H112" i="90"/>
  <c r="I112" i="90" s="1"/>
  <c r="H111" i="90"/>
  <c r="I111" i="90" s="1"/>
  <c r="H110" i="90"/>
  <c r="I110" i="90" s="1"/>
  <c r="H109" i="90"/>
  <c r="I109" i="90" s="1"/>
  <c r="H108" i="90"/>
  <c r="I108" i="90" s="1"/>
  <c r="H107" i="90"/>
  <c r="I107" i="90" s="1"/>
  <c r="H106" i="90"/>
  <c r="I106" i="90" s="1"/>
  <c r="H105" i="90"/>
  <c r="I105" i="90" s="1"/>
  <c r="H104" i="90"/>
  <c r="I104" i="90" s="1"/>
  <c r="H103" i="90"/>
  <c r="I103" i="90" s="1"/>
  <c r="H102" i="90"/>
  <c r="I102" i="90" s="1"/>
  <c r="H101" i="90"/>
  <c r="I101" i="90" s="1"/>
  <c r="H100" i="90"/>
  <c r="I100" i="90" s="1"/>
  <c r="H99" i="90"/>
  <c r="I99" i="90" s="1"/>
  <c r="H98" i="90"/>
  <c r="I98" i="90" s="1"/>
  <c r="E97" i="90"/>
  <c r="H97" i="90" s="1"/>
  <c r="I97" i="90" s="1"/>
  <c r="H96" i="90"/>
  <c r="I96" i="90" s="1"/>
  <c r="H95" i="90"/>
  <c r="I95" i="90" s="1"/>
  <c r="H94" i="90"/>
  <c r="I94" i="90" s="1"/>
  <c r="H93" i="90"/>
  <c r="I93" i="90" s="1"/>
  <c r="H92" i="90"/>
  <c r="I92" i="90" s="1"/>
  <c r="H91" i="90"/>
  <c r="I91" i="90" s="1"/>
  <c r="H90" i="90"/>
  <c r="I90" i="90" s="1"/>
  <c r="H89" i="90"/>
  <c r="I89" i="90" s="1"/>
  <c r="H88" i="90"/>
  <c r="I88" i="90" s="1"/>
  <c r="H87" i="90"/>
  <c r="I87" i="90" s="1"/>
  <c r="H86" i="90"/>
  <c r="I86" i="90" s="1"/>
  <c r="H85" i="90"/>
  <c r="I85" i="90" s="1"/>
  <c r="H84" i="90"/>
  <c r="I84" i="90" s="1"/>
  <c r="E83" i="90"/>
  <c r="H83" i="90" s="1"/>
  <c r="I83" i="90" s="1"/>
  <c r="E82" i="90"/>
  <c r="H82" i="90" s="1"/>
  <c r="I82" i="90" s="1"/>
  <c r="H81" i="90"/>
  <c r="I81" i="90" s="1"/>
  <c r="H80" i="90"/>
  <c r="I80" i="90" s="1"/>
  <c r="H79" i="90"/>
  <c r="I79" i="90" s="1"/>
  <c r="H77" i="90"/>
  <c r="I77" i="90" s="1"/>
  <c r="H75" i="90"/>
  <c r="I75" i="90" s="1"/>
  <c r="H74" i="90"/>
  <c r="I74" i="90" s="1"/>
  <c r="H73" i="90"/>
  <c r="I73" i="90" s="1"/>
  <c r="H72" i="90"/>
  <c r="I72" i="90" s="1"/>
  <c r="H71" i="90"/>
  <c r="I71" i="90" s="1"/>
  <c r="H70" i="90"/>
  <c r="I70" i="90" s="1"/>
  <c r="H69" i="90"/>
  <c r="I69" i="90" s="1"/>
  <c r="H68" i="90"/>
  <c r="I68" i="90" s="1"/>
  <c r="H67" i="90"/>
  <c r="I67" i="90" s="1"/>
  <c r="H66" i="90"/>
  <c r="I66" i="90" s="1"/>
  <c r="H65" i="90"/>
  <c r="H64" i="90"/>
  <c r="I64" i="90" s="1"/>
  <c r="H63" i="90"/>
  <c r="I63" i="90" s="1"/>
  <c r="H62" i="90"/>
  <c r="I62" i="90" s="1"/>
  <c r="H61" i="90"/>
  <c r="I61" i="90" s="1"/>
  <c r="H60" i="90"/>
  <c r="I60" i="90" s="1"/>
  <c r="H59" i="90"/>
  <c r="I59" i="90" s="1"/>
  <c r="H58" i="90"/>
  <c r="I58" i="90" s="1"/>
  <c r="H57" i="90"/>
  <c r="I57" i="90" s="1"/>
  <c r="H56" i="90"/>
  <c r="I56" i="90" s="1"/>
  <c r="E55" i="90"/>
  <c r="H55" i="90" s="1"/>
  <c r="I55" i="90" s="1"/>
  <c r="H54" i="90"/>
  <c r="I54" i="90" s="1"/>
  <c r="H53" i="90"/>
  <c r="I53" i="90" s="1"/>
  <c r="H52" i="90"/>
  <c r="I52" i="90" s="1"/>
  <c r="H51" i="90"/>
  <c r="I51" i="90" s="1"/>
  <c r="H50" i="90"/>
  <c r="I50" i="90" s="1"/>
  <c r="H49" i="90"/>
  <c r="I49" i="90" s="1"/>
  <c r="H48" i="90"/>
  <c r="I48" i="90" s="1"/>
  <c r="H47" i="90"/>
  <c r="I47" i="90" s="1"/>
  <c r="E46" i="90"/>
  <c r="H46" i="90" s="1"/>
  <c r="I46" i="90" s="1"/>
  <c r="E45" i="90"/>
  <c r="H45" i="90" s="1"/>
  <c r="I45" i="90" s="1"/>
  <c r="H44" i="90"/>
  <c r="I44" i="90" s="1"/>
  <c r="H43" i="90"/>
  <c r="I43" i="90" s="1"/>
  <c r="H42" i="90"/>
  <c r="I42" i="90" s="1"/>
  <c r="H40" i="90"/>
  <c r="I40" i="90" s="1"/>
  <c r="H38" i="90"/>
  <c r="I38" i="90" s="1"/>
  <c r="H37" i="90"/>
  <c r="I37" i="90" s="1"/>
  <c r="H36" i="90"/>
  <c r="I36" i="90" s="1"/>
  <c r="H35" i="90"/>
  <c r="I35" i="90" s="1"/>
  <c r="H34" i="90"/>
  <c r="I34" i="90" s="1"/>
  <c r="H33" i="90"/>
  <c r="I33" i="90" s="1"/>
  <c r="H32" i="90"/>
  <c r="I32" i="90" s="1"/>
  <c r="H31" i="90"/>
  <c r="I31" i="90" s="1"/>
  <c r="H30" i="90"/>
  <c r="I30" i="90" s="1"/>
  <c r="H29" i="90"/>
  <c r="I29" i="90" s="1"/>
  <c r="H28" i="90"/>
  <c r="I28" i="90" s="1"/>
  <c r="H27" i="90"/>
  <c r="I27" i="90" s="1"/>
  <c r="H26" i="90"/>
  <c r="I26" i="90" s="1"/>
  <c r="H25" i="90"/>
  <c r="I25" i="90" s="1"/>
  <c r="H24" i="90"/>
  <c r="I24" i="90" s="1"/>
  <c r="H23" i="90"/>
  <c r="I23" i="90" s="1"/>
  <c r="H22" i="90"/>
  <c r="I22" i="90" s="1"/>
  <c r="H21" i="90"/>
  <c r="I21" i="90" s="1"/>
  <c r="H20" i="90"/>
  <c r="I20" i="90" s="1"/>
  <c r="H19" i="90"/>
  <c r="I19" i="90" s="1"/>
  <c r="E18" i="90"/>
  <c r="H18" i="90" s="1"/>
  <c r="I18" i="90" s="1"/>
  <c r="H17" i="90"/>
  <c r="I17" i="90" s="1"/>
  <c r="H16" i="90"/>
  <c r="I16" i="90" s="1"/>
  <c r="H15" i="90"/>
  <c r="I15" i="90" s="1"/>
  <c r="H14" i="90"/>
  <c r="I14" i="90" s="1"/>
  <c r="H13" i="90"/>
  <c r="I13" i="90" s="1"/>
  <c r="H12" i="90"/>
  <c r="I12" i="90" s="1"/>
  <c r="H11" i="90"/>
  <c r="I11" i="90" s="1"/>
  <c r="H10" i="90"/>
  <c r="I10" i="90" s="1"/>
  <c r="E9" i="90"/>
  <c r="H9" i="90" s="1"/>
  <c r="I9" i="90" s="1"/>
  <c r="E8" i="90"/>
  <c r="H8" i="90" s="1"/>
  <c r="I8" i="90" s="1"/>
  <c r="H7" i="90"/>
  <c r="I7" i="90" s="1"/>
  <c r="H6" i="90"/>
  <c r="I6" i="90" s="1"/>
  <c r="H5" i="90"/>
  <c r="I5" i="90" s="1"/>
  <c r="H3" i="90"/>
  <c r="I3" i="90" s="1"/>
  <c r="H553" i="89"/>
  <c r="H552" i="89"/>
  <c r="H551" i="89"/>
  <c r="H550" i="89"/>
  <c r="H549" i="89"/>
  <c r="H548" i="89"/>
  <c r="H554" i="89" s="1"/>
  <c r="E508" i="89" s="1"/>
  <c r="H508" i="89" s="1"/>
  <c r="H543" i="89"/>
  <c r="H545" i="89" s="1"/>
  <c r="H539" i="89"/>
  <c r="H538" i="89"/>
  <c r="H537" i="89"/>
  <c r="H536" i="89"/>
  <c r="H535" i="89"/>
  <c r="H534" i="89"/>
  <c r="H533" i="89"/>
  <c r="H532" i="89"/>
  <c r="H531" i="89"/>
  <c r="H530" i="89"/>
  <c r="H529" i="89"/>
  <c r="H528" i="89"/>
  <c r="H527" i="89"/>
  <c r="H526" i="89"/>
  <c r="H525" i="89"/>
  <c r="H524" i="89"/>
  <c r="H523" i="89"/>
  <c r="H522" i="89"/>
  <c r="H521" i="89"/>
  <c r="H520" i="89"/>
  <c r="H519" i="89"/>
  <c r="H518" i="89"/>
  <c r="H517" i="89"/>
  <c r="H516" i="89"/>
  <c r="E515" i="89"/>
  <c r="H515" i="89" s="1"/>
  <c r="H514" i="89"/>
  <c r="E514" i="89"/>
  <c r="H513" i="89"/>
  <c r="F509" i="89"/>
  <c r="H509" i="89" s="1"/>
  <c r="H507" i="89"/>
  <c r="H495" i="89"/>
  <c r="E438" i="89" s="1"/>
  <c r="H438" i="89" s="1"/>
  <c r="H494" i="89"/>
  <c r="H493" i="89"/>
  <c r="H492" i="89"/>
  <c r="H491" i="89"/>
  <c r="H490" i="89"/>
  <c r="H489" i="89"/>
  <c r="H485" i="89"/>
  <c r="H486" i="89" s="1"/>
  <c r="H481" i="89"/>
  <c r="H480" i="89"/>
  <c r="H479" i="89"/>
  <c r="H478" i="89"/>
  <c r="H477" i="89"/>
  <c r="H476" i="89"/>
  <c r="H475" i="89"/>
  <c r="H474" i="89"/>
  <c r="H473" i="89"/>
  <c r="H472" i="89"/>
  <c r="H471" i="89"/>
  <c r="H470" i="89"/>
  <c r="H469" i="89"/>
  <c r="H468" i="89"/>
  <c r="H467" i="89"/>
  <c r="H466" i="89"/>
  <c r="H465" i="89"/>
  <c r="H464" i="89"/>
  <c r="H463" i="89"/>
  <c r="H462" i="89"/>
  <c r="H461" i="89"/>
  <c r="H460" i="89"/>
  <c r="H459" i="89"/>
  <c r="H458" i="89"/>
  <c r="H457" i="89"/>
  <c r="H456" i="89"/>
  <c r="H455" i="89"/>
  <c r="H454" i="89"/>
  <c r="H453" i="89"/>
  <c r="H452" i="89"/>
  <c r="H451" i="89"/>
  <c r="H450" i="89"/>
  <c r="H449" i="89"/>
  <c r="H448" i="89"/>
  <c r="H447" i="89"/>
  <c r="H446" i="89"/>
  <c r="H445" i="89"/>
  <c r="H444" i="89"/>
  <c r="H443" i="89"/>
  <c r="H482" i="89" s="1"/>
  <c r="F439" i="89"/>
  <c r="H439" i="89" s="1"/>
  <c r="H437" i="89"/>
  <c r="H424" i="89"/>
  <c r="H423" i="89"/>
  <c r="H422" i="89"/>
  <c r="H425" i="89" s="1"/>
  <c r="E373" i="89" s="1"/>
  <c r="H373" i="89" s="1"/>
  <c r="H377" i="89" s="1"/>
  <c r="H418" i="89"/>
  <c r="H417" i="89"/>
  <c r="H416" i="89"/>
  <c r="H419" i="89" s="1"/>
  <c r="H412" i="89"/>
  <c r="H411" i="89"/>
  <c r="H410" i="89"/>
  <c r="H409" i="89"/>
  <c r="H408" i="89"/>
  <c r="H407" i="89"/>
  <c r="H406" i="89"/>
  <c r="H405" i="89"/>
  <c r="H404" i="89"/>
  <c r="H403" i="89"/>
  <c r="H402" i="89"/>
  <c r="H401" i="89"/>
  <c r="H400" i="89"/>
  <c r="H399" i="89"/>
  <c r="E398" i="89"/>
  <c r="H398" i="89" s="1"/>
  <c r="H397" i="89"/>
  <c r="H396" i="89"/>
  <c r="H395" i="89"/>
  <c r="H394" i="89"/>
  <c r="H393" i="89"/>
  <c r="H392" i="89"/>
  <c r="H391" i="89"/>
  <c r="H390" i="89"/>
  <c r="H389" i="89"/>
  <c r="H388" i="89"/>
  <c r="H387" i="89"/>
  <c r="H386" i="89"/>
  <c r="H385" i="89"/>
  <c r="H384" i="89"/>
  <c r="H383" i="89"/>
  <c r="E382" i="89"/>
  <c r="H382" i="89" s="1"/>
  <c r="E381" i="89"/>
  <c r="H381" i="89" s="1"/>
  <c r="H380" i="89"/>
  <c r="H413" i="89" s="1"/>
  <c r="H375" i="89"/>
  <c r="F375" i="89"/>
  <c r="H374" i="89"/>
  <c r="H372" i="89"/>
  <c r="H359" i="89"/>
  <c r="H360" i="89" s="1"/>
  <c r="E309" i="89" s="1"/>
  <c r="H309" i="89" s="1"/>
  <c r="H312" i="89" s="1"/>
  <c r="H358" i="89"/>
  <c r="H357" i="89"/>
  <c r="H353" i="89"/>
  <c r="H352" i="89"/>
  <c r="H351" i="89"/>
  <c r="H354" i="89" s="1"/>
  <c r="H347" i="89"/>
  <c r="H346" i="89"/>
  <c r="H345" i="89"/>
  <c r="H344" i="89"/>
  <c r="H343" i="89"/>
  <c r="H342" i="89"/>
  <c r="H341" i="89"/>
  <c r="H340" i="89"/>
  <c r="H339" i="89"/>
  <c r="H338" i="89"/>
  <c r="H337" i="89"/>
  <c r="H336" i="89"/>
  <c r="H335" i="89"/>
  <c r="H334" i="89"/>
  <c r="H333" i="89"/>
  <c r="H332" i="89"/>
  <c r="H331" i="89"/>
  <c r="E330" i="89"/>
  <c r="H330" i="89" s="1"/>
  <c r="H329" i="89"/>
  <c r="H328" i="89"/>
  <c r="H327" i="89"/>
  <c r="H326" i="89"/>
  <c r="H325" i="89"/>
  <c r="H324" i="89"/>
  <c r="H323" i="89"/>
  <c r="H322" i="89"/>
  <c r="H321" i="89"/>
  <c r="H320" i="89"/>
  <c r="H319" i="89"/>
  <c r="H318" i="89"/>
  <c r="E317" i="89"/>
  <c r="H317" i="89" s="1"/>
  <c r="E316" i="89"/>
  <c r="H316" i="89" s="1"/>
  <c r="H315" i="89"/>
  <c r="H311" i="89"/>
  <c r="F311" i="89"/>
  <c r="H310" i="89"/>
  <c r="H308" i="89"/>
  <c r="H295" i="89"/>
  <c r="H294" i="89"/>
  <c r="H293" i="89"/>
  <c r="H296" i="89" s="1"/>
  <c r="E246" i="89" s="1"/>
  <c r="H246" i="89" s="1"/>
  <c r="H292" i="89"/>
  <c r="H291" i="89"/>
  <c r="H287" i="89"/>
  <c r="H286" i="89"/>
  <c r="H285" i="89"/>
  <c r="H288" i="89" s="1"/>
  <c r="H281" i="89"/>
  <c r="H280" i="89"/>
  <c r="H279" i="89"/>
  <c r="H278" i="89"/>
  <c r="H277" i="89"/>
  <c r="H276" i="89"/>
  <c r="H275" i="89"/>
  <c r="H274" i="89"/>
  <c r="H273" i="89"/>
  <c r="H272" i="89"/>
  <c r="H271" i="89"/>
  <c r="H270" i="89"/>
  <c r="H269" i="89"/>
  <c r="H268" i="89"/>
  <c r="E267" i="89"/>
  <c r="H267" i="89" s="1"/>
  <c r="H266" i="89"/>
  <c r="H265" i="89"/>
  <c r="H264" i="89"/>
  <c r="H263" i="89"/>
  <c r="H262" i="89"/>
  <c r="H261" i="89"/>
  <c r="H260" i="89"/>
  <c r="H259" i="89"/>
  <c r="H258" i="89"/>
  <c r="H257" i="89"/>
  <c r="H256" i="89"/>
  <c r="E255" i="89"/>
  <c r="H255" i="89" s="1"/>
  <c r="E254" i="89"/>
  <c r="H254" i="89" s="1"/>
  <c r="H253" i="89"/>
  <c r="H252" i="89"/>
  <c r="F248" i="89"/>
  <c r="H248" i="89" s="1"/>
  <c r="H247" i="89"/>
  <c r="H245" i="89"/>
  <c r="H232" i="89"/>
  <c r="H231" i="89"/>
  <c r="H230" i="89"/>
  <c r="H229" i="89"/>
  <c r="H228" i="89"/>
  <c r="H233" i="89" s="1"/>
  <c r="E187" i="89" s="1"/>
  <c r="H187" i="89" s="1"/>
  <c r="H224" i="89"/>
  <c r="H223" i="89"/>
  <c r="H222" i="89"/>
  <c r="H225" i="89" s="1"/>
  <c r="H218" i="89"/>
  <c r="H217" i="89"/>
  <c r="H216" i="89"/>
  <c r="H215" i="89"/>
  <c r="H214" i="89"/>
  <c r="H213" i="89"/>
  <c r="H212" i="89"/>
  <c r="H211" i="89"/>
  <c r="H210" i="89"/>
  <c r="H209" i="89"/>
  <c r="H208" i="89"/>
  <c r="H207" i="89"/>
  <c r="H206" i="89"/>
  <c r="E205" i="89"/>
  <c r="H205" i="89" s="1"/>
  <c r="H204" i="89"/>
  <c r="H203" i="89"/>
  <c r="H202" i="89"/>
  <c r="H201" i="89"/>
  <c r="H200" i="89"/>
  <c r="H199" i="89"/>
  <c r="H198" i="89"/>
  <c r="H197" i="89"/>
  <c r="H196" i="89"/>
  <c r="E195" i="89"/>
  <c r="H195" i="89" s="1"/>
  <c r="E194" i="89"/>
  <c r="H194" i="89" s="1"/>
  <c r="H219" i="89" s="1"/>
  <c r="H193" i="89"/>
  <c r="F189" i="89"/>
  <c r="H189" i="89" s="1"/>
  <c r="H188" i="89"/>
  <c r="H186" i="89"/>
  <c r="H173" i="89"/>
  <c r="H172" i="89"/>
  <c r="H171" i="89"/>
  <c r="H174" i="89" s="1"/>
  <c r="E123" i="89" s="1"/>
  <c r="H123" i="89" s="1"/>
  <c r="H126" i="89" s="1"/>
  <c r="H168" i="89"/>
  <c r="H167" i="89"/>
  <c r="H166" i="89"/>
  <c r="H165" i="89"/>
  <c r="H161" i="89"/>
  <c r="H160" i="89"/>
  <c r="H159" i="89"/>
  <c r="H158" i="89"/>
  <c r="H157" i="89"/>
  <c r="H156" i="89"/>
  <c r="H155" i="89"/>
  <c r="H154" i="89"/>
  <c r="H153" i="89"/>
  <c r="H152" i="89"/>
  <c r="H151" i="89"/>
  <c r="H150" i="89"/>
  <c r="H149" i="89"/>
  <c r="H148" i="89"/>
  <c r="H147" i="89"/>
  <c r="H146" i="89"/>
  <c r="E145" i="89"/>
  <c r="H145" i="89" s="1"/>
  <c r="H144" i="89"/>
  <c r="H143" i="89"/>
  <c r="H142" i="89"/>
  <c r="H141" i="89"/>
  <c r="H140" i="89"/>
  <c r="H139" i="89"/>
  <c r="H138" i="89"/>
  <c r="H137" i="89"/>
  <c r="H136" i="89"/>
  <c r="H135" i="89"/>
  <c r="H134" i="89"/>
  <c r="H133" i="89"/>
  <c r="H132" i="89"/>
  <c r="E131" i="89"/>
  <c r="H131" i="89" s="1"/>
  <c r="E130" i="89"/>
  <c r="H130" i="89" s="1"/>
  <c r="H129" i="89"/>
  <c r="H125" i="89"/>
  <c r="H124" i="89"/>
  <c r="H122" i="89"/>
  <c r="H109" i="89"/>
  <c r="H107" i="89"/>
  <c r="H106" i="89"/>
  <c r="H105" i="89"/>
  <c r="H110" i="89" s="1"/>
  <c r="E64" i="89" s="1"/>
  <c r="H64" i="89" s="1"/>
  <c r="H101" i="89"/>
  <c r="H100" i="89"/>
  <c r="H99" i="89"/>
  <c r="H102" i="89" s="1"/>
  <c r="H95" i="89"/>
  <c r="H94" i="89"/>
  <c r="H93" i="89"/>
  <c r="H92" i="89"/>
  <c r="H91" i="89"/>
  <c r="H90" i="89"/>
  <c r="H89" i="89"/>
  <c r="H88" i="89"/>
  <c r="H87" i="89"/>
  <c r="H86" i="89"/>
  <c r="H85" i="89"/>
  <c r="H84" i="89"/>
  <c r="H83" i="89"/>
  <c r="H82" i="89"/>
  <c r="E81" i="89"/>
  <c r="H81" i="89" s="1"/>
  <c r="H80" i="89"/>
  <c r="H79" i="89"/>
  <c r="H78" i="89"/>
  <c r="H77" i="89"/>
  <c r="H76" i="89"/>
  <c r="H75" i="89"/>
  <c r="H74" i="89"/>
  <c r="H73" i="89"/>
  <c r="E72" i="89"/>
  <c r="H72" i="89" s="1"/>
  <c r="E71" i="89"/>
  <c r="H71" i="89" s="1"/>
  <c r="H96" i="89" s="1"/>
  <c r="H70" i="89"/>
  <c r="H66" i="89"/>
  <c r="H65" i="89"/>
  <c r="H63" i="89"/>
  <c r="H67" i="89" s="1"/>
  <c r="H50" i="89"/>
  <c r="H49" i="89"/>
  <c r="H48" i="89"/>
  <c r="H47" i="89"/>
  <c r="H51" i="89" s="1"/>
  <c r="E6" i="89" s="1"/>
  <c r="H6" i="89" s="1"/>
  <c r="H44" i="89"/>
  <c r="H43" i="89"/>
  <c r="H42" i="89"/>
  <c r="H41" i="89"/>
  <c r="H37" i="89"/>
  <c r="H36" i="89"/>
  <c r="H35" i="89"/>
  <c r="H34" i="89"/>
  <c r="H33" i="89"/>
  <c r="H32" i="89"/>
  <c r="H31" i="89"/>
  <c r="H30" i="89"/>
  <c r="H29" i="89"/>
  <c r="H28" i="89"/>
  <c r="H27" i="89"/>
  <c r="H26" i="89"/>
  <c r="H25" i="89"/>
  <c r="H24" i="89"/>
  <c r="E23" i="89"/>
  <c r="H23" i="89" s="1"/>
  <c r="H22" i="89"/>
  <c r="H21" i="89"/>
  <c r="H20" i="89"/>
  <c r="H19" i="89"/>
  <c r="H18" i="89"/>
  <c r="H17" i="89"/>
  <c r="H16" i="89"/>
  <c r="H15" i="89"/>
  <c r="E14" i="89"/>
  <c r="H14" i="89" s="1"/>
  <c r="E13" i="89"/>
  <c r="H13" i="89" s="1"/>
  <c r="H12" i="89"/>
  <c r="H8" i="89"/>
  <c r="H7" i="89"/>
  <c r="H5" i="89"/>
  <c r="H510" i="89" l="1"/>
  <c r="H540" i="89"/>
  <c r="H440" i="89"/>
  <c r="H497" i="89" s="1"/>
  <c r="H427" i="89"/>
  <c r="H348" i="89"/>
  <c r="H362" i="89"/>
  <c r="H249" i="89"/>
  <c r="H298" i="89" s="1"/>
  <c r="H282" i="89"/>
  <c r="H190" i="89"/>
  <c r="H235" i="89" s="1"/>
  <c r="H162" i="89"/>
  <c r="H176" i="89"/>
  <c r="H112" i="89"/>
  <c r="H9" i="89"/>
  <c r="H53" i="89" s="1"/>
  <c r="H38" i="89"/>
  <c r="H556" i="89" l="1"/>
  <c r="E15" i="68" l="1"/>
  <c r="H15" i="68" s="1"/>
  <c r="E14" i="68"/>
  <c r="H14" i="68" s="1"/>
  <c r="E16" i="64"/>
  <c r="H16" i="64" s="1"/>
  <c r="E15" i="64"/>
  <c r="H15" i="64" s="1"/>
  <c r="E15" i="42"/>
  <c r="H15" i="42" s="1"/>
  <c r="E14" i="42"/>
  <c r="H14" i="42" s="1"/>
  <c r="E16" i="63"/>
  <c r="H16" i="63" s="1"/>
  <c r="E15" i="63"/>
  <c r="H15" i="63" s="1"/>
  <c r="H14" i="48"/>
  <c r="E15" i="48"/>
  <c r="H15" i="48" s="1"/>
  <c r="E14" i="48"/>
  <c r="E15" i="55"/>
  <c r="H15" i="55" s="1"/>
  <c r="E14" i="55"/>
  <c r="H14" i="55" s="1"/>
  <c r="E15" i="78"/>
  <c r="H15" i="78" s="1"/>
  <c r="E14" i="78"/>
  <c r="H14" i="78" s="1"/>
  <c r="E15" i="29"/>
  <c r="H15" i="29" s="1"/>
  <c r="E14" i="29"/>
  <c r="H14" i="29" s="1"/>
  <c r="H26" i="68" l="1"/>
  <c r="H34" i="65"/>
  <c r="H33" i="42"/>
  <c r="H33" i="63"/>
  <c r="H31" i="48"/>
  <c r="H37" i="64"/>
  <c r="H33" i="55"/>
  <c r="H30" i="78"/>
  <c r="H30" i="29"/>
  <c r="H20" i="68" l="1"/>
  <c r="H41" i="63"/>
  <c r="H35" i="48"/>
  <c r="H35" i="78"/>
  <c r="H35" i="29"/>
  <c r="H43" i="42"/>
  <c r="H44" i="42"/>
  <c r="H44" i="64"/>
  <c r="H45" i="64"/>
  <c r="H44" i="55" l="1"/>
  <c r="H26" i="65"/>
  <c r="H22" i="68"/>
  <c r="H20" i="63"/>
  <c r="H21" i="48"/>
  <c r="H20" i="78"/>
  <c r="H20" i="29"/>
  <c r="H42" i="55"/>
  <c r="H41" i="42"/>
  <c r="H28" i="64"/>
  <c r="H44" i="65"/>
  <c r="H27" i="64"/>
  <c r="H47" i="65"/>
  <c r="H31" i="29"/>
  <c r="H31" i="78"/>
  <c r="H34" i="55"/>
  <c r="H32" i="48"/>
  <c r="H34" i="63"/>
  <c r="H34" i="42"/>
  <c r="H38" i="64"/>
  <c r="H27" i="68"/>
  <c r="H35" i="65"/>
  <c r="H34" i="48"/>
  <c r="H35" i="68"/>
  <c r="H31" i="68"/>
  <c r="H32" i="64"/>
  <c r="H28" i="42"/>
  <c r="H28" i="63"/>
  <c r="H25" i="48"/>
  <c r="H29" i="55"/>
  <c r="H24" i="78"/>
  <c r="H24" i="29"/>
  <c r="H26" i="64"/>
  <c r="H20" i="48"/>
  <c r="H19" i="78"/>
  <c r="H19" i="29"/>
  <c r="H39" i="63"/>
  <c r="H26" i="63"/>
  <c r="H25" i="63"/>
  <c r="H39" i="64" l="1"/>
  <c r="H45" i="65" l="1"/>
  <c r="H46" i="65"/>
  <c r="H34" i="64"/>
  <c r="H30" i="42"/>
  <c r="H25" i="68"/>
  <c r="H29" i="48"/>
  <c r="H36" i="42"/>
  <c r="H36" i="55"/>
  <c r="H42" i="65"/>
  <c r="H14" i="63"/>
  <c r="H33" i="68"/>
  <c r="H34" i="68"/>
  <c r="H30" i="68"/>
  <c r="H38" i="63"/>
  <c r="H37" i="63"/>
  <c r="H43" i="65"/>
  <c r="H36" i="64"/>
  <c r="H32" i="42"/>
  <c r="H31" i="63"/>
  <c r="H27" i="48"/>
  <c r="H32" i="55"/>
  <c r="H28" i="78"/>
  <c r="H28" i="29"/>
  <c r="H16" i="65"/>
  <c r="H18" i="65"/>
  <c r="D21" i="86" l="1"/>
  <c r="D22" i="86"/>
  <c r="D23" i="86"/>
  <c r="D24" i="86"/>
  <c r="D25" i="86"/>
  <c r="D26" i="86"/>
  <c r="D27" i="86"/>
  <c r="D28" i="86"/>
  <c r="D20" i="86"/>
  <c r="C14" i="86"/>
  <c r="C28" i="86" s="1"/>
  <c r="C13" i="86"/>
  <c r="C27" i="86" s="1"/>
  <c r="C12" i="86"/>
  <c r="C26" i="86" s="1"/>
  <c r="C11" i="86"/>
  <c r="C25" i="86" s="1"/>
  <c r="C10" i="86"/>
  <c r="C24" i="86" s="1"/>
  <c r="C9" i="86"/>
  <c r="C23" i="86" s="1"/>
  <c r="C8" i="86"/>
  <c r="C22" i="86" s="1"/>
  <c r="C7" i="86"/>
  <c r="C21" i="86" s="1"/>
  <c r="C6" i="86"/>
  <c r="C20" i="86" s="1"/>
  <c r="F8" i="68" l="1"/>
  <c r="H8" i="68" s="1"/>
  <c r="H6" i="68"/>
  <c r="F8" i="65"/>
  <c r="H8" i="65" s="1"/>
  <c r="H6" i="65"/>
  <c r="F9" i="64"/>
  <c r="H9" i="64" s="1"/>
  <c r="H8" i="64"/>
  <c r="H6" i="64"/>
  <c r="F9" i="42"/>
  <c r="H9" i="42" s="1"/>
  <c r="H8" i="42"/>
  <c r="H6" i="42"/>
  <c r="F9" i="63"/>
  <c r="H9" i="63" s="1"/>
  <c r="H8" i="63"/>
  <c r="H6" i="63"/>
  <c r="F9" i="48"/>
  <c r="H9" i="48" s="1"/>
  <c r="H8" i="48"/>
  <c r="H6" i="48"/>
  <c r="H9" i="55"/>
  <c r="H8" i="55"/>
  <c r="H6" i="55"/>
  <c r="H9" i="78"/>
  <c r="H8" i="78"/>
  <c r="H6" i="78"/>
  <c r="H8" i="29"/>
  <c r="H9" i="29"/>
  <c r="H6" i="29"/>
  <c r="H43" i="48" l="1"/>
  <c r="I9" i="86" s="1"/>
  <c r="I23" i="86" s="1"/>
  <c r="H19" i="68"/>
  <c r="H19" i="63"/>
  <c r="H21" i="68"/>
  <c r="H29" i="68"/>
  <c r="H24" i="65"/>
  <c r="H48" i="65"/>
  <c r="H43" i="55"/>
  <c r="H41" i="65"/>
  <c r="H49" i="65"/>
  <c r="H29" i="65"/>
  <c r="H50" i="78"/>
  <c r="H36" i="78"/>
  <c r="H34" i="78"/>
  <c r="H33" i="78"/>
  <c r="H32" i="78"/>
  <c r="H29" i="78"/>
  <c r="H27" i="78"/>
  <c r="H26" i="78"/>
  <c r="H25" i="78"/>
  <c r="H23" i="78"/>
  <c r="H22" i="78"/>
  <c r="H21" i="78"/>
  <c r="H18" i="78"/>
  <c r="H17" i="78"/>
  <c r="H16" i="78"/>
  <c r="H13" i="78"/>
  <c r="H34" i="29"/>
  <c r="H33" i="29"/>
  <c r="H20" i="65"/>
  <c r="H19" i="65"/>
  <c r="H39" i="42"/>
  <c r="H40" i="42"/>
  <c r="H40" i="55"/>
  <c r="H41" i="55"/>
  <c r="H39" i="65"/>
  <c r="H43" i="78" l="1"/>
  <c r="I7" i="86" s="1"/>
  <c r="I21" i="86" s="1"/>
  <c r="H37" i="78"/>
  <c r="G7" i="86" s="1"/>
  <c r="H51" i="78"/>
  <c r="E7" i="78" l="1"/>
  <c r="F197" i="91"/>
  <c r="E41" i="90"/>
  <c r="H41" i="90" s="1"/>
  <c r="I41" i="90" s="1"/>
  <c r="J39" i="90" s="1"/>
  <c r="G21" i="86"/>
  <c r="F7" i="88"/>
  <c r="H7" i="78"/>
  <c r="H7" i="86"/>
  <c r="J197" i="91" l="1"/>
  <c r="K197" i="91"/>
  <c r="H21" i="86"/>
  <c r="H7" i="88"/>
  <c r="G7" i="88"/>
  <c r="F17" i="88"/>
  <c r="G17" i="88" s="1"/>
  <c r="H10" i="78"/>
  <c r="H30" i="65"/>
  <c r="H17" i="88" l="1"/>
  <c r="I17" i="88" s="1"/>
  <c r="I7" i="88"/>
  <c r="F7" i="86"/>
  <c r="F21" i="86" s="1"/>
  <c r="E21" i="86" s="1"/>
  <c r="H53" i="78"/>
  <c r="E7" i="86" s="1"/>
  <c r="H18" i="63"/>
  <c r="J7" i="86" l="1"/>
  <c r="J7" i="88"/>
  <c r="H36" i="68"/>
  <c r="H49" i="68"/>
  <c r="H48" i="68"/>
  <c r="H47" i="68"/>
  <c r="H46" i="68"/>
  <c r="H43" i="68"/>
  <c r="I14" i="86" s="1"/>
  <c r="I28" i="86" s="1"/>
  <c r="H37" i="68"/>
  <c r="H32" i="68"/>
  <c r="H28" i="68"/>
  <c r="H24" i="68"/>
  <c r="H23" i="68"/>
  <c r="H18" i="68"/>
  <c r="H17" i="68"/>
  <c r="H16" i="68"/>
  <c r="H12" i="68"/>
  <c r="H12" i="65"/>
  <c r="H14" i="65"/>
  <c r="H15" i="65"/>
  <c r="H17" i="65"/>
  <c r="H21" i="65"/>
  <c r="H22" i="65"/>
  <c r="H23" i="65"/>
  <c r="H25" i="65"/>
  <c r="H27" i="65"/>
  <c r="H28" i="65"/>
  <c r="H31" i="65"/>
  <c r="H32" i="65"/>
  <c r="H33" i="65"/>
  <c r="H36" i="65"/>
  <c r="H37" i="65"/>
  <c r="H38" i="65"/>
  <c r="H40" i="65"/>
  <c r="H60" i="65"/>
  <c r="H59" i="65"/>
  <c r="H57" i="65"/>
  <c r="H53" i="64"/>
  <c r="I12" i="86" s="1"/>
  <c r="I26" i="86" s="1"/>
  <c r="H46" i="64"/>
  <c r="H43" i="64"/>
  <c r="H42" i="64"/>
  <c r="H41" i="64"/>
  <c r="H40" i="64"/>
  <c r="H35" i="64"/>
  <c r="H33" i="64"/>
  <c r="H31" i="64"/>
  <c r="H30" i="64"/>
  <c r="H29" i="64"/>
  <c r="H25" i="64"/>
  <c r="H24" i="64"/>
  <c r="H23" i="64"/>
  <c r="H22" i="64"/>
  <c r="H21" i="64"/>
  <c r="H20" i="64"/>
  <c r="H19" i="64"/>
  <c r="H18" i="64"/>
  <c r="H17" i="64"/>
  <c r="H14" i="64"/>
  <c r="H40" i="63"/>
  <c r="H29" i="63"/>
  <c r="H13" i="63"/>
  <c r="H56" i="63"/>
  <c r="H55" i="63"/>
  <c r="H42" i="63"/>
  <c r="H36" i="63"/>
  <c r="H35" i="63"/>
  <c r="H32" i="63"/>
  <c r="H30" i="63"/>
  <c r="H27" i="63"/>
  <c r="H24" i="63"/>
  <c r="H23" i="63"/>
  <c r="H22" i="63"/>
  <c r="H21" i="63"/>
  <c r="H17" i="63"/>
  <c r="H50" i="65" l="1"/>
  <c r="G13" i="86" s="1"/>
  <c r="H43" i="63"/>
  <c r="G10" i="86" s="1"/>
  <c r="J17" i="88"/>
  <c r="K17" i="88" s="1"/>
  <c r="K7" i="88"/>
  <c r="H38" i="68"/>
  <c r="G14" i="86" s="1"/>
  <c r="H59" i="64"/>
  <c r="H47" i="64"/>
  <c r="G12" i="86" s="1"/>
  <c r="H50" i="68"/>
  <c r="H61" i="65"/>
  <c r="H54" i="65"/>
  <c r="I13" i="86" s="1"/>
  <c r="I27" i="86" s="1"/>
  <c r="H49" i="63"/>
  <c r="I10" i="86" s="1"/>
  <c r="I24" i="86" s="1"/>
  <c r="H57" i="63"/>
  <c r="H17" i="55"/>
  <c r="H45" i="55"/>
  <c r="H39" i="55"/>
  <c r="H38" i="55"/>
  <c r="H37" i="55"/>
  <c r="H35" i="55"/>
  <c r="H31" i="55"/>
  <c r="H30" i="55"/>
  <c r="H28" i="55"/>
  <c r="H27" i="55"/>
  <c r="H26" i="55"/>
  <c r="H25" i="55"/>
  <c r="H24" i="55"/>
  <c r="H23" i="55"/>
  <c r="H22" i="55"/>
  <c r="H21" i="55"/>
  <c r="H20" i="55"/>
  <c r="H19" i="55"/>
  <c r="H18" i="55"/>
  <c r="H16" i="55"/>
  <c r="H13" i="55"/>
  <c r="H17" i="48"/>
  <c r="H50" i="48"/>
  <c r="H49" i="48"/>
  <c r="H36" i="48"/>
  <c r="H33" i="48"/>
  <c r="H30" i="48"/>
  <c r="H28" i="48"/>
  <c r="H26" i="48"/>
  <c r="H24" i="48"/>
  <c r="H23" i="48"/>
  <c r="H22" i="48"/>
  <c r="H19" i="48"/>
  <c r="H18" i="48"/>
  <c r="H16" i="48"/>
  <c r="H13" i="48"/>
  <c r="E7" i="68" l="1"/>
  <c r="H7" i="68" s="1"/>
  <c r="F204" i="91"/>
  <c r="E337" i="90"/>
  <c r="H337" i="90" s="1"/>
  <c r="I337" i="90" s="1"/>
  <c r="J335" i="90" s="1"/>
  <c r="E7" i="65"/>
  <c r="H7" i="65" s="1"/>
  <c r="F203" i="91"/>
  <c r="E288" i="90"/>
  <c r="H288" i="90" s="1"/>
  <c r="I288" i="90" s="1"/>
  <c r="J286" i="90" s="1"/>
  <c r="E7" i="64"/>
  <c r="F202" i="91"/>
  <c r="E244" i="90"/>
  <c r="H244" i="90" s="1"/>
  <c r="I244" i="90" s="1"/>
  <c r="J242" i="90" s="1"/>
  <c r="E7" i="63"/>
  <c r="F200" i="91"/>
  <c r="E159" i="90"/>
  <c r="H159" i="90" s="1"/>
  <c r="I159" i="90" s="1"/>
  <c r="J157" i="90" s="1"/>
  <c r="F36" i="88"/>
  <c r="G36" i="88" s="1"/>
  <c r="H37" i="48"/>
  <c r="G9" i="86" s="1"/>
  <c r="G28" i="86"/>
  <c r="F38" i="88"/>
  <c r="G38" i="88" s="1"/>
  <c r="G26" i="86"/>
  <c r="F26" i="88"/>
  <c r="G24" i="86"/>
  <c r="F19" i="88"/>
  <c r="G19" i="88" s="1"/>
  <c r="H12" i="86"/>
  <c r="H14" i="86"/>
  <c r="H10" i="86"/>
  <c r="H7" i="63"/>
  <c r="H13" i="86"/>
  <c r="G27" i="86"/>
  <c r="H52" i="55"/>
  <c r="H51" i="48"/>
  <c r="H58" i="55"/>
  <c r="H46" i="55"/>
  <c r="G8" i="86" s="1"/>
  <c r="G31" i="86" l="1"/>
  <c r="K204" i="91"/>
  <c r="J204" i="91"/>
  <c r="J203" i="91"/>
  <c r="K203" i="91"/>
  <c r="K202" i="91"/>
  <c r="J202" i="91"/>
  <c r="J200" i="91"/>
  <c r="K200" i="91"/>
  <c r="E7" i="55"/>
  <c r="F198" i="91"/>
  <c r="E78" i="90"/>
  <c r="H78" i="90" s="1"/>
  <c r="I78" i="90" s="1"/>
  <c r="J76" i="90" s="1"/>
  <c r="E7" i="48"/>
  <c r="H7" i="48" s="1"/>
  <c r="F199" i="91"/>
  <c r="E122" i="90"/>
  <c r="H122" i="90" s="1"/>
  <c r="I122" i="90" s="1"/>
  <c r="J120" i="90" s="1"/>
  <c r="H28" i="86"/>
  <c r="H38" i="88"/>
  <c r="I38" i="88" s="1"/>
  <c r="H26" i="86"/>
  <c r="H26" i="88"/>
  <c r="H27" i="86"/>
  <c r="H36" i="88"/>
  <c r="I36" i="88" s="1"/>
  <c r="H24" i="86"/>
  <c r="H19" i="88"/>
  <c r="I19" i="88" s="1"/>
  <c r="G22" i="86"/>
  <c r="F28" i="88"/>
  <c r="G28" i="88" s="1"/>
  <c r="F34" i="88"/>
  <c r="G34" i="88" s="1"/>
  <c r="G26" i="88"/>
  <c r="F32" i="88"/>
  <c r="G32" i="88" s="1"/>
  <c r="G23" i="86"/>
  <c r="F12" i="88"/>
  <c r="H10" i="63"/>
  <c r="H9" i="65"/>
  <c r="H9" i="68"/>
  <c r="H8" i="86"/>
  <c r="H9" i="86"/>
  <c r="H7" i="55"/>
  <c r="I8" i="86"/>
  <c r="I22" i="86" s="1"/>
  <c r="K198" i="91" l="1"/>
  <c r="J198" i="91"/>
  <c r="K199" i="91"/>
  <c r="J199" i="91"/>
  <c r="F10" i="88"/>
  <c r="F30" i="88" s="1"/>
  <c r="G30" i="88" s="1"/>
  <c r="H22" i="86"/>
  <c r="H10" i="88"/>
  <c r="H32" i="88"/>
  <c r="I32" i="88" s="1"/>
  <c r="I26" i="88"/>
  <c r="H28" i="88"/>
  <c r="I28" i="88" s="1"/>
  <c r="H34" i="88"/>
  <c r="I34" i="88" s="1"/>
  <c r="H23" i="86"/>
  <c r="H12" i="88"/>
  <c r="G12" i="88"/>
  <c r="F23" i="88"/>
  <c r="G23" i="88" s="1"/>
  <c r="F14" i="88"/>
  <c r="G14" i="88" s="1"/>
  <c r="F18" i="88"/>
  <c r="G18" i="88" s="1"/>
  <c r="H10" i="48"/>
  <c r="F10" i="86"/>
  <c r="F24" i="86" s="1"/>
  <c r="E24" i="86" s="1"/>
  <c r="H59" i="63"/>
  <c r="E10" i="86" s="1"/>
  <c r="F14" i="86"/>
  <c r="F28" i="86" s="1"/>
  <c r="E28" i="86" s="1"/>
  <c r="H52" i="68"/>
  <c r="E14" i="86" s="1"/>
  <c r="J14" i="86" s="1"/>
  <c r="F13" i="86"/>
  <c r="F27" i="86" s="1"/>
  <c r="E27" i="86" s="1"/>
  <c r="H63" i="65"/>
  <c r="E13" i="86" s="1"/>
  <c r="H10" i="55"/>
  <c r="F8" i="86" s="1"/>
  <c r="F22" i="86" s="1"/>
  <c r="E22" i="86" l="1"/>
  <c r="F40" i="88"/>
  <c r="G40" i="88" s="1"/>
  <c r="G10" i="88"/>
  <c r="F24" i="88"/>
  <c r="G24" i="88" s="1"/>
  <c r="H40" i="88"/>
  <c r="I40" i="88" s="1"/>
  <c r="I10" i="88"/>
  <c r="H24" i="88"/>
  <c r="I24" i="88" s="1"/>
  <c r="H30" i="88"/>
  <c r="I30" i="88" s="1"/>
  <c r="H23" i="88"/>
  <c r="I23" i="88" s="1"/>
  <c r="H14" i="88"/>
  <c r="I14" i="88" s="1"/>
  <c r="H18" i="88"/>
  <c r="I18" i="88" s="1"/>
  <c r="I12" i="88"/>
  <c r="J38" i="88"/>
  <c r="K38" i="88" s="1"/>
  <c r="J10" i="86"/>
  <c r="J19" i="88"/>
  <c r="K19" i="88" s="1"/>
  <c r="J13" i="86"/>
  <c r="J36" i="88"/>
  <c r="K36" i="88" s="1"/>
  <c r="H60" i="55"/>
  <c r="E8" i="86" s="1"/>
  <c r="F9" i="86"/>
  <c r="F23" i="86" s="1"/>
  <c r="E23" i="86" s="1"/>
  <c r="H53" i="48"/>
  <c r="E9" i="86" s="1"/>
  <c r="H38" i="42"/>
  <c r="H35" i="42"/>
  <c r="J8" i="86" l="1"/>
  <c r="J10" i="88"/>
  <c r="J9" i="86"/>
  <c r="J12" i="88"/>
  <c r="H48" i="29"/>
  <c r="H47" i="29"/>
  <c r="H26" i="29"/>
  <c r="H58" i="42"/>
  <c r="H45" i="42"/>
  <c r="H42" i="42"/>
  <c r="H37" i="42"/>
  <c r="H31" i="42"/>
  <c r="H29" i="42"/>
  <c r="H27" i="42"/>
  <c r="H26" i="42"/>
  <c r="H25" i="42"/>
  <c r="H24" i="42"/>
  <c r="H23" i="42"/>
  <c r="H22" i="42"/>
  <c r="H21" i="42"/>
  <c r="H20" i="42"/>
  <c r="H19" i="42"/>
  <c r="H18" i="42"/>
  <c r="H17" i="42"/>
  <c r="H16" i="42"/>
  <c r="H13" i="42"/>
  <c r="H18" i="29"/>
  <c r="H16" i="29"/>
  <c r="H13" i="29"/>
  <c r="H17" i="29"/>
  <c r="H21" i="29"/>
  <c r="H22" i="29"/>
  <c r="H23" i="29"/>
  <c r="H25" i="29"/>
  <c r="H27" i="29"/>
  <c r="H29" i="29"/>
  <c r="H32" i="29"/>
  <c r="H36" i="29"/>
  <c r="E7" i="42" l="1"/>
  <c r="H7" i="42" s="1"/>
  <c r="F201" i="91"/>
  <c r="E200" i="90"/>
  <c r="H200" i="90" s="1"/>
  <c r="I200" i="90" s="1"/>
  <c r="J198" i="90" s="1"/>
  <c r="J40" i="88"/>
  <c r="K40" i="88" s="1"/>
  <c r="J24" i="88"/>
  <c r="K24" i="88" s="1"/>
  <c r="K10" i="88"/>
  <c r="J30" i="88"/>
  <c r="K30" i="88" s="1"/>
  <c r="H37" i="29"/>
  <c r="G6" i="86" s="1"/>
  <c r="J14" i="88"/>
  <c r="K14" i="88" s="1"/>
  <c r="J18" i="88"/>
  <c r="K18" i="88" s="1"/>
  <c r="K12" i="88"/>
  <c r="J23" i="88"/>
  <c r="K23" i="88" s="1"/>
  <c r="H11" i="86"/>
  <c r="H52" i="42"/>
  <c r="I11" i="86" s="1"/>
  <c r="I25" i="86" s="1"/>
  <c r="H46" i="42"/>
  <c r="G11" i="86" s="1"/>
  <c r="G17" i="86" l="1"/>
  <c r="J201" i="91"/>
  <c r="K201" i="91"/>
  <c r="H25" i="86"/>
  <c r="H21" i="88"/>
  <c r="G25" i="86"/>
  <c r="F21" i="88"/>
  <c r="H10" i="42"/>
  <c r="F11" i="86" s="1"/>
  <c r="F25" i="86" s="1"/>
  <c r="G20" i="86"/>
  <c r="H49" i="29"/>
  <c r="H29" i="88" l="1"/>
  <c r="I29" i="88" s="1"/>
  <c r="I21" i="88"/>
  <c r="E25" i="86"/>
  <c r="G21" i="88"/>
  <c r="F29" i="88"/>
  <c r="G29" i="88" s="1"/>
  <c r="H60" i="42"/>
  <c r="E11" i="86" s="1"/>
  <c r="J11" i="86" l="1"/>
  <c r="J21" i="88"/>
  <c r="I6" i="86"/>
  <c r="H46" i="29"/>
  <c r="I17" i="86" l="1"/>
  <c r="F6" i="88"/>
  <c r="K21" i="88"/>
  <c r="J29" i="88"/>
  <c r="K29" i="88" s="1"/>
  <c r="I20" i="86"/>
  <c r="I31" i="86" s="1"/>
  <c r="H50" i="29"/>
  <c r="E7" i="29" l="1"/>
  <c r="H7" i="29" s="1"/>
  <c r="F196" i="91"/>
  <c r="E4" i="90"/>
  <c r="H4" i="90" s="1"/>
  <c r="I4" i="90" s="1"/>
  <c r="J2" i="90" s="1"/>
  <c r="J1" i="90" s="1"/>
  <c r="G6" i="88"/>
  <c r="F9" i="88"/>
  <c r="G9" i="88" s="1"/>
  <c r="F16" i="88"/>
  <c r="G16" i="88" s="1"/>
  <c r="H6" i="86"/>
  <c r="H17" i="86" s="1"/>
  <c r="J196" i="91" l="1"/>
  <c r="K196" i="91"/>
  <c r="H6" i="88"/>
  <c r="H10" i="29"/>
  <c r="H20" i="86"/>
  <c r="H31" i="86" s="1"/>
  <c r="H16" i="88" l="1"/>
  <c r="I16" i="88" s="1"/>
  <c r="I6" i="88"/>
  <c r="H9" i="88"/>
  <c r="I9" i="88" s="1"/>
  <c r="H52" i="29"/>
  <c r="E6" i="86" s="1"/>
  <c r="F6" i="86"/>
  <c r="J6" i="86" l="1"/>
  <c r="J17" i="86" s="1"/>
  <c r="J6" i="88"/>
  <c r="F20" i="86"/>
  <c r="F31" i="86" s="1"/>
  <c r="J9" i="88" l="1"/>
  <c r="K9" i="88" s="1"/>
  <c r="J16" i="88"/>
  <c r="K16" i="88" s="1"/>
  <c r="K6" i="88"/>
  <c r="E20" i="86"/>
  <c r="E31" i="86" s="1"/>
  <c r="H7" i="64" l="1"/>
  <c r="H11" i="64" l="1"/>
  <c r="H61" i="64" s="1"/>
  <c r="E12" i="86" s="1"/>
  <c r="J12" i="86" l="1"/>
  <c r="J26" i="88"/>
  <c r="F12" i="86"/>
  <c r="F17" i="86" s="1"/>
  <c r="J28" i="88" l="1"/>
  <c r="K28" i="88" s="1"/>
  <c r="K26" i="88"/>
  <c r="J34" i="88"/>
  <c r="K34" i="88" s="1"/>
  <c r="J32" i="88"/>
  <c r="K32" i="88" s="1"/>
  <c r="F26" i="86"/>
  <c r="E26" i="86" l="1"/>
  <c r="L2" i="91"/>
  <c r="L7" i="91"/>
  <c r="L5" i="91"/>
  <c r="L9" i="91"/>
  <c r="L6" i="91"/>
  <c r="L10" i="91"/>
  <c r="L8" i="91"/>
  <c r="I48" i="88" l="1"/>
  <c r="L4" i="91"/>
  <c r="L3" i="91"/>
  <c r="L1" i="9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win10</author>
  </authors>
  <commentList>
    <comment ref="K11" authorId="0" shapeId="0" xr:uid="{5A457716-1036-4D48-945D-A265427ECE87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se cambia de referencia y cambia el precio tambien
</t>
        </r>
      </text>
    </comment>
    <comment ref="K13" authorId="0" shapeId="0" xr:uid="{177F9FF5-F858-46E8-9663-9B344D06BC38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ESTE ITEM ES CON ENERGIA CONVENCIONAL
</t>
        </r>
      </text>
    </comment>
    <comment ref="K36" authorId="0" shapeId="0" xr:uid="{DF4C6C88-AB6D-42F6-80EC-80BEE1C90D99}">
      <text>
        <r>
          <rPr>
            <b/>
            <sz val="9"/>
            <color indexed="81"/>
            <rFont val="Tahoma"/>
            <family val="2"/>
          </rPr>
          <t xml:space="preserve">mas personas o menos
</t>
        </r>
      </text>
    </comment>
    <comment ref="K50" authorId="0" shapeId="0" xr:uid="{0DCCFF48-F031-49E1-BF33-242E7E0FDB15}">
      <text>
        <r>
          <rPr>
            <b/>
            <sz val="9"/>
            <color indexed="81"/>
            <rFont val="Tahoma"/>
            <family val="2"/>
          </rPr>
          <t xml:space="preserve"> para energia convencional</t>
        </r>
      </text>
    </comment>
    <comment ref="K73" authorId="0" shapeId="0" xr:uid="{60D3AC1F-3176-42E4-B0FB-0E24B47FA327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mas gente o menos gente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win10</author>
  </authors>
  <commentList>
    <comment ref="M18" authorId="0" shapeId="0" xr:uid="{F8759419-67EE-46C4-B696-E1924AF881B6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COMPUTADOR JANUS CON WIN11 PRO https://www.janus.com.co/products/computador-gamer-janus-intel-core-i9-12900kf-memoria-ram-16gb-rgb-ssd-1tb-m-2-rtx-4060-board-b760m-p-pro-refrigeracion-liquida-360mm-negra-fuente-janus-650w-80-plus-bronze?variant=44494348255471
</t>
        </r>
      </text>
    </comment>
    <comment ref="P18" authorId="0" shapeId="0" xr:uid="{558DF0A9-F089-45EB-B3C6-D1F3B22EA8EB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pc con monitor teclado mause y win11pro
</t>
        </r>
      </text>
    </comment>
    <comment ref="P22" authorId="0" shapeId="0" xr:uid="{142701AE-6A00-4BBE-B687-9E1F77DCF16E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pc con monitor teclado mause</t>
        </r>
      </text>
    </comment>
    <comment ref="M25" authorId="0" shapeId="0" xr:uid="{F299AA14-53E5-4AB5-8EFB-EDA526C70896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soporte metalico montaje en poste para cmara tipo bala </t>
        </r>
      </text>
    </comment>
    <comment ref="M31" authorId="0" shapeId="0" xr:uid="{9CC9D5B3-E682-4C78-B449-35E098083F73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se cambia por video wall
</t>
        </r>
      </text>
    </comment>
    <comment ref="M32" authorId="0" shapeId="0" xr:uid="{73700AE1-0E23-40ED-9F6D-226FDD423AA4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el precio no es de un proveedor reconocido</t>
        </r>
      </text>
    </comment>
    <comment ref="M33" authorId="0" shapeId="0" xr:uid="{4A9DC3F8-1F9B-4C59-BA80-995DBBF644ED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la antena cotizada no es la misma
</t>
        </r>
      </text>
    </comment>
    <comment ref="F34" authorId="0" shapeId="0" xr:uid="{D8CE057A-1B1E-4903-B441-198F81E08679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la cotizamos a este precio  en gv estan a un precio parecido
</t>
        </r>
      </text>
    </comment>
    <comment ref="M34" authorId="0" shapeId="0" xr:uid="{918F961E-99B6-46B9-A608-C7627A1509EF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la cotizamos a 700  y en gvs estan aun precio parecido</t>
        </r>
      </text>
    </comment>
    <comment ref="F51" authorId="0" shapeId="0" xr:uid="{11DE7C9E-0386-4D58-99E6-47FC3062FE67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precio cotizado no se puede cambair proveedor entrega en 8 dias con disponibilidad</t>
        </r>
      </text>
    </comment>
    <comment ref="F59" authorId="0" shapeId="0" xr:uid="{7A4EF279-589E-4D51-A669-47CE19349541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valor cotizado  N000900L001C</t>
        </r>
      </text>
    </comment>
    <comment ref="M59" authorId="0" shapeId="0" xr:uid="{3F9B79FB-686A-4D06-80A7-40874E245C63}">
      <text>
        <r>
          <rPr>
            <b/>
            <sz val="9"/>
            <color indexed="81"/>
            <rFont val="Tahoma"/>
            <family val="2"/>
          </rPr>
          <t>Raquel win10:</t>
        </r>
        <r>
          <rPr>
            <sz val="9"/>
            <color indexed="81"/>
            <rFont val="Tahoma"/>
            <family val="2"/>
          </rPr>
          <t xml:space="preserve">
otro equipo cotizado
</t>
        </r>
      </text>
    </comment>
  </commentList>
</comments>
</file>

<file path=xl/sharedStrings.xml><?xml version="1.0" encoding="utf-8"?>
<sst xmlns="http://schemas.openxmlformats.org/spreadsheetml/2006/main" count="5326" uniqueCount="384">
  <si>
    <t>DESCRIPCION</t>
  </si>
  <si>
    <t>ITEM</t>
  </si>
  <si>
    <t>ANÁLISIS DE PRECIOS UNITARIOS</t>
  </si>
  <si>
    <t>UNIDAD</t>
  </si>
  <si>
    <t>LOTE 1</t>
  </si>
  <si>
    <t>1. EQUIPO</t>
  </si>
  <si>
    <t>LOTE 2</t>
  </si>
  <si>
    <t>COD</t>
  </si>
  <si>
    <t>DESCRIPCIÓN</t>
  </si>
  <si>
    <t>TARIFA</t>
  </si>
  <si>
    <t>CANTIDAD</t>
  </si>
  <si>
    <t>DESPERDICIO</t>
  </si>
  <si>
    <t>V. UNITARIO</t>
  </si>
  <si>
    <t>Alojamiento Punta de las Vacas</t>
  </si>
  <si>
    <t>SUBTOTAL</t>
  </si>
  <si>
    <t>2. MATERIALES</t>
  </si>
  <si>
    <t>3. TRANSPORTE</t>
  </si>
  <si>
    <t>4. MANO DE OBRA</t>
  </si>
  <si>
    <t>TOTAL</t>
  </si>
  <si>
    <t>-</t>
  </si>
  <si>
    <t>Herramienta menor</t>
  </si>
  <si>
    <t>CAJAS PLASTICAS 10X10</t>
  </si>
  <si>
    <t>Coraza con alma de acero 3/4</t>
  </si>
  <si>
    <t>Poste metalico 8 metros</t>
  </si>
  <si>
    <t xml:space="preserve">Metro </t>
  </si>
  <si>
    <t>Unidad</t>
  </si>
  <si>
    <t>Batería GEL 12V 100Ah</t>
  </si>
  <si>
    <t>Consumibles menores</t>
  </si>
  <si>
    <t>Cable UTP Cat 6A para exterior</t>
  </si>
  <si>
    <t>Cable encauchetado 3x14</t>
  </si>
  <si>
    <t>Tuberia PVC 3/4"</t>
  </si>
  <si>
    <t>Soporte metalico para camara tipo bala</t>
  </si>
  <si>
    <t>Tecnico electricista para montaje de tablero y equipos en poste</t>
  </si>
  <si>
    <t>Cuadrilla de dos personas para montaje de poste</t>
  </si>
  <si>
    <t>Ingeniero telecomunicaciones</t>
  </si>
  <si>
    <t xml:space="preserve">Controlador Carga MPPT 20A </t>
  </si>
  <si>
    <t>Cable solar</t>
  </si>
  <si>
    <t xml:space="preserve">Panel Solar 500W </t>
  </si>
  <si>
    <t>Estructura para panel tipo poste</t>
  </si>
  <si>
    <t xml:space="preserve"> DPS  de sistema solar</t>
  </si>
  <si>
    <t>DOMO PTZ 4MP IP,WDR, STARLIGHT, IR LED 150M, 32X</t>
  </si>
  <si>
    <t>Vehiculo con capacidad de carga mayor a 3 toneladas</t>
  </si>
  <si>
    <t>Poste metalico 14 metros</t>
  </si>
  <si>
    <t>Cuadrilla de dos personas. Tecnico electricista y auxiliar para montaje de tablero y equipos en poste</t>
  </si>
  <si>
    <t>Suministro, instalacion y puesta en funcionamiento de mastil de 16 metros de altura con sistema de radios receptores para recepcionar todas las camaras del ECOPARQUE</t>
  </si>
  <si>
    <t xml:space="preserve"> Antena sectorial 90 grados 5Ghz</t>
  </si>
  <si>
    <t>Dia</t>
  </si>
  <si>
    <t>NVR   32 CANALES</t>
  </si>
  <si>
    <t>Equipo de computo (CORE I5, 8GB RAM, 1TB HDD)</t>
  </si>
  <si>
    <t>Router 1Gbps</t>
  </si>
  <si>
    <t xml:space="preserve">Cuadrilla de dos personas para montaje de equipos </t>
  </si>
  <si>
    <t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t>
  </si>
  <si>
    <t>Cuadrilla de dos personas para montaje de equipos</t>
  </si>
  <si>
    <t>Ingeniero de  telecomunicaciones</t>
  </si>
  <si>
    <t>Computador portatil</t>
  </si>
  <si>
    <t>Aire acondicionado mini split inverter 24000BTU</t>
  </si>
  <si>
    <t xml:space="preserve"> Gabinetes de Exteriores para Montaje en Poste con capacidad de carga de 75kg</t>
  </si>
  <si>
    <t xml:space="preserve">Breaker DC 2P 500VDC </t>
  </si>
  <si>
    <t>Breaker AC 2P  400 VAC</t>
  </si>
  <si>
    <t>Jornal</t>
  </si>
  <si>
    <t xml:space="preserve">Tecnico electricista para instalacion de cableado y equipos </t>
  </si>
  <si>
    <t>Tarjeta de video con salida multiple HDMI</t>
  </si>
  <si>
    <t>Soporte para monitor</t>
  </si>
  <si>
    <t xml:space="preserve">Terminales de ponchar cat 6A </t>
  </si>
  <si>
    <t>Ingeniero telecomunicaciones y afines</t>
  </si>
  <si>
    <t>Cable HDMI para monitores y Nvr</t>
  </si>
  <si>
    <t xml:space="preserve">Breaker AC 2P </t>
  </si>
  <si>
    <t>Cajas plasticas 10X10</t>
  </si>
  <si>
    <t>Ingeniero electronico</t>
  </si>
  <si>
    <t>Tecnologo electronico para soporte en configuracion de equipos</t>
  </si>
  <si>
    <t>Kit de izaje para poste</t>
  </si>
  <si>
    <t>Kit de herramientas especializadas</t>
  </si>
  <si>
    <t>%</t>
  </si>
  <si>
    <t>Retro oruga pequeña</t>
  </si>
  <si>
    <t># ITEM</t>
  </si>
  <si>
    <t>DESCP</t>
  </si>
  <si>
    <t>CANT</t>
  </si>
  <si>
    <t>VLR UNIT</t>
  </si>
  <si>
    <t>VLR TOTAL</t>
  </si>
  <si>
    <t>EQUIPO</t>
  </si>
  <si>
    <t>MAT</t>
  </si>
  <si>
    <t>M.O</t>
  </si>
  <si>
    <t>TRANSPORTE</t>
  </si>
  <si>
    <t>APU01</t>
  </si>
  <si>
    <t>APU02</t>
  </si>
  <si>
    <t>APU03</t>
  </si>
  <si>
    <t>APU04</t>
  </si>
  <si>
    <t>APU05</t>
  </si>
  <si>
    <t>APU06</t>
  </si>
  <si>
    <t>APU07</t>
  </si>
  <si>
    <t>APU08</t>
  </si>
  <si>
    <t>APU09</t>
  </si>
  <si>
    <t>ANALISIS UNITARIO</t>
  </si>
  <si>
    <t>UPS 4KVA Tipo Torre Monofásica</t>
  </si>
  <si>
    <t>Disco duro externo 5Teras</t>
  </si>
  <si>
    <t>Conector coraza  3/4</t>
  </si>
  <si>
    <t>Metros</t>
  </si>
  <si>
    <t>Riel chanel perforado</t>
  </si>
  <si>
    <t>Conduletas LB 3/4</t>
  </si>
  <si>
    <t>Grapa  Doble Oreja   3/4</t>
  </si>
  <si>
    <t>Gabinete metálico de poste para intemperie  con capacidad carga de 65 Kg.</t>
  </si>
  <si>
    <t>Gabinete de telecomunicaciones  Rack  5RU, montaje en pared.</t>
  </si>
  <si>
    <t>curva pvc 3/4"</t>
  </si>
  <si>
    <t>Caja plastica 10X10</t>
  </si>
  <si>
    <t>Multitoma montaje en riel 19"</t>
  </si>
  <si>
    <t>Gabinete metálico de poste para intemperie con capacidad carga de 65 Kg.</t>
  </si>
  <si>
    <t>Discoduro de 8 Teras para NVR</t>
  </si>
  <si>
    <t>DPS  de sistema solar</t>
  </si>
  <si>
    <t>Cable encauchetado 3x14 para alimentar gabinete.</t>
  </si>
  <si>
    <t>Tuberia PVC 3/4" de gabinete a camaras</t>
  </si>
  <si>
    <t>Caja plastica 10x10</t>
  </si>
  <si>
    <t>Hora</t>
  </si>
  <si>
    <t>Cable UTP Cat 6A exterior</t>
  </si>
  <si>
    <t>RESUMEN DE PRECIOS</t>
  </si>
  <si>
    <t>CANT.</t>
  </si>
  <si>
    <t>UNID.</t>
  </si>
  <si>
    <t>PRECIO UNITARIO SUMINISTRO</t>
  </si>
  <si>
    <t>SUBTOTAL SUMINISTRO</t>
  </si>
  <si>
    <t>PRECIO UNITARIO M.O</t>
  </si>
  <si>
    <t>SUBTOTAL M.O</t>
  </si>
  <si>
    <t>PRECIO UNITARIO SUM.+M.O</t>
  </si>
  <si>
    <t>SUBTOTAL SUM.+M.O</t>
  </si>
  <si>
    <t>CERRAMIENTO</t>
  </si>
  <si>
    <t>unidad</t>
  </si>
  <si>
    <t>BOSQUE ESCUELA</t>
  </si>
  <si>
    <t>28. SENDERO ELEVADO 1</t>
  </si>
  <si>
    <t>29. SENDEROS ELEVADOS E D</t>
  </si>
  <si>
    <t>PLAZOLETA ECOPARQUE PANCE</t>
  </si>
  <si>
    <t>17. JARDIN POLINIZADORAS</t>
  </si>
  <si>
    <t>23. TEATRINO</t>
  </si>
  <si>
    <t>11. PUENTE DE DERIVACION CAÑAS GORDAS</t>
  </si>
  <si>
    <t>9. MIRADOR LA VORAGINE</t>
  </si>
  <si>
    <t>ASEQUIA CAÑASGORDAS SEND PEATONAL</t>
  </si>
  <si>
    <t xml:space="preserve">ZONA LUDICO AMBIENTAL </t>
  </si>
  <si>
    <t>CENTRAL DE MONITOREO</t>
  </si>
  <si>
    <t xml:space="preserve">Suministro, instalacion y puesta en funcionamiento de central de monitoreo de vigilancia con los siguientes equipos:
-1 Rack para montaje NVR
-3 NVR
-Cableado
-3 estaciones de control y supervision
-6 Monitor de 42"
-Routers
-UPS
-Aire acondicionado mini split inverter 24000BTU
Accesorios para montaje y conexionado de equipos
</t>
  </si>
  <si>
    <t>CONCENTRADORES DE SEÑAL PARA BIENESTAR A-B-C</t>
  </si>
  <si>
    <t>TABLA RESUMEN</t>
  </si>
  <si>
    <t>TOTAL COSTOS SUMINISTROS</t>
  </si>
  <si>
    <t>TOTAL COSTOS MANO OBRA</t>
  </si>
  <si>
    <t>TOTAL COSTOS SUMINISTROS+MANO OBRA</t>
  </si>
  <si>
    <t>APU</t>
  </si>
  <si>
    <t>1,3,7</t>
  </si>
  <si>
    <t>5,6,9,12</t>
  </si>
  <si>
    <t>14,15,18,19</t>
  </si>
  <si>
    <r>
      <t xml:space="preserve">Suministro, instalacion y puesta en funcionamiento de central de monitoreo de vigilancia con los siguientes equipos:
-1 Rack para montaje NVR
-3 NVR
-Cableado
-2 estaciones de control y supervision
-6 Monitor de 42"
-Router
-UPS
</t>
    </r>
    <r>
      <rPr>
        <sz val="11"/>
        <rFont val="Arial"/>
        <family val="2"/>
      </rPr>
      <t>-Aire acondicionado mini split inverter 24000BTU</t>
    </r>
    <r>
      <rPr>
        <sz val="11"/>
        <color theme="1"/>
        <rFont val="Arial"/>
        <family val="2"/>
      </rPr>
      <t xml:space="preserve">
Accesorios para montaje y conexionado de equipos</t>
    </r>
  </si>
  <si>
    <t>11,12 SENDERO ELEVADO 4</t>
  </si>
  <si>
    <t>4,13,17,22</t>
  </si>
  <si>
    <t>Camara Bala IP 4MP IP,IR LED 50M,POE,lente motorizado.</t>
  </si>
  <si>
    <t>Cámara IP tipo Domo 4MP,  PoE.</t>
  </si>
  <si>
    <t>Conector solar  MC4</t>
  </si>
  <si>
    <t>Gabinete piso  42RU  Daga</t>
  </si>
  <si>
    <t>ePMP Force 190 para enlaces inalámbricos en zonas con alta interferencia, 4910-5970 MHz, baja latencia, antena de 22 dBi (C050900C181A)</t>
  </si>
  <si>
    <t>Radio epmp 3000L  5Ghz PTMP</t>
  </si>
  <si>
    <t>Bandeja Portacable Tipo Malla  Alto: 65 mm Ancho: 300 mm Largo: 3 mts</t>
  </si>
  <si>
    <t>Mastil de 16 metros  metalico galvanizado.</t>
  </si>
  <si>
    <t>Estructura  tipo bandera metalica galvanizada, 4 sectores para anclaje de antenas</t>
  </si>
  <si>
    <t>Patch panel  24 puerto CAT 6A blindado</t>
  </si>
  <si>
    <t>salida para datos Jack Cat 6A Blindado</t>
  </si>
  <si>
    <t xml:space="preserve">Regleta multitoma industrial. </t>
  </si>
  <si>
    <t>Cofre Eléctrico Metálico 500 x 400 x 250 para uso Exterior IP-54.</t>
  </si>
  <si>
    <t xml:space="preserve">Cinta Bandit 1/2 </t>
  </si>
  <si>
    <t>Hebillas bandit 1/2</t>
  </si>
  <si>
    <t>Tapa para  5800 C24 .2X4</t>
  </si>
  <si>
    <t>Caja galvanizada 5800   2x4</t>
  </si>
  <si>
    <t>Bandeja Ventilada Ajustable rack19"</t>
  </si>
  <si>
    <t>Bandeja fija para montaje en  RACK  19" profundidad 305.</t>
  </si>
  <si>
    <t xml:space="preserve">Supresor de sobretensiones Gigabit Cambiun netword  C000000L065A </t>
  </si>
  <si>
    <t>Union EMT 3/4</t>
  </si>
  <si>
    <t>Adactador 3/4 EMT</t>
  </si>
  <si>
    <t>Tuberia EMT 3/4</t>
  </si>
  <si>
    <t>Curva pvc 3/4"</t>
  </si>
  <si>
    <t>Tuberia IMC 3/4</t>
  </si>
  <si>
    <t>Cable de Red Patchcord  UTP CAT 6A  de 90cm</t>
  </si>
  <si>
    <t>Botas rj45 color Rojo.</t>
  </si>
  <si>
    <t>Riel DIN Omega Perforado x 1 Metro</t>
  </si>
  <si>
    <t>Canaleta plastica portacable blanca 100x45mm</t>
  </si>
  <si>
    <t>Cable Multifilar 8awg</t>
  </si>
  <si>
    <t>Canaleta ranurada  gris 40x40mm</t>
  </si>
  <si>
    <t>Caja de Paso Sencilla CU40 Sobreponer</t>
  </si>
  <si>
    <t xml:space="preserve">Tomacorriente Doble Polo A Tierra Aislado Naranja </t>
  </si>
  <si>
    <t>Switch  Dahua de 8 puertos POE Ethernet</t>
  </si>
  <si>
    <t>Switch  Dahua de 8 puertos POE Gigabit-Ethernet</t>
  </si>
  <si>
    <t>Switch Dahua 24 puertos POE  solo para CCTV</t>
  </si>
  <si>
    <t>Contenedor para almacenamiento temporal de equipos criticos</t>
  </si>
  <si>
    <t>Inversor Onda Pura 300 W para alimentacion de equipos en poste</t>
  </si>
  <si>
    <t>Organizador de cable horizontal plastico 1U</t>
  </si>
  <si>
    <t>Monitor 43"</t>
  </si>
  <si>
    <t>Bandejas porta equipos rack 19"   profundidad  178, 1u.</t>
  </si>
  <si>
    <t>Soporte  Para Camara PTZ</t>
  </si>
  <si>
    <t>Computador ( CORE I9, 32GB RAM, 1TB HDD)</t>
  </si>
  <si>
    <t>Inyector PoE Cambium Gigabit DC 30V 15w conector C6</t>
  </si>
  <si>
    <t xml:space="preserve">Cable de energia con conector C5 para  Inyector PoE </t>
  </si>
  <si>
    <t>Suministro, instalacion y puesta en funcionamiento de poste con dos camaras tipo bala para uso exterior de 4MP y sistema de alimentacion convencional, con radio de comunicación EMPM FORCE 190</t>
  </si>
  <si>
    <t>Suministro, instalacion y puesta en funcionamiento de poste con una camara tipo bala para uso exterior de 4MP y sistema de alimentacion convencional, con radio de comunicación EMPM FORCE 190</t>
  </si>
  <si>
    <t>Suministro, instalacion y puesta en funcionamiento de poste con domo PTZ para uso exterior y sistema de alimentacion con panel solar, con radio de comunicación EMPM FORCE 190</t>
  </si>
  <si>
    <t>Suministro, instalacion y puesta en funcionamiento de poste con domo PTZ para uso exterior y sistema de alimentacion convencional, con radio de comunicación EMPM FORCE 190</t>
  </si>
  <si>
    <t>Suministro, instalacion y puesta en funcionamiento de poste con una camara tipo bala para uso exterior de 4MP y sistema de alimentacion con panel solar, con radio de comunicación EMPM FORCE 190</t>
  </si>
  <si>
    <t>Suministro, instalacion y puesta en funcionamiento de poste con dos camaras tipo bala para uso exterior de 4MP y sistema de alimentacion con panel solar, con radio de comunicación EMPM FORCE 190</t>
  </si>
  <si>
    <t>Suministro, instalacion y puesta en funcionamiento de poste con domo PTZ para uso exterior y sistema de alimentacion con panel solar, con radio de comunicación EPMP FORCE 190</t>
  </si>
  <si>
    <t>Suministro, instalacion y puesta en funcionamiento de poste con dos camaras tipo bala para uso exterior de 4MP y sistema de alimentacion convencional, con radio de comunicación EMPM Force 190</t>
  </si>
  <si>
    <t>Suministro, instalacion y puesta en funcionamiento de poste con una camaras tipo bala para uso exterior de 4MP y sistema de alimentacion convencional, con radio de comunicación EMPM Force 190</t>
  </si>
  <si>
    <t>Suministro, instalacion y puesta en funcionamiento de poste con una camara tipo bala para uso exterior de 4MP y sistema de alimentacion con panel solar, con radio de comunicación EPMP FORCE 190</t>
  </si>
  <si>
    <t>Faceplane sencillo  CAT 6A F/UTP.   Tapa y conector</t>
  </si>
  <si>
    <r>
      <t xml:space="preserve">Suministro, instalacion y puesta en funcionamiento de central de monitoreo de vigilancia con los siguientes equipos:
-1 Rack para montaje NVR
-3 NVR
-Cableado
-2 estaciones de control y supervision
-6 Monitor de 42"
-Router
-UPS
</t>
    </r>
    <r>
      <rPr>
        <sz val="11"/>
        <rFont val="Aptos Narrow"/>
        <family val="2"/>
      </rPr>
      <t>-Aire acondicionado mini split inverter 24000BTU</t>
    </r>
    <r>
      <rPr>
        <sz val="11"/>
        <color theme="1"/>
        <rFont val="Aptos Narrow"/>
        <family val="2"/>
      </rPr>
      <t xml:space="preserve">
Accesorios para montaje y conexionado de equipos</t>
    </r>
  </si>
  <si>
    <t>ID</t>
  </si>
  <si>
    <t>V. TOTAL</t>
  </si>
  <si>
    <t>0. ITEM</t>
  </si>
  <si>
    <t>Gabinetes de Exteriores para Montaje en Poste con capacidad de carga de 75kg</t>
  </si>
  <si>
    <t>Antena sectorial 90 grados 5Ghz</t>
  </si>
  <si>
    <r>
      <t xml:space="preserve">Suministro, instalacion y puesta en funcionamiento de central de monitoreo de vigilancia con los siguientes equipos:
-1 Rack para montaje NVR
-3 NVR
-Cableado
-2 estaciones de control y supervision
-6 Monitor de 42"
-Router
-UPS
</t>
    </r>
    <r>
      <rPr>
        <b/>
        <sz val="11"/>
        <rFont val="Aptos Narrow"/>
        <family val="2"/>
      </rPr>
      <t>-Aire acondicionado mini split inverter 24000BTU</t>
    </r>
    <r>
      <rPr>
        <b/>
        <sz val="11"/>
        <color theme="1"/>
        <rFont val="Aptos Narrow"/>
        <family val="2"/>
      </rPr>
      <t xml:space="preserve">
Accesorios para montaje y conexionado de equipos</t>
    </r>
  </si>
  <si>
    <t>CLASS</t>
  </si>
  <si>
    <t>CANT UNIT</t>
  </si>
  <si>
    <t>CANT TOTAL</t>
  </si>
  <si>
    <t>Precio Lista</t>
  </si>
  <si>
    <t>Cotizacion</t>
  </si>
  <si>
    <t>Notas</t>
  </si>
  <si>
    <r>
      <t xml:space="preserve">Suministro, instalacion y puesta en funcionamiento de central de monitoreo de vigilancia con los siguientes equipos:
-1 Rack para montaje NVR
-3 NVR
-Cableado
-2 estaciones de control y supervision
-6 Monitor de 42"
-Router
-UPS
</t>
    </r>
    <r>
      <rPr>
        <b/>
        <sz val="11"/>
        <rFont val="Arial Narrow"/>
        <family val="2"/>
      </rPr>
      <t>-Aire acondicionado mini split inverter 24000BTU</t>
    </r>
    <r>
      <rPr>
        <b/>
        <sz val="11"/>
        <color theme="1"/>
        <rFont val="Arial Narrow"/>
        <family val="2"/>
      </rPr>
      <t xml:space="preserve">
Accesorios para montaje y conexionado de equipos</t>
    </r>
  </si>
  <si>
    <t>EQ</t>
  </si>
  <si>
    <t>MO</t>
  </si>
  <si>
    <t>TRANSP</t>
  </si>
  <si>
    <t>OTROS</t>
  </si>
  <si>
    <t>Bandeja fija para montaje en RACK 19" profundidad 305.</t>
  </si>
  <si>
    <t>Bandeja Portacable Tipo Malla Alto: 65 mm Ancho: 300 mm Largo: 3 mts</t>
  </si>
  <si>
    <t>Breaker AC 2P 400 VAC</t>
  </si>
  <si>
    <t xml:space="preserve">Cable de energia con conector C5 para Inyector PoE </t>
  </si>
  <si>
    <t>Cable de Red Patchcord UTP CAT 6A de 90cm</t>
  </si>
  <si>
    <t>Cámara IP tipo Domo 4MP, PoE.</t>
  </si>
  <si>
    <t>Canaleta ranurada gris 40x40mm</t>
  </si>
  <si>
    <t>Conector solar MC4</t>
  </si>
  <si>
    <t>DPS de sistema solar</t>
  </si>
  <si>
    <t>Estructura tipo bandera metalica galvanizada, 4 sectores para anclaje de antenas</t>
  </si>
  <si>
    <t>Gabinete de telecomunicaciones Rack 5RU, montaje en pared.</t>
  </si>
  <si>
    <t>Gabinete piso 42RU Daga</t>
  </si>
  <si>
    <t>Mastil de 16 metros metalico galvanizado.</t>
  </si>
  <si>
    <t>Patch panel 24 puerto CAT 6A blindado</t>
  </si>
  <si>
    <t>Radio epmp 3000L 5Ghz PTMP</t>
  </si>
  <si>
    <t>Soporte Para Camara PTZ</t>
  </si>
  <si>
    <t xml:space="preserve">Supresor de sobretensiones Gigabit Cambiun netword C000000L065A </t>
  </si>
  <si>
    <t>Switch Dahua de 8 puertos POE Ethernet</t>
  </si>
  <si>
    <t>Switch Dahua de 8 puertos POE Gigabit-Ethernet</t>
  </si>
  <si>
    <t>Switch Dahua 24 puertos POE solo para CCTV</t>
  </si>
  <si>
    <t>Bandejas porta equipos rack 19" profundidad 178, 1u.</t>
  </si>
  <si>
    <t>Caja galvanizada 5800 2x4</t>
  </si>
  <si>
    <t>Faceplane sencillo CAT 6A F/UTP. Tapa y conector</t>
  </si>
  <si>
    <t>NVR 32 CANALES</t>
  </si>
  <si>
    <t>ELEC</t>
  </si>
  <si>
    <t>COM</t>
  </si>
  <si>
    <t>SOLAR</t>
  </si>
  <si>
    <t>RACK</t>
  </si>
  <si>
    <t>CCTV</t>
  </si>
  <si>
    <t>Curva PVC 3/4"</t>
  </si>
  <si>
    <t>Grapa Doble Oreja 3/4"</t>
  </si>
  <si>
    <t>Hebillas bandit 1/2"</t>
  </si>
  <si>
    <t>Tuberia EMT 3/4"</t>
  </si>
  <si>
    <t>Tuberia IMC 3/4"</t>
  </si>
  <si>
    <t>Union EMT 3/4"</t>
  </si>
  <si>
    <t>Conector coraza 3/4"</t>
  </si>
  <si>
    <t>Coraza con alma de acero 3/4"</t>
  </si>
  <si>
    <t>Conduletas LB 3/4"</t>
  </si>
  <si>
    <t>Cinta Bandit 1/2"</t>
  </si>
  <si>
    <t>Botas RJ45 color Rojo.</t>
  </si>
  <si>
    <t>Cable Multifilar 8 AWG</t>
  </si>
  <si>
    <t>Computador (CORE I9, 32GB RAM, 1TB HDD)</t>
  </si>
  <si>
    <t>GVS Colombia</t>
  </si>
  <si>
    <t>Janus</t>
  </si>
  <si>
    <t>Janus, Especificar Gen Proc, Vel Bus, licencias?</t>
  </si>
  <si>
    <t>Especificar?</t>
  </si>
  <si>
    <t>GVS Colombia Especificar?</t>
  </si>
  <si>
    <t>Mercado Libre</t>
  </si>
  <si>
    <t>Powest</t>
  </si>
  <si>
    <t>Macrotics</t>
  </si>
  <si>
    <t>RED</t>
  </si>
  <si>
    <t>Globaltecnoly</t>
  </si>
  <si>
    <t>AutoSolar (AC 2P 25A 230V Lumek) Amperaje?</t>
  </si>
  <si>
    <t>AutoSolar (Breaker DC 2P 25A 550V FEEO) Amperaje?</t>
  </si>
  <si>
    <t>Interelectricas</t>
  </si>
  <si>
    <t>AutoSolar (Cable Unifilar de 6 mm2 SOLAR PV 1,5kV Negro)</t>
  </si>
  <si>
    <t>5,800 interelectricas Cable Procables Cobre fotovoltaico - Solar 6mm 2 (Flex) Xlpe Sr2000V Negro</t>
  </si>
  <si>
    <t>Interelectricas SINTOX</t>
  </si>
  <si>
    <t>Homecenter</t>
  </si>
  <si>
    <t>Homecenter Halux</t>
  </si>
  <si>
    <t>Redeselectricas S.A. (100x45)</t>
  </si>
  <si>
    <t>Dimel</t>
  </si>
  <si>
    <t>Interelectricas con Tapa</t>
  </si>
  <si>
    <t>Interelectricas sin Tapa</t>
  </si>
  <si>
    <t>Homecenter con Tapa (Eaton)</t>
  </si>
  <si>
    <t>Homecenter (incluye unión)</t>
  </si>
  <si>
    <t>6KVA Bifásica Powest</t>
  </si>
  <si>
    <t>Ktronix (Incluye instalación)</t>
  </si>
  <si>
    <t>Especificar costo</t>
  </si>
  <si>
    <t>Daga (Ventilada)</t>
  </si>
  <si>
    <t>RedesElectricas.com</t>
  </si>
  <si>
    <t>Daga (CE-2704)</t>
  </si>
  <si>
    <t>Daga (CE-2721)</t>
  </si>
  <si>
    <t>Daga (GF-2486)</t>
  </si>
  <si>
    <t>Daga (CE-2720)</t>
  </si>
  <si>
    <t>Daga (MH-4837)</t>
  </si>
  <si>
    <t>Daga (MH-4807)</t>
  </si>
  <si>
    <t>Daga (OH-4516)</t>
  </si>
  <si>
    <t>Dimensiones??</t>
  </si>
  <si>
    <t>Daga (Blindado 90cm)</t>
  </si>
  <si>
    <t>Dahua Rollo 305 m 6A blindado</t>
  </si>
  <si>
    <t>Dahua (FP inclinado 6A+Jack Blindado)</t>
  </si>
  <si>
    <t>Daga (GC-2696)</t>
  </si>
  <si>
    <t>Dahua (Blindado QST-2624)</t>
  </si>
  <si>
    <t>Importaciones USACOL</t>
  </si>
  <si>
    <t>Dahua (DH-PFS5428-24GT)</t>
  </si>
  <si>
    <t>Dahua (DH-PFS4210-8GT-150)</t>
  </si>
  <si>
    <t>Dahua (DH-PFS3010-8ET-96)</t>
  </si>
  <si>
    <t>Dahua (Blindado LPLRJ458P8CCAFL21)</t>
  </si>
  <si>
    <t>Autosolar (Tensite)</t>
  </si>
  <si>
    <t>AutoSolar</t>
  </si>
  <si>
    <t>AutoSolar (MPPT 20A ML2420 12/24V LCD SRNE)</t>
  </si>
  <si>
    <t>AutoSolar (DPS Solar 600VDC 20/40KVA T1+2 FEEO) Especificar</t>
  </si>
  <si>
    <t>AutoSolar (Poste 30º 1 panel solar Falcat)</t>
  </si>
  <si>
    <t>AutoSolar (Inversor Onda Pura 600W 12V Belttt)</t>
  </si>
  <si>
    <t>AutoSolar (550W 24V Monocristalino JA SOLAR)</t>
  </si>
  <si>
    <t>Incluido</t>
  </si>
  <si>
    <t>Pasar a Base 1000</t>
  </si>
  <si>
    <t>Quest Daga</t>
  </si>
  <si>
    <t>para que equipo?</t>
  </si>
  <si>
    <t>Solar?</t>
  </si>
  <si>
    <t>GVS Colombia (DHI-LM43-F200-V2)</t>
  </si>
  <si>
    <t>Item Contractual</t>
  </si>
  <si>
    <t>Revisar Rendimiento</t>
  </si>
  <si>
    <t>Revisar Concordancia</t>
  </si>
  <si>
    <t>Revisar rendimiento</t>
  </si>
  <si>
    <t>El computador tiene win11pro monitor de 32" 32GB</t>
  </si>
  <si>
    <t>Cofre Eléctrico Metálico 500 x 400 x 250 para uso Exterior IP-54. Quest</t>
  </si>
  <si>
    <t>Cable de Red Patchcord  UTP CAT 6A  de 90cm de poe a  Switch</t>
  </si>
  <si>
    <t>Soporte para monitor movil dobre brazo</t>
  </si>
  <si>
    <t xml:space="preserve"> Antena sectorial 90 grados 5Ghz </t>
  </si>
  <si>
    <t>HC</t>
  </si>
  <si>
    <t>MOIE01--</t>
  </si>
  <si>
    <t>Mano de obra electrica, 1 ayudante - 1 oficial.</t>
  </si>
  <si>
    <t>Mano de obra electrica, 1 ayudante - 1 oficial. (Para montaje de equipos a poste)</t>
  </si>
  <si>
    <t>Mano de obra telecomunicaciones 1 ayudante 1 tecnico</t>
  </si>
  <si>
    <t>MOTE01--</t>
  </si>
  <si>
    <t>Mano de obra electrica, 1 ayudante - 1 oficial. (Para perfilar ,hincar y aplomar  poste)</t>
  </si>
  <si>
    <t>Mes</t>
  </si>
  <si>
    <t>Ingeniero electrico y afines</t>
  </si>
  <si>
    <t>G2002--</t>
  </si>
  <si>
    <t xml:space="preserve"> Horas para instalacion de equipos en poste incluye intalacion de tablero , 12 radios,  y tiempo de pruebas con cctv. </t>
  </si>
  <si>
    <t xml:space="preserve"> Horas por incado de poste incluye perfilado, incado, aplomado y tapado. Hueco de 2,2metros</t>
  </si>
  <si>
    <t xml:space="preserve"> supervision de las actividades y configuracion de equipos.</t>
  </si>
  <si>
    <t xml:space="preserve">Punto de Acceso Ubiquiti UniFi U6-Mesh blanco  Exterior </t>
  </si>
  <si>
    <t xml:space="preserve">UPS Online 6KVA Bifásica tipo torre baterias 7ah </t>
  </si>
  <si>
    <t xml:space="preserve">Equipo de computo (CORE I5, 8GB RAM, 1TB HDD)  INTEL CORE I5 10400 Núcleos: 6 , mouse,teclado,monitor de 22"  </t>
  </si>
  <si>
    <t>Computador ( CORE I9 12900KF, 32GB RAM, 1TB HDD) telcado, mouse, monitor 22" win 11-pro</t>
  </si>
  <si>
    <t>SUMINISTRO INSTALACIÓN Y PUESTA EN SERVICIO DE BANCO DE DUCTOS SUBTERRÁNEO PVC - DB DE 2X 3/4"Ø</t>
  </si>
  <si>
    <t>TUBO CONDUIT PVC 2X 3/4"</t>
  </si>
  <si>
    <t>ADAPTADOR TERMINAL CONDUIT 3/4"</t>
  </si>
  <si>
    <t xml:space="preserve">Unidad </t>
  </si>
  <si>
    <t>CURVA 90º CXE CONDUIT 3/4"</t>
  </si>
  <si>
    <t>SOLDADURA PARA CONDUIT (1/4 GL.)</t>
  </si>
  <si>
    <t>CONECTOR RJ45 2 PIEZAS CAT 6A BLINDADO PARA CONDUCTOR SOLIDO AWG 23-26</t>
  </si>
  <si>
    <t>Botas rj45 color Rojo. LPB101RD</t>
  </si>
  <si>
    <t>Soporte metalico para camara tipo bala anclaje poste</t>
  </si>
  <si>
    <t>Tarjeta de video con salida multiple HDMI NVIDIA P620</t>
  </si>
  <si>
    <t>Monitor 43" Dahua</t>
  </si>
  <si>
    <t>Cámara IP tipo Domo 4MP,  PoE. Serie 3</t>
  </si>
  <si>
    <t xml:space="preserve">SUMINISTRO INSTALACIÓN Y PUESTA EN SERVICIO DE APANTALLAMIENTO PARA POSTE </t>
  </si>
  <si>
    <r>
      <t xml:space="preserve">PUNTA CAPTADORA TIPO FRANKLIN DE </t>
    </r>
    <r>
      <rPr>
        <sz val="11"/>
        <color theme="1"/>
        <rFont val="Calibri"/>
        <family val="2"/>
      </rPr>
      <t>ø5/8"X 0,6M</t>
    </r>
  </si>
  <si>
    <t>Base Captadora (Ep) 5/8″ 8-10Mm Vertical Cable Horizontal Aluminio</t>
  </si>
  <si>
    <t>CABLE DE COBRE # 12 AWG</t>
  </si>
  <si>
    <t>Varilla Cooper Weld de 14 28MM x 2 40 de Cobre Macizo</t>
  </si>
  <si>
    <t>UND</t>
  </si>
  <si>
    <t>APU10,</t>
  </si>
  <si>
    <t>APU11,</t>
  </si>
  <si>
    <t>APU10</t>
  </si>
  <si>
    <t>APU11</t>
  </si>
  <si>
    <t>Conector bimetalico varilla/Cable de puesta a tierra</t>
  </si>
  <si>
    <t>Tapa para 5800  .2X4</t>
  </si>
  <si>
    <t>Tapa para  5800  .2X4</t>
  </si>
  <si>
    <t xml:space="preserve">Montaje En Piso De Estructura  Tipo Videowall Para Instalacion De 6 Pantallas </t>
  </si>
  <si>
    <t xml:space="preserve"> para instalacion de equipos en poste incluye intalacion de tablero,camaras , radio, y tiempo de pruebas con cctv.</t>
  </si>
  <si>
    <t xml:space="preserve"> por incado de poste incluye perfilado, incado, aplomado y tapado.(4 PERSONAS)</t>
  </si>
  <si>
    <t>Horas de supervision de las actividades y configuracion de equipos.</t>
  </si>
  <si>
    <t>por incado de poste incluye perfilado, incado, aplomado y tapado.(4 PERSONAS)</t>
  </si>
  <si>
    <t xml:space="preserve"> instalacion de equipos en poste incluye intalacion de tablero,camaras , radio, y tiempo de pruebas con cctv.</t>
  </si>
  <si>
    <t xml:space="preserve"> incado de poste incluye perfilado, incado, aplomado y tapado.(4 PERSONAS)</t>
  </si>
  <si>
    <t>supervision de las actividades y configuracion de equipos.</t>
  </si>
  <si>
    <t xml:space="preserve"> instalacion de equipos en poste incluye intalacion de tablero,camaras , radio, y tiempo de pruebas con cctv. 4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</si>
</sst>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* #,##0.00_);_(&quot;$&quot;\ * \(#,##0.00\);_(&quot;$&quot;\ * &quot;-&quot;??_);_(@_)"/>
    <numFmt numFmtId="167" formatCode="_-* #,##0.00\ &quot;$&quot;_-;\-* #,##0.00\ &quot;$&quot;_-;_-* &quot;-&quot;??\ &quot;$&quot;_-;_-@_-"/>
    <numFmt numFmtId="168" formatCode="&quot;$&quot;\ #,##0"/>
    <numFmt numFmtId="169" formatCode="[$$-240A]\ #,##0"/>
    <numFmt numFmtId="170" formatCode="[$USD]\ #,##0.00"/>
    <numFmt numFmtId="171" formatCode="_-&quot;$&quot;\ * #,##0_-;\-&quot;$&quot;\ * #,##0_-;_-&quot;$&quot;\ * &quot;-&quot;??_-;_-@_-"/>
    <numFmt numFmtId="172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Bahnschrift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sz val="10"/>
      <name val="Bahnschrift"/>
      <family val="2"/>
    </font>
    <font>
      <b/>
      <sz val="10"/>
      <name val="Bahnschrift"/>
      <family val="2"/>
    </font>
    <font>
      <b/>
      <sz val="14"/>
      <name val="Bahnschrift"/>
      <family val="2"/>
    </font>
    <font>
      <b/>
      <sz val="8"/>
      <name val="Bahnschrift"/>
      <family val="2"/>
    </font>
    <font>
      <b/>
      <sz val="15"/>
      <name val="Bahnschrift"/>
      <family val="2"/>
    </font>
    <font>
      <sz val="12"/>
      <name val="Bahnschrift"/>
      <family val="2"/>
    </font>
    <font>
      <sz val="14"/>
      <name val="Bahnschrift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2" applyFont="1" applyBorder="1" applyAlignment="1">
      <alignment wrapText="1"/>
    </xf>
    <xf numFmtId="44" fontId="3" fillId="0" borderId="1" xfId="2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/>
    <xf numFmtId="0" fontId="2" fillId="0" borderId="6" xfId="0" applyFont="1" applyBorder="1" applyAlignment="1">
      <alignment horizontal="center"/>
    </xf>
    <xf numFmtId="44" fontId="3" fillId="3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44" fontId="2" fillId="0" borderId="1" xfId="2" applyFont="1" applyBorder="1" applyAlignment="1">
      <alignment vertical="center"/>
    </xf>
    <xf numFmtId="44" fontId="2" fillId="0" borderId="0" xfId="0" applyNumberFormat="1" applyFont="1"/>
    <xf numFmtId="0" fontId="3" fillId="0" borderId="7" xfId="0" applyFont="1" applyBorder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44" fontId="0" fillId="0" borderId="1" xfId="2" applyFont="1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69" fontId="7" fillId="0" borderId="15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wrapText="1"/>
    </xf>
    <xf numFmtId="44" fontId="0" fillId="0" borderId="4" xfId="2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1" fontId="9" fillId="0" borderId="1" xfId="0" applyNumberFormat="1" applyFont="1" applyBorder="1" applyAlignment="1">
      <alignment horizontal="center"/>
    </xf>
    <xf numFmtId="44" fontId="9" fillId="0" borderId="1" xfId="29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44" fontId="11" fillId="0" borderId="1" xfId="2" applyFont="1" applyBorder="1"/>
    <xf numFmtId="44" fontId="9" fillId="0" borderId="1" xfId="2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Border="1"/>
    <xf numFmtId="0" fontId="9" fillId="2" borderId="10" xfId="0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right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44" fontId="11" fillId="0" borderId="13" xfId="2" applyFont="1" applyBorder="1"/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4" fontId="9" fillId="0" borderId="1" xfId="2" applyFont="1" applyBorder="1" applyAlignment="1">
      <alignment wrapText="1"/>
    </xf>
    <xf numFmtId="0" fontId="9" fillId="2" borderId="2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44" fontId="9" fillId="0" borderId="1" xfId="2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wrapText="1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44" fontId="9" fillId="0" borderId="1" xfId="29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9" fillId="2" borderId="11" xfId="0" applyFont="1" applyFill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1" fillId="0" borderId="4" xfId="0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9" fillId="4" borderId="1" xfId="0" applyNumberFormat="1" applyFont="1" applyFill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4" fontId="0" fillId="0" borderId="0" xfId="29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0" applyNumberFormat="1" applyAlignment="1">
      <alignment vertical="center"/>
    </xf>
    <xf numFmtId="0" fontId="9" fillId="0" borderId="0" xfId="0" applyFont="1" applyAlignment="1">
      <alignment horizontal="center" vertical="center"/>
    </xf>
    <xf numFmtId="44" fontId="10" fillId="5" borderId="0" xfId="29" applyFont="1" applyFill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44" fontId="0" fillId="0" borderId="0" xfId="29" applyFont="1" applyFill="1" applyAlignment="1">
      <alignment horizontal="center" vertical="center"/>
    </xf>
    <xf numFmtId="0" fontId="15" fillId="0" borderId="0" xfId="30" applyFont="1" applyAlignment="1">
      <alignment horizontal="center" vertical="center"/>
    </xf>
    <xf numFmtId="0" fontId="14" fillId="0" borderId="0" xfId="30" applyFont="1" applyAlignment="1">
      <alignment horizontal="justify" vertical="center" wrapText="1"/>
    </xf>
    <xf numFmtId="1" fontId="14" fillId="0" borderId="0" xfId="30" applyNumberFormat="1" applyFont="1" applyAlignment="1">
      <alignment horizontal="center" vertical="center"/>
    </xf>
    <xf numFmtId="0" fontId="14" fillId="0" borderId="0" xfId="30" applyFont="1" applyAlignment="1">
      <alignment horizontal="center" vertical="center"/>
    </xf>
    <xf numFmtId="170" fontId="14" fillId="0" borderId="0" xfId="30" applyNumberFormat="1" applyFont="1" applyAlignment="1">
      <alignment vertical="center"/>
    </xf>
    <xf numFmtId="0" fontId="15" fillId="0" borderId="22" xfId="30" applyFont="1" applyBorder="1" applyAlignment="1">
      <alignment horizontal="center" vertical="center" wrapText="1"/>
    </xf>
    <xf numFmtId="1" fontId="15" fillId="0" borderId="22" xfId="30" applyNumberFormat="1" applyFont="1" applyBorder="1" applyAlignment="1">
      <alignment horizontal="center" vertical="center" wrapText="1"/>
    </xf>
    <xf numFmtId="170" fontId="15" fillId="0" borderId="22" xfId="30" applyNumberFormat="1" applyFont="1" applyBorder="1" applyAlignment="1">
      <alignment horizontal="center" vertical="center" wrapText="1"/>
    </xf>
    <xf numFmtId="170" fontId="15" fillId="0" borderId="23" xfId="30" applyNumberFormat="1" applyFont="1" applyBorder="1" applyAlignment="1">
      <alignment horizontal="center" vertical="center" wrapText="1"/>
    </xf>
    <xf numFmtId="170" fontId="15" fillId="0" borderId="19" xfId="30" applyNumberFormat="1" applyFont="1" applyBorder="1" applyAlignment="1">
      <alignment horizontal="center" vertical="center" wrapText="1"/>
    </xf>
    <xf numFmtId="170" fontId="15" fillId="0" borderId="24" xfId="30" applyNumberFormat="1" applyFont="1" applyBorder="1" applyAlignment="1">
      <alignment horizontal="center" vertical="center" wrapText="1"/>
    </xf>
    <xf numFmtId="49" fontId="7" fillId="3" borderId="27" xfId="30" applyNumberFormat="1" applyFont="1" applyFill="1" applyBorder="1" applyAlignment="1">
      <alignment horizontal="left" vertical="center" wrapText="1"/>
    </xf>
    <xf numFmtId="1" fontId="7" fillId="3" borderId="27" xfId="30" applyNumberFormat="1" applyFont="1" applyFill="1" applyBorder="1" applyAlignment="1">
      <alignment horizontal="center" vertical="center"/>
    </xf>
    <xf numFmtId="0" fontId="7" fillId="3" borderId="27" xfId="30" applyFont="1" applyFill="1" applyBorder="1" applyAlignment="1">
      <alignment horizontal="center" vertical="center"/>
    </xf>
    <xf numFmtId="169" fontId="7" fillId="3" borderId="27" xfId="30" applyNumberFormat="1" applyFont="1" applyFill="1" applyBorder="1" applyAlignment="1">
      <alignment horizontal="center" vertical="center"/>
    </xf>
    <xf numFmtId="169" fontId="7" fillId="3" borderId="28" xfId="30" applyNumberFormat="1" applyFont="1" applyFill="1" applyBorder="1" applyAlignment="1">
      <alignment horizontal="center" vertical="center"/>
    </xf>
    <xf numFmtId="169" fontId="7" fillId="3" borderId="29" xfId="30" applyNumberFormat="1" applyFont="1" applyFill="1" applyBorder="1" applyAlignment="1">
      <alignment horizontal="center" vertical="center"/>
    </xf>
    <xf numFmtId="169" fontId="7" fillId="3" borderId="26" xfId="30" applyNumberFormat="1" applyFont="1" applyFill="1" applyBorder="1" applyAlignment="1">
      <alignment horizontal="center" vertical="center"/>
    </xf>
    <xf numFmtId="49" fontId="7" fillId="0" borderId="30" xfId="30" applyNumberFormat="1" applyFont="1" applyBorder="1" applyAlignment="1">
      <alignment horizontal="left" vertical="center" wrapText="1"/>
    </xf>
    <xf numFmtId="1" fontId="7" fillId="0" borderId="30" xfId="30" applyNumberFormat="1" applyFont="1" applyBorder="1" applyAlignment="1">
      <alignment horizontal="center" vertical="center"/>
    </xf>
    <xf numFmtId="0" fontId="7" fillId="0" borderId="30" xfId="30" applyFont="1" applyBorder="1" applyAlignment="1">
      <alignment horizontal="center" vertical="center"/>
    </xf>
    <xf numFmtId="169" fontId="7" fillId="0" borderId="30" xfId="30" applyNumberFormat="1" applyFont="1" applyBorder="1" applyAlignment="1">
      <alignment horizontal="center" vertical="center"/>
    </xf>
    <xf numFmtId="169" fontId="7" fillId="0" borderId="31" xfId="30" applyNumberFormat="1" applyFont="1" applyBorder="1" applyAlignment="1">
      <alignment horizontal="center" vertical="center"/>
    </xf>
    <xf numFmtId="169" fontId="7" fillId="0" borderId="15" xfId="30" applyNumberFormat="1" applyFont="1" applyBorder="1" applyAlignment="1">
      <alignment horizontal="center" vertical="center"/>
    </xf>
    <xf numFmtId="0" fontId="7" fillId="3" borderId="27" xfId="30" applyFont="1" applyFill="1" applyBorder="1" applyAlignment="1">
      <alignment horizontal="left" vertical="center" wrapText="1"/>
    </xf>
    <xf numFmtId="0" fontId="7" fillId="0" borderId="30" xfId="30" applyFont="1" applyBorder="1" applyAlignment="1">
      <alignment horizontal="left" vertical="center" wrapText="1"/>
    </xf>
    <xf numFmtId="0" fontId="7" fillId="0" borderId="22" xfId="30" applyFont="1" applyBorder="1" applyAlignment="1">
      <alignment horizontal="left" vertical="center" wrapText="1"/>
    </xf>
    <xf numFmtId="1" fontId="7" fillId="0" borderId="22" xfId="30" applyNumberFormat="1" applyFont="1" applyBorder="1" applyAlignment="1">
      <alignment horizontal="center" vertical="center"/>
    </xf>
    <xf numFmtId="0" fontId="7" fillId="0" borderId="22" xfId="30" applyFont="1" applyBorder="1" applyAlignment="1">
      <alignment horizontal="center" vertical="center"/>
    </xf>
    <xf numFmtId="169" fontId="7" fillId="0" borderId="22" xfId="30" applyNumberFormat="1" applyFont="1" applyBorder="1" applyAlignment="1">
      <alignment horizontal="center" vertical="center"/>
    </xf>
    <xf numFmtId="169" fontId="7" fillId="0" borderId="23" xfId="30" applyNumberFormat="1" applyFont="1" applyBorder="1" applyAlignment="1">
      <alignment horizontal="center" vertical="center"/>
    </xf>
    <xf numFmtId="169" fontId="7" fillId="0" borderId="21" xfId="30" applyNumberFormat="1" applyFont="1" applyBorder="1" applyAlignment="1">
      <alignment horizontal="center" vertical="center"/>
    </xf>
    <xf numFmtId="169" fontId="7" fillId="3" borderId="22" xfId="30" applyNumberFormat="1" applyFont="1" applyFill="1" applyBorder="1" applyAlignment="1">
      <alignment horizontal="center" vertical="center"/>
    </xf>
    <xf numFmtId="0" fontId="7" fillId="0" borderId="27" xfId="30" applyFont="1" applyBorder="1" applyAlignment="1">
      <alignment horizontal="left" vertical="center" wrapText="1"/>
    </xf>
    <xf numFmtId="1" fontId="7" fillId="0" borderId="27" xfId="30" applyNumberFormat="1" applyFont="1" applyBorder="1" applyAlignment="1">
      <alignment horizontal="center" vertical="center"/>
    </xf>
    <xf numFmtId="0" fontId="7" fillId="0" borderId="27" xfId="30" applyFont="1" applyBorder="1" applyAlignment="1">
      <alignment horizontal="center" vertical="center"/>
    </xf>
    <xf numFmtId="169" fontId="7" fillId="0" borderId="27" xfId="30" applyNumberFormat="1" applyFont="1" applyBorder="1" applyAlignment="1">
      <alignment horizontal="center" vertical="center"/>
    </xf>
    <xf numFmtId="169" fontId="7" fillId="0" borderId="28" xfId="30" applyNumberFormat="1" applyFont="1" applyBorder="1" applyAlignment="1">
      <alignment horizontal="center" vertical="center"/>
    </xf>
    <xf numFmtId="169" fontId="7" fillId="0" borderId="26" xfId="30" applyNumberFormat="1" applyFont="1" applyBorder="1" applyAlignment="1">
      <alignment horizontal="center" vertical="center"/>
    </xf>
    <xf numFmtId="0" fontId="7" fillId="0" borderId="1" xfId="30" applyFont="1" applyBorder="1" applyAlignment="1">
      <alignment horizontal="left" vertical="center" wrapText="1"/>
    </xf>
    <xf numFmtId="1" fontId="7" fillId="0" borderId="1" xfId="30" applyNumberFormat="1" applyFont="1" applyBorder="1" applyAlignment="1">
      <alignment horizontal="center" vertical="center"/>
    </xf>
    <xf numFmtId="0" fontId="7" fillId="0" borderId="1" xfId="30" applyFont="1" applyBorder="1" applyAlignment="1">
      <alignment horizontal="center" vertical="center"/>
    </xf>
    <xf numFmtId="169" fontId="7" fillId="0" borderId="1" xfId="30" applyNumberFormat="1" applyFont="1" applyBorder="1" applyAlignment="1">
      <alignment horizontal="center" vertical="center"/>
    </xf>
    <xf numFmtId="169" fontId="7" fillId="0" borderId="34" xfId="30" applyNumberFormat="1" applyFont="1" applyBorder="1" applyAlignment="1">
      <alignment horizontal="center" vertical="center"/>
    </xf>
    <xf numFmtId="169" fontId="7" fillId="0" borderId="33" xfId="30" applyNumberFormat="1" applyFont="1" applyBorder="1" applyAlignment="1">
      <alignment horizontal="center" vertical="center"/>
    </xf>
    <xf numFmtId="169" fontId="7" fillId="3" borderId="1" xfId="30" applyNumberFormat="1" applyFont="1" applyFill="1" applyBorder="1" applyAlignment="1">
      <alignment horizontal="center" vertical="center"/>
    </xf>
    <xf numFmtId="0" fontId="7" fillId="3" borderId="30" xfId="30" applyFont="1" applyFill="1" applyBorder="1" applyAlignment="1">
      <alignment horizontal="left" vertical="center" wrapText="1"/>
    </xf>
    <xf numFmtId="1" fontId="7" fillId="3" borderId="30" xfId="30" applyNumberFormat="1" applyFont="1" applyFill="1" applyBorder="1" applyAlignment="1">
      <alignment horizontal="center" vertical="center"/>
    </xf>
    <xf numFmtId="0" fontId="7" fillId="3" borderId="30" xfId="30" applyFont="1" applyFill="1" applyBorder="1" applyAlignment="1">
      <alignment horizontal="center" vertical="center"/>
    </xf>
    <xf numFmtId="169" fontId="7" fillId="3" borderId="30" xfId="30" applyNumberFormat="1" applyFont="1" applyFill="1" applyBorder="1" applyAlignment="1">
      <alignment horizontal="center" vertical="center"/>
    </xf>
    <xf numFmtId="169" fontId="7" fillId="3" borderId="31" xfId="30" applyNumberFormat="1" applyFont="1" applyFill="1" applyBorder="1" applyAlignment="1">
      <alignment horizontal="center" vertical="center"/>
    </xf>
    <xf numFmtId="169" fontId="7" fillId="3" borderId="15" xfId="30" applyNumberFormat="1" applyFont="1" applyFill="1" applyBorder="1" applyAlignment="1">
      <alignment horizontal="center" vertical="center"/>
    </xf>
    <xf numFmtId="0" fontId="7" fillId="3" borderId="1" xfId="30" applyFont="1" applyFill="1" applyBorder="1" applyAlignment="1">
      <alignment horizontal="left" vertical="center" wrapText="1"/>
    </xf>
    <xf numFmtId="1" fontId="7" fillId="3" borderId="1" xfId="30" applyNumberFormat="1" applyFont="1" applyFill="1" applyBorder="1" applyAlignment="1">
      <alignment horizontal="center" vertical="center"/>
    </xf>
    <xf numFmtId="0" fontId="7" fillId="3" borderId="1" xfId="30" applyFont="1" applyFill="1" applyBorder="1" applyAlignment="1">
      <alignment horizontal="center" vertical="center"/>
    </xf>
    <xf numFmtId="169" fontId="7" fillId="3" borderId="34" xfId="30" applyNumberFormat="1" applyFont="1" applyFill="1" applyBorder="1" applyAlignment="1">
      <alignment horizontal="center" vertical="center"/>
    </xf>
    <xf numFmtId="169" fontId="7" fillId="3" borderId="33" xfId="30" applyNumberFormat="1" applyFont="1" applyFill="1" applyBorder="1" applyAlignment="1">
      <alignment horizontal="center" vertical="center"/>
    </xf>
    <xf numFmtId="0" fontId="7" fillId="3" borderId="22" xfId="30" applyFont="1" applyFill="1" applyBorder="1" applyAlignment="1">
      <alignment horizontal="left" vertical="center" wrapText="1"/>
    </xf>
    <xf numFmtId="1" fontId="7" fillId="3" borderId="22" xfId="30" applyNumberFormat="1" applyFont="1" applyFill="1" applyBorder="1" applyAlignment="1">
      <alignment horizontal="center" vertical="center"/>
    </xf>
    <xf numFmtId="0" fontId="7" fillId="3" borderId="22" xfId="30" applyFont="1" applyFill="1" applyBorder="1" applyAlignment="1">
      <alignment horizontal="center" vertical="center"/>
    </xf>
    <xf numFmtId="169" fontId="7" fillId="3" borderId="23" xfId="30" applyNumberFormat="1" applyFont="1" applyFill="1" applyBorder="1" applyAlignment="1">
      <alignment horizontal="center" vertical="center"/>
    </xf>
    <xf numFmtId="169" fontId="7" fillId="3" borderId="21" xfId="3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5" fillId="0" borderId="38" xfId="30" applyFont="1" applyBorder="1" applyAlignment="1">
      <alignment horizontal="center" vertical="center" wrapText="1"/>
    </xf>
    <xf numFmtId="0" fontId="7" fillId="3" borderId="39" xfId="30" applyFont="1" applyFill="1" applyBorder="1" applyAlignment="1">
      <alignment horizontal="center" vertical="center"/>
    </xf>
    <xf numFmtId="0" fontId="7" fillId="0" borderId="40" xfId="30" applyFont="1" applyBorder="1" applyAlignment="1">
      <alignment horizontal="center" vertical="center"/>
    </xf>
    <xf numFmtId="0" fontId="7" fillId="6" borderId="39" xfId="30" applyFont="1" applyFill="1" applyBorder="1" applyAlignment="1">
      <alignment horizontal="center" vertical="center"/>
    </xf>
    <xf numFmtId="0" fontId="7" fillId="0" borderId="38" xfId="30" applyFont="1" applyBorder="1" applyAlignment="1">
      <alignment horizontal="center" vertical="center"/>
    </xf>
    <xf numFmtId="0" fontId="7" fillId="0" borderId="39" xfId="30" applyFont="1" applyBorder="1" applyAlignment="1">
      <alignment horizontal="center" vertical="center"/>
    </xf>
    <xf numFmtId="0" fontId="7" fillId="0" borderId="4" xfId="30" applyFont="1" applyBorder="1" applyAlignment="1">
      <alignment horizontal="center" vertical="center"/>
    </xf>
    <xf numFmtId="0" fontId="7" fillId="3" borderId="40" xfId="30" applyFont="1" applyFill="1" applyBorder="1" applyAlignment="1">
      <alignment horizontal="center" vertical="center"/>
    </xf>
    <xf numFmtId="0" fontId="7" fillId="3" borderId="4" xfId="30" applyFont="1" applyFill="1" applyBorder="1" applyAlignment="1">
      <alignment horizontal="center" vertical="center"/>
    </xf>
    <xf numFmtId="0" fontId="7" fillId="3" borderId="38" xfId="3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3" borderId="41" xfId="30" applyFont="1" applyFill="1" applyBorder="1" applyAlignment="1">
      <alignment horizontal="center" vertical="center"/>
    </xf>
    <xf numFmtId="0" fontId="7" fillId="3" borderId="36" xfId="30" applyFont="1" applyFill="1" applyBorder="1" applyAlignment="1">
      <alignment horizontal="left" vertical="center" wrapText="1"/>
    </xf>
    <xf numFmtId="1" fontId="7" fillId="3" borderId="36" xfId="30" applyNumberFormat="1" applyFont="1" applyFill="1" applyBorder="1" applyAlignment="1">
      <alignment horizontal="center" vertical="center"/>
    </xf>
    <xf numFmtId="0" fontId="7" fillId="3" borderId="36" xfId="30" applyFont="1" applyFill="1" applyBorder="1" applyAlignment="1">
      <alignment horizontal="center" vertical="center"/>
    </xf>
    <xf numFmtId="169" fontId="7" fillId="3" borderId="36" xfId="30" applyNumberFormat="1" applyFont="1" applyFill="1" applyBorder="1" applyAlignment="1">
      <alignment horizontal="center" vertical="center"/>
    </xf>
    <xf numFmtId="169" fontId="7" fillId="3" borderId="37" xfId="30" applyNumberFormat="1" applyFont="1" applyFill="1" applyBorder="1" applyAlignment="1">
      <alignment horizontal="center" vertical="center"/>
    </xf>
    <xf numFmtId="169" fontId="7" fillId="3" borderId="35" xfId="3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44" fontId="10" fillId="7" borderId="0" xfId="29" applyFont="1" applyFill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44" fontId="22" fillId="5" borderId="0" xfId="29" applyFont="1" applyFill="1" applyAlignment="1">
      <alignment horizontal="center" vertical="center"/>
    </xf>
    <xf numFmtId="44" fontId="22" fillId="0" borderId="0" xfId="29" applyFont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44" fontId="13" fillId="0" borderId="0" xfId="29" applyFont="1" applyFill="1" applyBorder="1"/>
    <xf numFmtId="44" fontId="13" fillId="0" borderId="0" xfId="0" applyNumberFormat="1" applyFont="1"/>
    <xf numFmtId="0" fontId="2" fillId="2" borderId="43" xfId="0" applyFont="1" applyFill="1" applyBorder="1"/>
    <xf numFmtId="44" fontId="9" fillId="8" borderId="1" xfId="29" applyFont="1" applyFill="1" applyBorder="1" applyAlignment="1">
      <alignment horizontal="center" vertical="center"/>
    </xf>
    <xf numFmtId="44" fontId="9" fillId="9" borderId="1" xfId="29" applyFont="1" applyFill="1" applyBorder="1" applyAlignment="1">
      <alignment horizontal="center" vertical="center"/>
    </xf>
    <xf numFmtId="44" fontId="9" fillId="10" borderId="1" xfId="29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 wrapText="1"/>
    </xf>
    <xf numFmtId="0" fontId="9" fillId="9" borderId="1" xfId="0" applyFont="1" applyFill="1" applyBorder="1"/>
    <xf numFmtId="44" fontId="9" fillId="9" borderId="1" xfId="29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wrapText="1"/>
    </xf>
    <xf numFmtId="0" fontId="9" fillId="9" borderId="1" xfId="0" applyFont="1" applyFill="1" applyBorder="1" applyAlignment="1">
      <alignment horizontal="center" vertical="center" wrapText="1"/>
    </xf>
    <xf numFmtId="44" fontId="9" fillId="0" borderId="1" xfId="29" applyFont="1" applyFill="1" applyBorder="1"/>
    <xf numFmtId="44" fontId="9" fillId="0" borderId="1" xfId="29" applyFont="1" applyFill="1" applyBorder="1" applyAlignment="1">
      <alignment vertical="center"/>
    </xf>
    <xf numFmtId="0" fontId="9" fillId="11" borderId="1" xfId="0" applyFont="1" applyFill="1" applyBorder="1" applyAlignment="1">
      <alignment wrapText="1"/>
    </xf>
    <xf numFmtId="44" fontId="11" fillId="0" borderId="13" xfId="2" applyFont="1" applyFill="1" applyBorder="1"/>
    <xf numFmtId="0" fontId="12" fillId="9" borderId="1" xfId="0" applyFont="1" applyFill="1" applyBorder="1" applyAlignment="1">
      <alignment wrapText="1"/>
    </xf>
    <xf numFmtId="44" fontId="9" fillId="11" borderId="1" xfId="2" applyFont="1" applyFill="1" applyBorder="1" applyAlignment="1">
      <alignment vertical="center"/>
    </xf>
    <xf numFmtId="0" fontId="9" fillId="11" borderId="1" xfId="0" applyFont="1" applyFill="1" applyBorder="1" applyAlignment="1">
      <alignment vertical="center" wrapText="1"/>
    </xf>
    <xf numFmtId="44" fontId="9" fillId="9" borderId="1" xfId="29" applyFont="1" applyFill="1" applyBorder="1" applyAlignment="1">
      <alignment horizontal="center" vertical="center" wrapText="1"/>
    </xf>
    <xf numFmtId="44" fontId="9" fillId="0" borderId="1" xfId="29" applyFont="1" applyFill="1" applyBorder="1" applyAlignment="1">
      <alignment wrapText="1"/>
    </xf>
    <xf numFmtId="0" fontId="24" fillId="0" borderId="0" xfId="0" applyFont="1"/>
    <xf numFmtId="0" fontId="25" fillId="3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168" fontId="24" fillId="0" borderId="1" xfId="0" applyNumberFormat="1" applyFont="1" applyBorder="1" applyAlignment="1">
      <alignment horizontal="center" vertical="center"/>
    </xf>
    <xf numFmtId="9" fontId="24" fillId="0" borderId="1" xfId="1" applyFont="1" applyBorder="1" applyAlignment="1">
      <alignment horizontal="center" vertical="center"/>
    </xf>
    <xf numFmtId="44" fontId="24" fillId="0" borderId="1" xfId="2" applyFont="1" applyBorder="1" applyAlignment="1">
      <alignment wrapText="1"/>
    </xf>
    <xf numFmtId="44" fontId="25" fillId="0" borderId="1" xfId="2" applyFont="1" applyBorder="1"/>
    <xf numFmtId="0" fontId="24" fillId="9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44" fontId="24" fillId="9" borderId="1" xfId="29" applyFont="1" applyFill="1" applyBorder="1" applyAlignment="1">
      <alignment horizontal="center" vertical="center"/>
    </xf>
    <xf numFmtId="44" fontId="24" fillId="0" borderId="1" xfId="2" applyFont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44" fontId="24" fillId="0" borderId="1" xfId="29" applyFont="1" applyFill="1" applyBorder="1" applyAlignment="1">
      <alignment wrapText="1"/>
    </xf>
    <xf numFmtId="0" fontId="26" fillId="4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44" fontId="24" fillId="0" borderId="1" xfId="29" applyFont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44" fontId="24" fillId="0" borderId="1" xfId="29" applyFont="1" applyFill="1" applyBorder="1"/>
    <xf numFmtId="44" fontId="24" fillId="9" borderId="1" xfId="29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vertical="center" wrapText="1"/>
    </xf>
    <xf numFmtId="0" fontId="24" fillId="4" borderId="1" xfId="0" applyFont="1" applyFill="1" applyBorder="1" applyAlignment="1">
      <alignment horizontal="center" vertical="center" wrapText="1"/>
    </xf>
    <xf numFmtId="44" fontId="24" fillId="4" borderId="1" xfId="29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wrapText="1"/>
    </xf>
    <xf numFmtId="0" fontId="26" fillId="0" borderId="1" xfId="0" applyFont="1" applyBorder="1" applyAlignment="1">
      <alignment wrapText="1"/>
    </xf>
    <xf numFmtId="0" fontId="24" fillId="11" borderId="1" xfId="0" applyFont="1" applyFill="1" applyBorder="1" applyAlignment="1">
      <alignment wrapText="1"/>
    </xf>
    <xf numFmtId="1" fontId="24" fillId="0" borderId="1" xfId="0" applyNumberFormat="1" applyFont="1" applyBorder="1" applyAlignment="1">
      <alignment horizontal="center" vertical="center"/>
    </xf>
    <xf numFmtId="0" fontId="24" fillId="2" borderId="10" xfId="0" applyFont="1" applyFill="1" applyBorder="1" applyAlignment="1">
      <alignment horizontal="right" vertical="center"/>
    </xf>
    <xf numFmtId="0" fontId="24" fillId="2" borderId="12" xfId="0" applyFont="1" applyFill="1" applyBorder="1" applyAlignment="1">
      <alignment horizontal="right" vertical="center"/>
    </xf>
    <xf numFmtId="0" fontId="24" fillId="2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3" xfId="0" applyFont="1" applyBorder="1" applyAlignment="1">
      <alignment horizontal="center" vertical="center"/>
    </xf>
    <xf numFmtId="44" fontId="25" fillId="0" borderId="13" xfId="2" applyFont="1" applyBorder="1"/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4" fontId="24" fillId="0" borderId="1" xfId="2" applyFont="1" applyBorder="1" applyAlignment="1">
      <alignment vertical="center"/>
    </xf>
    <xf numFmtId="0" fontId="24" fillId="11" borderId="1" xfId="0" applyFont="1" applyFill="1" applyBorder="1" applyAlignment="1">
      <alignment vertical="center" wrapText="1"/>
    </xf>
    <xf numFmtId="44" fontId="24" fillId="11" borderId="1" xfId="2" applyFont="1" applyFill="1" applyBorder="1" applyAlignment="1">
      <alignment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3" xfId="0" applyFont="1" applyFill="1" applyBorder="1" applyAlignment="1">
      <alignment horizontal="right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right" vertical="center"/>
    </xf>
    <xf numFmtId="0" fontId="24" fillId="0" borderId="2" xfId="0" applyFont="1" applyBorder="1" applyAlignment="1">
      <alignment vertical="center"/>
    </xf>
    <xf numFmtId="0" fontId="25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top" wrapText="1"/>
    </xf>
    <xf numFmtId="0" fontId="24" fillId="4" borderId="1" xfId="0" applyFont="1" applyFill="1" applyBorder="1" applyAlignment="1">
      <alignment wrapText="1"/>
    </xf>
    <xf numFmtId="0" fontId="24" fillId="12" borderId="0" xfId="0" applyFont="1" applyFill="1"/>
    <xf numFmtId="1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4" fillId="9" borderId="1" xfId="0" applyFont="1" applyFill="1" applyBorder="1"/>
    <xf numFmtId="0" fontId="24" fillId="2" borderId="11" xfId="0" applyFont="1" applyFill="1" applyBorder="1" applyAlignment="1">
      <alignment horizontal="right" vertical="center"/>
    </xf>
    <xf numFmtId="1" fontId="25" fillId="0" borderId="13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right" vertical="center"/>
    </xf>
    <xf numFmtId="1" fontId="25" fillId="0" borderId="2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vertical="center"/>
    </xf>
    <xf numFmtId="0" fontId="25" fillId="0" borderId="7" xfId="0" applyFont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Border="1" applyAlignment="1">
      <alignment horizontal="center"/>
    </xf>
    <xf numFmtId="1" fontId="24" fillId="4" borderId="1" xfId="0" applyNumberFormat="1" applyFont="1" applyFill="1" applyBorder="1" applyAlignment="1">
      <alignment horizontal="center" vertical="center"/>
    </xf>
    <xf numFmtId="44" fontId="25" fillId="0" borderId="13" xfId="2" applyFont="1" applyFill="1" applyBorder="1"/>
    <xf numFmtId="0" fontId="24" fillId="0" borderId="0" xfId="0" applyFont="1" applyAlignment="1">
      <alignment horizontal="center"/>
    </xf>
    <xf numFmtId="0" fontId="24" fillId="10" borderId="1" xfId="0" applyFont="1" applyFill="1" applyBorder="1" applyAlignment="1">
      <alignment vertical="center" wrapText="1"/>
    </xf>
    <xf numFmtId="44" fontId="24" fillId="10" borderId="1" xfId="29" applyFont="1" applyFill="1" applyBorder="1" applyAlignment="1">
      <alignment horizontal="center" vertical="center"/>
    </xf>
    <xf numFmtId="44" fontId="24" fillId="8" borderId="1" xfId="29" applyFont="1" applyFill="1" applyBorder="1" applyAlignment="1">
      <alignment horizontal="center" vertical="center"/>
    </xf>
    <xf numFmtId="44" fontId="24" fillId="4" borderId="1" xfId="29" applyFont="1" applyFill="1" applyBorder="1"/>
    <xf numFmtId="44" fontId="24" fillId="9" borderId="1" xfId="29" applyFont="1" applyFill="1" applyBorder="1"/>
    <xf numFmtId="0" fontId="24" fillId="4" borderId="1" xfId="0" applyFont="1" applyFill="1" applyBorder="1" applyAlignment="1">
      <alignment horizontal="center"/>
    </xf>
    <xf numFmtId="44" fontId="24" fillId="0" borderId="1" xfId="29" applyFont="1" applyBorder="1"/>
    <xf numFmtId="0" fontId="26" fillId="0" borderId="1" xfId="0" applyFont="1" applyBorder="1" applyAlignment="1">
      <alignment horizontal="left" vertical="center" wrapText="1"/>
    </xf>
    <xf numFmtId="44" fontId="24" fillId="9" borderId="1" xfId="29" applyFont="1" applyFill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44" fontId="24" fillId="0" borderId="1" xfId="29" applyFont="1" applyFill="1" applyBorder="1" applyAlignment="1">
      <alignment vertical="center"/>
    </xf>
    <xf numFmtId="44" fontId="24" fillId="0" borderId="1" xfId="29" applyFont="1" applyBorder="1" applyAlignment="1">
      <alignment horizontal="right" vertical="center"/>
    </xf>
    <xf numFmtId="44" fontId="24" fillId="0" borderId="1" xfId="2" applyFont="1" applyBorder="1" applyAlignment="1">
      <alignment vertical="center" wrapText="1"/>
    </xf>
    <xf numFmtId="0" fontId="24" fillId="4" borderId="1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left" vertical="center" wrapText="1"/>
    </xf>
    <xf numFmtId="0" fontId="26" fillId="9" borderId="1" xfId="0" applyFont="1" applyFill="1" applyBorder="1" applyAlignment="1">
      <alignment wrapText="1"/>
    </xf>
    <xf numFmtId="44" fontId="24" fillId="0" borderId="1" xfId="29" applyFont="1" applyFill="1" applyBorder="1" applyAlignment="1">
      <alignment horizontal="center" vertical="center"/>
    </xf>
    <xf numFmtId="0" fontId="24" fillId="0" borderId="3" xfId="0" applyFont="1" applyBorder="1" applyAlignment="1">
      <alignment wrapText="1"/>
    </xf>
    <xf numFmtId="0" fontId="24" fillId="0" borderId="3" xfId="0" applyFont="1" applyBorder="1" applyAlignment="1">
      <alignment horizontal="center" vertical="center"/>
    </xf>
    <xf numFmtId="44" fontId="24" fillId="0" borderId="4" xfId="2" applyFont="1" applyBorder="1" applyAlignment="1">
      <alignment vertical="center"/>
    </xf>
    <xf numFmtId="0" fontId="24" fillId="2" borderId="8" xfId="0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2" borderId="9" xfId="0" applyFont="1" applyFill="1" applyBorder="1"/>
    <xf numFmtId="0" fontId="24" fillId="0" borderId="6" xfId="0" applyFont="1" applyBorder="1" applyAlignment="1">
      <alignment horizontal="center" vertical="center"/>
    </xf>
    <xf numFmtId="44" fontId="25" fillId="3" borderId="1" xfId="0" applyNumberFormat="1" applyFont="1" applyFill="1" applyBorder="1"/>
    <xf numFmtId="0" fontId="24" fillId="2" borderId="43" xfId="0" applyFont="1" applyFill="1" applyBorder="1"/>
    <xf numFmtId="0" fontId="24" fillId="2" borderId="0" xfId="0" applyFont="1" applyFill="1"/>
    <xf numFmtId="0" fontId="24" fillId="2" borderId="10" xfId="0" applyFont="1" applyFill="1" applyBorder="1" applyAlignment="1">
      <alignment vertical="center"/>
    </xf>
    <xf numFmtId="0" fontId="24" fillId="2" borderId="11" xfId="0" applyFont="1" applyFill="1" applyBorder="1" applyAlignment="1">
      <alignment vertical="center"/>
    </xf>
    <xf numFmtId="0" fontId="24" fillId="2" borderId="12" xfId="0" applyFont="1" applyFill="1" applyBorder="1"/>
    <xf numFmtId="0" fontId="24" fillId="0" borderId="6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11" xfId="0" applyFont="1" applyFill="1" applyBorder="1"/>
    <xf numFmtId="1" fontId="24" fillId="2" borderId="0" xfId="0" applyNumberFormat="1" applyFont="1" applyFill="1" applyAlignment="1">
      <alignment horizontal="center" vertical="center"/>
    </xf>
    <xf numFmtId="1" fontId="25" fillId="3" borderId="1" xfId="0" applyNumberFormat="1" applyFont="1" applyFill="1" applyBorder="1" applyAlignment="1">
      <alignment horizontal="center" vertical="center"/>
    </xf>
    <xf numFmtId="1" fontId="24" fillId="2" borderId="11" xfId="0" applyNumberFormat="1" applyFont="1" applyFill="1" applyBorder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3" borderId="1" xfId="0" applyFont="1" applyFill="1" applyBorder="1"/>
    <xf numFmtId="0" fontId="25" fillId="0" borderId="2" xfId="0" applyFont="1" applyBorder="1"/>
    <xf numFmtId="0" fontId="25" fillId="0" borderId="4" xfId="0" applyFont="1" applyBorder="1"/>
    <xf numFmtId="0" fontId="25" fillId="0" borderId="5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5" fillId="3" borderId="2" xfId="0" applyFont="1" applyFill="1" applyBorder="1"/>
    <xf numFmtId="0" fontId="25" fillId="3" borderId="3" xfId="0" applyFont="1" applyFill="1" applyBorder="1"/>
    <xf numFmtId="0" fontId="25" fillId="3" borderId="4" xfId="0" applyFont="1" applyFill="1" applyBorder="1"/>
    <xf numFmtId="9" fontId="25" fillId="2" borderId="5" xfId="0" applyNumberFormat="1" applyFont="1" applyFill="1" applyBorder="1" applyAlignment="1">
      <alignment vertical="center"/>
    </xf>
    <xf numFmtId="9" fontId="25" fillId="2" borderId="7" xfId="0" applyNumberFormat="1" applyFont="1" applyFill="1" applyBorder="1" applyAlignment="1">
      <alignment vertical="center"/>
    </xf>
    <xf numFmtId="0" fontId="25" fillId="0" borderId="0" xfId="0" applyFont="1"/>
    <xf numFmtId="171" fontId="25" fillId="0" borderId="1" xfId="29" applyNumberFormat="1" applyFont="1" applyBorder="1" applyAlignment="1">
      <alignment horizontal="center" vertical="center"/>
    </xf>
    <xf numFmtId="171" fontId="25" fillId="0" borderId="1" xfId="29" applyNumberFormat="1" applyFont="1" applyBorder="1" applyAlignment="1">
      <alignment horizontal="center"/>
    </xf>
    <xf numFmtId="171" fontId="25" fillId="0" borderId="0" xfId="29" applyNumberFormat="1" applyFont="1"/>
    <xf numFmtId="171" fontId="25" fillId="0" borderId="0" xfId="29" applyNumberFormat="1" applyFont="1" applyAlignment="1">
      <alignment horizontal="right" vertical="center"/>
    </xf>
    <xf numFmtId="0" fontId="25" fillId="3" borderId="1" xfId="0" applyFont="1" applyFill="1" applyBorder="1" applyAlignment="1">
      <alignment horizontal="left" vertical="center"/>
    </xf>
    <xf numFmtId="0" fontId="25" fillId="3" borderId="8" xfId="0" applyFont="1" applyFill="1" applyBorder="1"/>
    <xf numFmtId="0" fontId="25" fillId="3" borderId="10" xfId="0" applyFont="1" applyFill="1" applyBorder="1"/>
    <xf numFmtId="0" fontId="25" fillId="3" borderId="5" xfId="0" applyFont="1" applyFill="1" applyBorder="1"/>
    <xf numFmtId="0" fontId="24" fillId="11" borderId="3" xfId="0" applyFont="1" applyFill="1" applyBorder="1" applyAlignment="1">
      <alignment wrapText="1"/>
    </xf>
    <xf numFmtId="0" fontId="24" fillId="0" borderId="4" xfId="0" applyFont="1" applyBorder="1" applyAlignment="1">
      <alignment wrapText="1"/>
    </xf>
    <xf numFmtId="0" fontId="24" fillId="9" borderId="3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4" fillId="0" borderId="11" xfId="0" applyFont="1" applyBorder="1" applyAlignment="1">
      <alignment wrapText="1"/>
    </xf>
    <xf numFmtId="0" fontId="26" fillId="0" borderId="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3" xfId="0" applyFont="1" applyBorder="1" applyAlignment="1">
      <alignment horizontal="left" vertical="top" wrapText="1"/>
    </xf>
    <xf numFmtId="0" fontId="24" fillId="9" borderId="0" xfId="0" applyFont="1" applyFill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9" borderId="6" xfId="0" applyFont="1" applyFill="1" applyBorder="1" applyAlignment="1">
      <alignment wrapText="1"/>
    </xf>
    <xf numFmtId="0" fontId="24" fillId="9" borderId="6" xfId="0" applyFont="1" applyFill="1" applyBorder="1" applyAlignment="1">
      <alignment vertical="center" wrapText="1"/>
    </xf>
    <xf numFmtId="0" fontId="24" fillId="4" borderId="0" xfId="0" applyFont="1" applyFill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12" xfId="0" applyFont="1" applyBorder="1" applyAlignment="1">
      <alignment wrapText="1"/>
    </xf>
    <xf numFmtId="0" fontId="26" fillId="0" borderId="12" xfId="0" applyFont="1" applyBorder="1" applyAlignment="1">
      <alignment wrapText="1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44" fontId="24" fillId="0" borderId="4" xfId="29" applyFont="1" applyBorder="1" applyAlignment="1">
      <alignment horizontal="center" vertical="center"/>
    </xf>
    <xf numFmtId="44" fontId="24" fillId="9" borderId="4" xfId="29" applyFont="1" applyFill="1" applyBorder="1" applyAlignment="1">
      <alignment horizontal="center" vertical="center"/>
    </xf>
    <xf numFmtId="44" fontId="24" fillId="0" borderId="0" xfId="2" applyFont="1" applyBorder="1" applyAlignment="1">
      <alignment vertical="center"/>
    </xf>
    <xf numFmtId="44" fontId="24" fillId="0" borderId="0" xfId="29" applyFont="1" applyBorder="1" applyAlignment="1">
      <alignment horizontal="center" vertical="center"/>
    </xf>
    <xf numFmtId="44" fontId="24" fillId="9" borderId="11" xfId="29" applyFont="1" applyFill="1" applyBorder="1" applyAlignment="1">
      <alignment horizontal="center" vertical="center"/>
    </xf>
    <xf numFmtId="44" fontId="24" fillId="9" borderId="6" xfId="29" applyFont="1" applyFill="1" applyBorder="1" applyAlignment="1">
      <alignment horizontal="center" vertical="center"/>
    </xf>
    <xf numFmtId="44" fontId="24" fillId="9" borderId="0" xfId="29" applyFont="1" applyFill="1" applyBorder="1" applyAlignment="1">
      <alignment horizontal="center" vertical="center"/>
    </xf>
    <xf numFmtId="168" fontId="24" fillId="0" borderId="4" xfId="0" applyNumberFormat="1" applyFont="1" applyBorder="1" applyAlignment="1">
      <alignment horizontal="center" vertical="center"/>
    </xf>
    <xf numFmtId="44" fontId="24" fillId="0" borderId="11" xfId="2" applyFont="1" applyBorder="1" applyAlignment="1">
      <alignment vertical="center"/>
    </xf>
    <xf numFmtId="44" fontId="24" fillId="9" borderId="0" xfId="29" applyFont="1" applyFill="1" applyBorder="1" applyAlignment="1">
      <alignment horizontal="center" vertical="center" wrapText="1"/>
    </xf>
    <xf numFmtId="44" fontId="24" fillId="0" borderId="4" xfId="29" applyFont="1" applyFill="1" applyBorder="1" applyAlignment="1">
      <alignment wrapText="1"/>
    </xf>
    <xf numFmtId="44" fontId="24" fillId="0" borderId="6" xfId="29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1" fontId="24" fillId="0" borderId="2" xfId="0" applyNumberFormat="1" applyFont="1" applyBorder="1" applyAlignment="1">
      <alignment horizontal="center" vertical="center"/>
    </xf>
    <xf numFmtId="9" fontId="24" fillId="0" borderId="4" xfId="1" applyFont="1" applyBorder="1" applyAlignment="1">
      <alignment horizontal="center" vertical="center"/>
    </xf>
    <xf numFmtId="9" fontId="24" fillId="0" borderId="0" xfId="1" applyFont="1" applyBorder="1" applyAlignment="1">
      <alignment horizontal="center" vertical="center"/>
    </xf>
    <xf numFmtId="9" fontId="24" fillId="0" borderId="11" xfId="1" applyFont="1" applyBorder="1" applyAlignment="1">
      <alignment horizontal="center" vertical="center"/>
    </xf>
    <xf numFmtId="9" fontId="24" fillId="0" borderId="7" xfId="1" applyFont="1" applyBorder="1" applyAlignment="1">
      <alignment horizontal="center" vertical="center"/>
    </xf>
    <xf numFmtId="9" fontId="24" fillId="0" borderId="13" xfId="1" applyFont="1" applyBorder="1" applyAlignment="1">
      <alignment horizontal="center" vertical="center"/>
    </xf>
    <xf numFmtId="9" fontId="24" fillId="0" borderId="3" xfId="1" applyFont="1" applyBorder="1" applyAlignment="1">
      <alignment horizontal="center" vertical="center"/>
    </xf>
    <xf numFmtId="44" fontId="24" fillId="0" borderId="9" xfId="2" applyFont="1" applyBorder="1" applyAlignment="1">
      <alignment wrapText="1"/>
    </xf>
    <xf numFmtId="44" fontId="24" fillId="0" borderId="12" xfId="2" applyFont="1" applyBorder="1" applyAlignment="1">
      <alignment horizontal="center" vertical="center" wrapText="1"/>
    </xf>
    <xf numFmtId="44" fontId="24" fillId="0" borderId="9" xfId="2" applyFont="1" applyBorder="1" applyAlignment="1">
      <alignment horizontal="center" vertical="center" wrapText="1"/>
    </xf>
    <xf numFmtId="44" fontId="24" fillId="0" borderId="43" xfId="2" applyFont="1" applyBorder="1" applyAlignment="1">
      <alignment horizontal="center" vertical="center" wrapText="1"/>
    </xf>
    <xf numFmtId="44" fontId="24" fillId="0" borderId="12" xfId="2" applyFont="1" applyBorder="1" applyAlignment="1">
      <alignment wrapText="1"/>
    </xf>
    <xf numFmtId="44" fontId="24" fillId="0" borderId="13" xfId="2" applyFont="1" applyBorder="1" applyAlignment="1">
      <alignment horizontal="center" vertical="center" wrapText="1"/>
    </xf>
    <xf numFmtId="44" fontId="24" fillId="0" borderId="0" xfId="2" applyFont="1" applyBorder="1" applyAlignment="1">
      <alignment horizontal="center" vertical="center" wrapText="1"/>
    </xf>
    <xf numFmtId="44" fontId="24" fillId="0" borderId="13" xfId="2" applyFont="1" applyBorder="1" applyAlignment="1">
      <alignment wrapText="1"/>
    </xf>
    <xf numFmtId="0" fontId="24" fillId="9" borderId="11" xfId="0" applyFont="1" applyFill="1" applyBorder="1" applyAlignment="1">
      <alignment wrapText="1"/>
    </xf>
    <xf numFmtId="0" fontId="24" fillId="11" borderId="0" xfId="0" applyFont="1" applyFill="1" applyAlignment="1">
      <alignment vertical="center" wrapText="1"/>
    </xf>
    <xf numFmtId="44" fontId="24" fillId="11" borderId="0" xfId="2" applyFont="1" applyFill="1" applyBorder="1" applyAlignment="1">
      <alignment vertical="center"/>
    </xf>
    <xf numFmtId="44" fontId="24" fillId="9" borderId="0" xfId="29" applyFont="1" applyFill="1" applyBorder="1"/>
    <xf numFmtId="0" fontId="24" fillId="0" borderId="7" xfId="0" applyFont="1" applyBorder="1" applyAlignment="1">
      <alignment horizontal="center"/>
    </xf>
    <xf numFmtId="0" fontId="24" fillId="9" borderId="4" xfId="0" applyFont="1" applyFill="1" applyBorder="1" applyAlignment="1">
      <alignment wrapText="1"/>
    </xf>
    <xf numFmtId="0" fontId="24" fillId="9" borderId="12" xfId="0" applyFont="1" applyFill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44" fontId="24" fillId="9" borderId="3" xfId="29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44" fontId="24" fillId="0" borderId="4" xfId="2" applyFont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left" vertical="center"/>
    </xf>
    <xf numFmtId="0" fontId="26" fillId="4" borderId="4" xfId="0" applyFont="1" applyFill="1" applyBorder="1" applyAlignment="1">
      <alignment vertical="center" wrapText="1"/>
    </xf>
    <xf numFmtId="0" fontId="26" fillId="4" borderId="3" xfId="0" applyFont="1" applyFill="1" applyBorder="1" applyAlignment="1">
      <alignment vertical="center" wrapText="1"/>
    </xf>
    <xf numFmtId="0" fontId="24" fillId="11" borderId="6" xfId="0" applyFont="1" applyFill="1" applyBorder="1" applyAlignment="1">
      <alignment wrapText="1"/>
    </xf>
    <xf numFmtId="0" fontId="24" fillId="4" borderId="4" xfId="0" applyFont="1" applyFill="1" applyBorder="1" applyAlignment="1">
      <alignment wrapText="1"/>
    </xf>
    <xf numFmtId="0" fontId="24" fillId="4" borderId="11" xfId="0" applyFont="1" applyFill="1" applyBorder="1" applyAlignment="1">
      <alignment vertical="center" wrapText="1"/>
    </xf>
    <xf numFmtId="0" fontId="24" fillId="4" borderId="3" xfId="0" applyFont="1" applyFill="1" applyBorder="1" applyAlignment="1">
      <alignment wrapText="1"/>
    </xf>
    <xf numFmtId="0" fontId="26" fillId="0" borderId="3" xfId="0" applyFont="1" applyBorder="1" applyAlignment="1">
      <alignment wrapText="1"/>
    </xf>
    <xf numFmtId="0" fontId="24" fillId="4" borderId="3" xfId="0" applyFont="1" applyFill="1" applyBorder="1" applyAlignment="1">
      <alignment horizontal="center" vertical="center" wrapText="1"/>
    </xf>
    <xf numFmtId="44" fontId="24" fillId="9" borderId="11" xfId="29" applyFont="1" applyFill="1" applyBorder="1" applyAlignment="1">
      <alignment vertical="center"/>
    </xf>
    <xf numFmtId="44" fontId="24" fillId="8" borderId="4" xfId="29" applyFont="1" applyFill="1" applyBorder="1" applyAlignment="1">
      <alignment horizontal="center" vertical="center"/>
    </xf>
    <xf numFmtId="44" fontId="24" fillId="0" borderId="4" xfId="29" applyFont="1" applyFill="1" applyBorder="1"/>
    <xf numFmtId="44" fontId="24" fillId="0" borderId="0" xfId="29" applyFont="1" applyBorder="1"/>
    <xf numFmtId="44" fontId="24" fillId="4" borderId="11" xfId="29" applyFont="1" applyFill="1" applyBorder="1" applyAlignment="1">
      <alignment horizontal="center" vertical="center"/>
    </xf>
    <xf numFmtId="44" fontId="24" fillId="0" borderId="6" xfId="29" applyFont="1" applyBorder="1"/>
    <xf numFmtId="0" fontId="24" fillId="4" borderId="3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171" fontId="24" fillId="0" borderId="1" xfId="2" applyNumberFormat="1" applyFont="1" applyBorder="1" applyAlignment="1">
      <alignment wrapText="1"/>
    </xf>
    <xf numFmtId="171" fontId="24" fillId="0" borderId="0" xfId="0" applyNumberFormat="1" applyFont="1"/>
    <xf numFmtId="171" fontId="24" fillId="0" borderId="1" xfId="2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171" fontId="25" fillId="0" borderId="0" xfId="0" applyNumberFormat="1" applyFont="1" applyAlignment="1">
      <alignment vertical="center"/>
    </xf>
    <xf numFmtId="0" fontId="25" fillId="0" borderId="12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 vertical="center"/>
    </xf>
    <xf numFmtId="171" fontId="28" fillId="0" borderId="1" xfId="29" applyNumberFormat="1" applyFont="1" applyBorder="1" applyAlignment="1">
      <alignment horizontal="center" vertical="center" wrapText="1"/>
    </xf>
    <xf numFmtId="165" fontId="29" fillId="0" borderId="1" xfId="31" applyFont="1" applyBorder="1" applyAlignment="1">
      <alignment horizontal="center" vertical="center" wrapText="1"/>
    </xf>
    <xf numFmtId="171" fontId="29" fillId="0" borderId="1" xfId="29" applyNumberFormat="1" applyFont="1" applyBorder="1" applyAlignment="1">
      <alignment wrapText="1"/>
    </xf>
    <xf numFmtId="0" fontId="28" fillId="0" borderId="0" xfId="0" applyFont="1" applyAlignment="1">
      <alignment vertical="center"/>
    </xf>
    <xf numFmtId="0" fontId="28" fillId="3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 wrapText="1"/>
    </xf>
    <xf numFmtId="0" fontId="29" fillId="0" borderId="0" xfId="0" applyFont="1"/>
    <xf numFmtId="0" fontId="2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/>
    </xf>
    <xf numFmtId="9" fontId="29" fillId="0" borderId="1" xfId="1" applyFont="1" applyBorder="1" applyAlignment="1">
      <alignment horizontal="center" vertical="center"/>
    </xf>
    <xf numFmtId="171" fontId="29" fillId="0" borderId="1" xfId="2" applyNumberFormat="1" applyFont="1" applyBorder="1" applyAlignment="1">
      <alignment wrapText="1"/>
    </xf>
    <xf numFmtId="0" fontId="28" fillId="3" borderId="1" xfId="0" applyFont="1" applyFill="1" applyBorder="1"/>
    <xf numFmtId="0" fontId="29" fillId="9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/>
    </xf>
    <xf numFmtId="0" fontId="29" fillId="4" borderId="1" xfId="0" applyFont="1" applyFill="1" applyBorder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horizontal="center" vertical="center" wrapText="1"/>
    </xf>
    <xf numFmtId="0" fontId="29" fillId="9" borderId="1" xfId="0" applyFont="1" applyFill="1" applyBorder="1" applyAlignment="1">
      <alignment wrapText="1"/>
    </xf>
    <xf numFmtId="0" fontId="30" fillId="0" borderId="1" xfId="0" applyFont="1" applyBorder="1" applyAlignment="1">
      <alignment wrapText="1"/>
    </xf>
    <xf numFmtId="0" fontId="29" fillId="11" borderId="1" xfId="0" applyFont="1" applyFill="1" applyBorder="1" applyAlignment="1">
      <alignment wrapText="1"/>
    </xf>
    <xf numFmtId="0" fontId="29" fillId="11" borderId="1" xfId="0" applyFont="1" applyFill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8" fillId="3" borderId="1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top" wrapText="1"/>
    </xf>
    <xf numFmtId="0" fontId="29" fillId="4" borderId="1" xfId="0" applyFont="1" applyFill="1" applyBorder="1" applyAlignment="1">
      <alignment wrapText="1"/>
    </xf>
    <xf numFmtId="0" fontId="28" fillId="0" borderId="0" xfId="0" applyFont="1"/>
    <xf numFmtId="0" fontId="29" fillId="0" borderId="1" xfId="0" applyFont="1" applyBorder="1" applyAlignment="1">
      <alignment horizontal="left" wrapText="1"/>
    </xf>
    <xf numFmtId="0" fontId="30" fillId="4" borderId="1" xfId="0" applyFont="1" applyFill="1" applyBorder="1" applyAlignment="1">
      <alignment vertical="center" wrapText="1"/>
    </xf>
    <xf numFmtId="0" fontId="29" fillId="10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30" fillId="9" borderId="1" xfId="0" applyFont="1" applyFill="1" applyBorder="1" applyAlignment="1">
      <alignment wrapText="1"/>
    </xf>
    <xf numFmtId="0" fontId="29" fillId="0" borderId="0" xfId="0" applyFont="1" applyAlignment="1">
      <alignment wrapText="1"/>
    </xf>
    <xf numFmtId="0" fontId="28" fillId="0" borderId="1" xfId="0" applyFont="1" applyBorder="1" applyAlignment="1">
      <alignment vertical="center"/>
    </xf>
    <xf numFmtId="165" fontId="28" fillId="0" borderId="1" xfId="31" applyFont="1" applyBorder="1" applyAlignment="1">
      <alignment horizontal="center" vertical="center"/>
    </xf>
    <xf numFmtId="172" fontId="28" fillId="0" borderId="1" xfId="31" applyNumberFormat="1" applyFont="1" applyBorder="1" applyAlignment="1">
      <alignment vertical="center"/>
    </xf>
    <xf numFmtId="172" fontId="28" fillId="0" borderId="1" xfId="31" applyNumberFormat="1" applyFont="1" applyFill="1" applyBorder="1" applyAlignment="1">
      <alignment vertical="center"/>
    </xf>
    <xf numFmtId="172" fontId="28" fillId="0" borderId="1" xfId="31" applyNumberFormat="1" applyFont="1" applyBorder="1" applyAlignment="1">
      <alignment horizontal="center" vertical="center"/>
    </xf>
    <xf numFmtId="172" fontId="28" fillId="0" borderId="13" xfId="31" applyNumberFormat="1" applyFont="1" applyBorder="1" applyAlignment="1">
      <alignment vertical="center"/>
    </xf>
    <xf numFmtId="0" fontId="29" fillId="0" borderId="1" xfId="0" applyFont="1" applyBorder="1"/>
    <xf numFmtId="0" fontId="28" fillId="0" borderId="0" xfId="0" applyFont="1" applyAlignment="1">
      <alignment vertical="center" wrapText="1"/>
    </xf>
    <xf numFmtId="165" fontId="28" fillId="0" borderId="1" xfId="31" applyFont="1" applyBorder="1" applyAlignment="1">
      <alignment vertical="center" wrapText="1"/>
    </xf>
    <xf numFmtId="165" fontId="29" fillId="0" borderId="1" xfId="31" applyFont="1" applyBorder="1" applyAlignment="1">
      <alignment horizontal="center" vertical="center"/>
    </xf>
    <xf numFmtId="165" fontId="28" fillId="0" borderId="13" xfId="31" applyFont="1" applyBorder="1" applyAlignment="1">
      <alignment vertical="center" wrapText="1"/>
    </xf>
    <xf numFmtId="165" fontId="29" fillId="0" borderId="1" xfId="31" applyFont="1" applyBorder="1" applyAlignment="1">
      <alignment horizontal="center"/>
    </xf>
    <xf numFmtId="165" fontId="29" fillId="4" borderId="1" xfId="31" applyFont="1" applyFill="1" applyBorder="1" applyAlignment="1">
      <alignment horizontal="center" vertical="center"/>
    </xf>
    <xf numFmtId="165" fontId="29" fillId="4" borderId="1" xfId="31" applyFont="1" applyFill="1" applyBorder="1" applyAlignment="1">
      <alignment horizontal="center"/>
    </xf>
    <xf numFmtId="165" fontId="29" fillId="0" borderId="0" xfId="31" applyFont="1"/>
    <xf numFmtId="0" fontId="28" fillId="0" borderId="1" xfId="0" applyFont="1" applyBorder="1"/>
    <xf numFmtId="0" fontId="28" fillId="3" borderId="1" xfId="0" applyFont="1" applyFill="1" applyBorder="1" applyAlignment="1">
      <alignment wrapText="1"/>
    </xf>
    <xf numFmtId="171" fontId="28" fillId="0" borderId="1" xfId="29" applyNumberFormat="1" applyFont="1" applyBorder="1" applyAlignment="1">
      <alignment vertical="center" wrapText="1"/>
    </xf>
    <xf numFmtId="171" fontId="29" fillId="0" borderId="1" xfId="29" applyNumberFormat="1" applyFont="1" applyBorder="1" applyAlignment="1">
      <alignment horizontal="center" vertical="center"/>
    </xf>
    <xf numFmtId="171" fontId="29" fillId="9" borderId="1" xfId="29" applyNumberFormat="1" applyFont="1" applyFill="1" applyBorder="1" applyAlignment="1">
      <alignment horizontal="center" vertical="center"/>
    </xf>
    <xf numFmtId="171" fontId="29" fillId="0" borderId="1" xfId="29" applyNumberFormat="1" applyFont="1" applyBorder="1"/>
    <xf numFmtId="171" fontId="29" fillId="9" borderId="1" xfId="29" applyNumberFormat="1" applyFont="1" applyFill="1" applyBorder="1"/>
    <xf numFmtId="171" fontId="29" fillId="9" borderId="1" xfId="29" applyNumberFormat="1" applyFont="1" applyFill="1" applyBorder="1" applyAlignment="1">
      <alignment vertical="center"/>
    </xf>
    <xf numFmtId="171" fontId="29" fillId="0" borderId="1" xfId="29" applyNumberFormat="1" applyFont="1" applyFill="1" applyBorder="1" applyAlignment="1">
      <alignment wrapText="1"/>
    </xf>
    <xf numFmtId="171" fontId="29" fillId="8" borderId="1" xfId="29" applyNumberFormat="1" applyFont="1" applyFill="1" applyBorder="1" applyAlignment="1">
      <alignment horizontal="center" vertical="center"/>
    </xf>
    <xf numFmtId="171" fontId="29" fillId="0" borderId="1" xfId="29" applyNumberFormat="1" applyFont="1" applyFill="1" applyBorder="1" applyAlignment="1">
      <alignment vertical="center"/>
    </xf>
    <xf numFmtId="171" fontId="29" fillId="9" borderId="1" xfId="29" applyNumberFormat="1" applyFont="1" applyFill="1" applyBorder="1" applyAlignment="1">
      <alignment horizontal="center" vertical="center" wrapText="1"/>
    </xf>
    <xf numFmtId="171" fontId="29" fillId="4" borderId="1" xfId="29" applyNumberFormat="1" applyFont="1" applyFill="1" applyBorder="1"/>
    <xf numFmtId="171" fontId="29" fillId="0" borderId="1" xfId="29" applyNumberFormat="1" applyFont="1" applyBorder="1" applyAlignment="1">
      <alignment horizontal="right" vertical="center"/>
    </xf>
    <xf numFmtId="171" fontId="29" fillId="10" borderId="1" xfId="29" applyNumberFormat="1" applyFont="1" applyFill="1" applyBorder="1" applyAlignment="1">
      <alignment horizontal="center" vertical="center"/>
    </xf>
    <xf numFmtId="171" fontId="29" fillId="0" borderId="1" xfId="29" applyNumberFormat="1" applyFont="1" applyFill="1" applyBorder="1"/>
    <xf numFmtId="171" fontId="29" fillId="4" borderId="1" xfId="29" applyNumberFormat="1" applyFont="1" applyFill="1" applyBorder="1" applyAlignment="1">
      <alignment horizontal="center" vertical="center"/>
    </xf>
    <xf numFmtId="171" fontId="29" fillId="11" borderId="1" xfId="29" applyNumberFormat="1" applyFont="1" applyFill="1" applyBorder="1" applyAlignment="1">
      <alignment vertical="center"/>
    </xf>
    <xf numFmtId="171" fontId="29" fillId="0" borderId="1" xfId="29" applyNumberFormat="1" applyFont="1" applyBorder="1" applyAlignment="1">
      <alignment vertical="center"/>
    </xf>
    <xf numFmtId="171" fontId="29" fillId="0" borderId="0" xfId="29" applyNumberFormat="1" applyFont="1"/>
    <xf numFmtId="9" fontId="29" fillId="12" borderId="1" xfId="1" applyFont="1" applyFill="1" applyBorder="1" applyAlignment="1">
      <alignment horizontal="center" vertical="center"/>
    </xf>
    <xf numFmtId="171" fontId="28" fillId="0" borderId="1" xfId="0" applyNumberFormat="1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3" borderId="13" xfId="0" applyFont="1" applyFill="1" applyBorder="1" applyAlignment="1">
      <alignment horizontal="left" vertical="center"/>
    </xf>
    <xf numFmtId="171" fontId="28" fillId="0" borderId="13" xfId="29" applyNumberFormat="1" applyFont="1" applyBorder="1" applyAlignment="1">
      <alignment vertical="center" wrapText="1"/>
    </xf>
    <xf numFmtId="171" fontId="28" fillId="0" borderId="13" xfId="0" applyNumberFormat="1" applyFont="1" applyBorder="1" applyAlignment="1">
      <alignment vertical="center"/>
    </xf>
    <xf numFmtId="171" fontId="28" fillId="0" borderId="1" xfId="29" applyNumberFormat="1" applyFont="1" applyBorder="1" applyAlignment="1">
      <alignment horizontal="right" vertical="center" wrapText="1"/>
    </xf>
    <xf numFmtId="171" fontId="29" fillId="0" borderId="0" xfId="29" applyNumberFormat="1" applyFont="1" applyAlignment="1">
      <alignment horizontal="right" vertical="center" wrapText="1"/>
    </xf>
    <xf numFmtId="0" fontId="29" fillId="0" borderId="0" xfId="0" applyFont="1" applyAlignment="1">
      <alignment horizontal="left" wrapText="1"/>
    </xf>
    <xf numFmtId="171" fontId="29" fillId="0" borderId="0" xfId="29" applyNumberFormat="1" applyFont="1" applyAlignment="1">
      <alignment wrapText="1"/>
    </xf>
    <xf numFmtId="164" fontId="0" fillId="0" borderId="0" xfId="0" applyNumberFormat="1" applyAlignment="1">
      <alignment vertical="center"/>
    </xf>
    <xf numFmtId="1" fontId="24" fillId="12" borderId="1" xfId="0" applyNumberFormat="1" applyFont="1" applyFill="1" applyBorder="1" applyAlignment="1">
      <alignment horizontal="center" vertical="center"/>
    </xf>
    <xf numFmtId="9" fontId="24" fillId="12" borderId="1" xfId="1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44" fontId="24" fillId="12" borderId="1" xfId="29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wrapText="1"/>
    </xf>
    <xf numFmtId="0" fontId="24" fillId="12" borderId="1" xfId="0" applyFont="1" applyFill="1" applyBorder="1" applyAlignment="1">
      <alignment wrapText="1"/>
    </xf>
    <xf numFmtId="0" fontId="24" fillId="12" borderId="11" xfId="0" applyFont="1" applyFill="1" applyBorder="1" applyAlignment="1">
      <alignment horizontal="center" vertical="center"/>
    </xf>
    <xf numFmtId="1" fontId="24" fillId="12" borderId="7" xfId="0" applyNumberFormat="1" applyFont="1" applyFill="1" applyBorder="1" applyAlignment="1">
      <alignment horizontal="center" vertical="center"/>
    </xf>
    <xf numFmtId="1" fontId="24" fillId="12" borderId="0" xfId="0" applyNumberFormat="1" applyFont="1" applyFill="1" applyAlignment="1">
      <alignment horizontal="center" vertical="center"/>
    </xf>
    <xf numFmtId="44" fontId="24" fillId="12" borderId="0" xfId="29" applyFont="1" applyFill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12" borderId="13" xfId="0" applyFont="1" applyFill="1" applyBorder="1" applyAlignment="1">
      <alignment horizontal="center" vertical="center"/>
    </xf>
    <xf numFmtId="44" fontId="24" fillId="12" borderId="4" xfId="29" applyFont="1" applyFill="1" applyBorder="1" applyAlignment="1">
      <alignment horizontal="center" vertical="center"/>
    </xf>
    <xf numFmtId="0" fontId="26" fillId="12" borderId="0" xfId="0" applyFont="1" applyFill="1" applyAlignment="1">
      <alignment horizontal="left" vertical="center" wrapText="1"/>
    </xf>
    <xf numFmtId="0" fontId="24" fillId="12" borderId="1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 vertical="center"/>
    </xf>
    <xf numFmtId="0" fontId="24" fillId="12" borderId="0" xfId="0" applyFont="1" applyFill="1" applyAlignment="1">
      <alignment wrapText="1"/>
    </xf>
    <xf numFmtId="172" fontId="28" fillId="0" borderId="1" xfId="31" applyNumberFormat="1" applyFont="1" applyBorder="1" applyAlignment="1">
      <alignment horizontal="right" vertical="center" wrapText="1"/>
    </xf>
    <xf numFmtId="172" fontId="28" fillId="0" borderId="0" xfId="31" applyNumberFormat="1" applyFont="1" applyAlignment="1">
      <alignment horizontal="right" vertical="center"/>
    </xf>
    <xf numFmtId="172" fontId="29" fillId="0" borderId="0" xfId="31" applyNumberFormat="1" applyFont="1" applyAlignment="1">
      <alignment horizontal="right" vertical="center"/>
    </xf>
    <xf numFmtId="172" fontId="29" fillId="0" borderId="0" xfId="31" applyNumberFormat="1" applyFont="1" applyAlignment="1">
      <alignment horizontal="right" vertical="center" wrapText="1"/>
    </xf>
    <xf numFmtId="172" fontId="29" fillId="0" borderId="0" xfId="31" applyNumberFormat="1" applyFont="1" applyFill="1" applyAlignment="1">
      <alignment horizontal="right" wrapText="1"/>
    </xf>
    <xf numFmtId="172" fontId="29" fillId="0" borderId="0" xfId="31" applyNumberFormat="1" applyFont="1" applyAlignment="1">
      <alignment horizontal="right" wrapText="1"/>
    </xf>
    <xf numFmtId="171" fontId="29" fillId="12" borderId="1" xfId="29" applyNumberFormat="1" applyFont="1" applyFill="1" applyBorder="1" applyAlignment="1">
      <alignment wrapText="1"/>
    </xf>
    <xf numFmtId="0" fontId="28" fillId="0" borderId="1" xfId="0" applyFont="1" applyBorder="1" applyAlignment="1">
      <alignment horizontal="left" wrapText="1"/>
    </xf>
    <xf numFmtId="172" fontId="30" fillId="13" borderId="0" xfId="31" applyNumberFormat="1" applyFont="1" applyFill="1" applyAlignment="1">
      <alignment horizontal="right" vertical="center" wrapText="1"/>
    </xf>
    <xf numFmtId="172" fontId="29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wrapText="1"/>
    </xf>
    <xf numFmtId="172" fontId="29" fillId="0" borderId="0" xfId="0" applyNumberFormat="1" applyFont="1"/>
    <xf numFmtId="172" fontId="29" fillId="12" borderId="0" xfId="0" applyNumberFormat="1" applyFont="1" applyFill="1" applyAlignment="1">
      <alignment horizontal="center" vertical="center" wrapText="1"/>
    </xf>
    <xf numFmtId="0" fontId="24" fillId="13" borderId="0" xfId="0" applyFont="1" applyFill="1"/>
    <xf numFmtId="44" fontId="9" fillId="0" borderId="1" xfId="2" applyFont="1" applyFill="1" applyBorder="1" applyAlignment="1">
      <alignment vertical="center"/>
    </xf>
    <xf numFmtId="9" fontId="9" fillId="0" borderId="1" xfId="1" applyFont="1" applyFill="1" applyBorder="1" applyAlignment="1">
      <alignment horizontal="center" vertical="center"/>
    </xf>
    <xf numFmtId="44" fontId="9" fillId="0" borderId="1" xfId="2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horizontal="center" vertical="center"/>
    </xf>
    <xf numFmtId="44" fontId="9" fillId="10" borderId="1" xfId="2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" fillId="0" borderId="1" xfId="0" applyFont="1" applyBorder="1"/>
    <xf numFmtId="0" fontId="9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horizontal="left" vertical="center"/>
    </xf>
    <xf numFmtId="0" fontId="9" fillId="10" borderId="2" xfId="0" applyFont="1" applyFill="1" applyBorder="1" applyAlignment="1">
      <alignment horizontal="left" vertical="center"/>
    </xf>
    <xf numFmtId="0" fontId="9" fillId="10" borderId="1" xfId="0" applyFont="1" applyFill="1" applyBorder="1"/>
    <xf numFmtId="0" fontId="9" fillId="14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 wrapText="1"/>
    </xf>
    <xf numFmtId="0" fontId="9" fillId="14" borderId="1" xfId="0" applyFont="1" applyFill="1" applyBorder="1" applyAlignment="1">
      <alignment horizontal="center" vertical="center"/>
    </xf>
    <xf numFmtId="44" fontId="9" fillId="14" borderId="1" xfId="2" applyFont="1" applyFill="1" applyBorder="1" applyAlignment="1">
      <alignment vertical="center"/>
    </xf>
    <xf numFmtId="0" fontId="9" fillId="14" borderId="1" xfId="0" applyFont="1" applyFill="1" applyBorder="1"/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wrapText="1"/>
    </xf>
    <xf numFmtId="0" fontId="9" fillId="8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left" vertical="center" wrapText="1"/>
    </xf>
    <xf numFmtId="44" fontId="9" fillId="8" borderId="1" xfId="29" applyFont="1" applyFill="1" applyBorder="1" applyAlignment="1">
      <alignment vertical="center"/>
    </xf>
    <xf numFmtId="44" fontId="9" fillId="10" borderId="1" xfId="29" applyFont="1" applyFill="1" applyBorder="1" applyAlignment="1">
      <alignment vertical="center"/>
    </xf>
    <xf numFmtId="44" fontId="9" fillId="0" borderId="1" xfId="29" applyFont="1" applyBorder="1" applyAlignment="1">
      <alignment vertical="center"/>
    </xf>
    <xf numFmtId="0" fontId="14" fillId="0" borderId="1" xfId="30" applyFont="1" applyBorder="1" applyAlignment="1">
      <alignment horizontal="justify" vertical="center" wrapText="1"/>
    </xf>
    <xf numFmtId="1" fontId="14" fillId="0" borderId="1" xfId="30" applyNumberFormat="1" applyFont="1" applyBorder="1" applyAlignment="1">
      <alignment horizontal="center" vertical="center"/>
    </xf>
    <xf numFmtId="0" fontId="14" fillId="0" borderId="1" xfId="30" applyFont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44" fontId="9" fillId="10" borderId="1" xfId="29" applyFont="1" applyFill="1" applyBorder="1" applyAlignment="1">
      <alignment horizontal="center" vertical="center" wrapText="1"/>
    </xf>
    <xf numFmtId="44" fontId="9" fillId="0" borderId="1" xfId="2" applyFont="1" applyBorder="1" applyAlignment="1">
      <alignment vertical="center" wrapText="1"/>
    </xf>
    <xf numFmtId="42" fontId="0" fillId="0" borderId="0" xfId="34" applyFont="1" applyAlignment="1">
      <alignment horizontal="center" vertical="center"/>
    </xf>
    <xf numFmtId="42" fontId="14" fillId="0" borderId="1" xfId="34" applyFont="1" applyBorder="1" applyAlignment="1">
      <alignment vertical="center"/>
    </xf>
    <xf numFmtId="42" fontId="14" fillId="0" borderId="1" xfId="34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4" fillId="3" borderId="1" xfId="30" applyFont="1" applyFill="1" applyBorder="1" applyAlignment="1">
      <alignment horizontal="justify" vertical="center" wrapText="1"/>
    </xf>
    <xf numFmtId="1" fontId="14" fillId="3" borderId="1" xfId="30" applyNumberFormat="1" applyFont="1" applyFill="1" applyBorder="1" applyAlignment="1">
      <alignment horizontal="center" vertical="center"/>
    </xf>
    <xf numFmtId="0" fontId="14" fillId="3" borderId="1" xfId="30" applyFont="1" applyFill="1" applyBorder="1" applyAlignment="1">
      <alignment horizontal="center" vertical="center"/>
    </xf>
    <xf numFmtId="42" fontId="14" fillId="3" borderId="1" xfId="34" applyFont="1" applyFill="1" applyBorder="1" applyAlignment="1">
      <alignment vertical="center"/>
    </xf>
    <xf numFmtId="42" fontId="14" fillId="3" borderId="1" xfId="34" applyFont="1" applyFill="1" applyBorder="1" applyAlignment="1">
      <alignment horizontal="center" vertical="center"/>
    </xf>
    <xf numFmtId="44" fontId="11" fillId="0" borderId="1" xfId="2" applyFont="1" applyBorder="1" applyAlignment="1">
      <alignment wrapText="1"/>
    </xf>
    <xf numFmtId="0" fontId="9" fillId="10" borderId="2" xfId="0" applyFont="1" applyFill="1" applyBorder="1" applyAlignment="1">
      <alignment vertical="center"/>
    </xf>
    <xf numFmtId="44" fontId="11" fillId="3" borderId="1" xfId="0" applyNumberFormat="1" applyFont="1" applyFill="1" applyBorder="1"/>
    <xf numFmtId="171" fontId="9" fillId="10" borderId="1" xfId="29" applyNumberFormat="1" applyFont="1" applyFill="1" applyBorder="1" applyAlignment="1">
      <alignment horizontal="center" vertical="center"/>
    </xf>
    <xf numFmtId="172" fontId="29" fillId="5" borderId="0" xfId="31" applyNumberFormat="1" applyFont="1" applyFill="1" applyAlignment="1">
      <alignment horizontal="right" vertical="center" wrapText="1"/>
    </xf>
    <xf numFmtId="172" fontId="29" fillId="5" borderId="0" xfId="31" applyNumberFormat="1" applyFont="1" applyFill="1" applyAlignment="1">
      <alignment horizontal="right" vertical="center"/>
    </xf>
    <xf numFmtId="0" fontId="19" fillId="3" borderId="15" xfId="30" applyFont="1" applyFill="1" applyBorder="1" applyAlignment="1">
      <alignment horizontal="center" vertical="center"/>
    </xf>
    <xf numFmtId="0" fontId="19" fillId="3" borderId="30" xfId="30" applyFont="1" applyFill="1" applyBorder="1" applyAlignment="1">
      <alignment horizontal="center" vertical="center"/>
    </xf>
    <xf numFmtId="169" fontId="20" fillId="3" borderId="30" xfId="30" applyNumberFormat="1" applyFont="1" applyFill="1" applyBorder="1" applyAlignment="1">
      <alignment horizontal="center" vertical="center"/>
    </xf>
    <xf numFmtId="169" fontId="20" fillId="3" borderId="31" xfId="30" applyNumberFormat="1" applyFont="1" applyFill="1" applyBorder="1" applyAlignment="1">
      <alignment horizontal="center" vertical="center"/>
    </xf>
    <xf numFmtId="0" fontId="17" fillId="0" borderId="17" xfId="30" applyFont="1" applyBorder="1" applyAlignment="1">
      <alignment horizontal="center" vertical="center"/>
    </xf>
    <xf numFmtId="0" fontId="7" fillId="0" borderId="19" xfId="30" applyFont="1" applyBorder="1" applyAlignment="1">
      <alignment horizontal="center" vertical="center"/>
    </xf>
    <xf numFmtId="0" fontId="7" fillId="0" borderId="42" xfId="30" applyFont="1" applyBorder="1" applyAlignment="1">
      <alignment horizontal="center" vertical="center"/>
    </xf>
    <xf numFmtId="0" fontId="17" fillId="0" borderId="9" xfId="30" applyFont="1" applyBorder="1" applyAlignment="1">
      <alignment horizontal="center" vertical="center"/>
    </xf>
    <xf numFmtId="0" fontId="17" fillId="0" borderId="16" xfId="30" applyFont="1" applyBorder="1" applyAlignment="1">
      <alignment horizontal="center" vertical="center"/>
    </xf>
    <xf numFmtId="0" fontId="17" fillId="0" borderId="1" xfId="30" applyFont="1" applyBorder="1" applyAlignment="1">
      <alignment horizontal="center" vertical="center"/>
    </xf>
    <xf numFmtId="0" fontId="17" fillId="0" borderId="32" xfId="30" applyFont="1" applyBorder="1" applyAlignment="1">
      <alignment horizontal="center" vertical="center"/>
    </xf>
    <xf numFmtId="0" fontId="18" fillId="2" borderId="44" xfId="30" applyFont="1" applyFill="1" applyBorder="1" applyAlignment="1">
      <alignment horizontal="center" vertical="center"/>
    </xf>
    <xf numFmtId="0" fontId="18" fillId="2" borderId="16" xfId="30" applyFont="1" applyFill="1" applyBorder="1" applyAlignment="1">
      <alignment horizontal="center" vertical="center"/>
    </xf>
    <xf numFmtId="0" fontId="18" fillId="2" borderId="32" xfId="30" applyFont="1" applyFill="1" applyBorder="1" applyAlignment="1">
      <alignment horizontal="center" vertical="center"/>
    </xf>
    <xf numFmtId="0" fontId="19" fillId="3" borderId="26" xfId="30" applyFont="1" applyFill="1" applyBorder="1" applyAlignment="1">
      <alignment horizontal="center" vertical="center"/>
    </xf>
    <xf numFmtId="0" fontId="19" fillId="3" borderId="27" xfId="30" applyFont="1" applyFill="1" applyBorder="1" applyAlignment="1">
      <alignment horizontal="center" vertical="center"/>
    </xf>
    <xf numFmtId="169" fontId="20" fillId="3" borderId="27" xfId="30" applyNumberFormat="1" applyFont="1" applyFill="1" applyBorder="1" applyAlignment="1">
      <alignment horizontal="center" vertical="center"/>
    </xf>
    <xf numFmtId="169" fontId="20" fillId="3" borderId="28" xfId="30" applyNumberFormat="1" applyFont="1" applyFill="1" applyBorder="1" applyAlignment="1">
      <alignment horizontal="center" vertical="center"/>
    </xf>
    <xf numFmtId="0" fontId="19" fillId="0" borderId="33" xfId="30" applyFont="1" applyBorder="1" applyAlignment="1">
      <alignment horizontal="center" vertical="center"/>
    </xf>
    <xf numFmtId="0" fontId="19" fillId="0" borderId="1" xfId="30" applyFont="1" applyBorder="1" applyAlignment="1">
      <alignment horizontal="center" vertical="center"/>
    </xf>
    <xf numFmtId="169" fontId="20" fillId="0" borderId="1" xfId="30" applyNumberFormat="1" applyFont="1" applyBorder="1" applyAlignment="1">
      <alignment horizontal="center" vertical="center"/>
    </xf>
    <xf numFmtId="169" fontId="20" fillId="0" borderId="34" xfId="30" applyNumberFormat="1" applyFont="1" applyBorder="1" applyAlignment="1">
      <alignment horizontal="center" vertical="center"/>
    </xf>
    <xf numFmtId="0" fontId="15" fillId="0" borderId="11" xfId="30" applyFont="1" applyBorder="1" applyAlignment="1">
      <alignment horizontal="center" vertical="center"/>
    </xf>
    <xf numFmtId="0" fontId="16" fillId="0" borderId="17" xfId="30" applyFont="1" applyBorder="1" applyAlignment="1">
      <alignment horizontal="center"/>
    </xf>
    <xf numFmtId="0" fontId="16" fillId="0" borderId="18" xfId="30" applyFont="1" applyBorder="1" applyAlignment="1">
      <alignment horizontal="center"/>
    </xf>
    <xf numFmtId="0" fontId="16" fillId="0" borderId="19" xfId="30" applyFont="1" applyBorder="1" applyAlignment="1">
      <alignment horizontal="center"/>
    </xf>
    <xf numFmtId="0" fontId="16" fillId="0" borderId="20" xfId="30" applyFont="1" applyBorder="1" applyAlignment="1">
      <alignment horizontal="center"/>
    </xf>
    <xf numFmtId="0" fontId="17" fillId="0" borderId="0" xfId="30" applyFont="1" applyAlignment="1">
      <alignment horizontal="center" vertical="center"/>
    </xf>
    <xf numFmtId="0" fontId="17" fillId="0" borderId="18" xfId="30" applyFont="1" applyBorder="1" applyAlignment="1">
      <alignment horizontal="center" vertical="center"/>
    </xf>
    <xf numFmtId="0" fontId="17" fillId="0" borderId="25" xfId="30" applyFont="1" applyBorder="1" applyAlignment="1">
      <alignment horizontal="center" vertical="center"/>
    </xf>
    <xf numFmtId="0" fontId="17" fillId="0" borderId="22" xfId="30" applyFont="1" applyBorder="1" applyAlignment="1">
      <alignment horizontal="center" vertical="center"/>
    </xf>
    <xf numFmtId="0" fontId="17" fillId="3" borderId="9" xfId="30" applyFont="1" applyFill="1" applyBorder="1" applyAlignment="1">
      <alignment horizontal="center" vertical="center"/>
    </xf>
    <xf numFmtId="0" fontId="17" fillId="3" borderId="16" xfId="30" applyFont="1" applyFill="1" applyBorder="1" applyAlignment="1">
      <alignment horizontal="center" vertical="center"/>
    </xf>
    <xf numFmtId="0" fontId="17" fillId="3" borderId="1" xfId="30" applyFont="1" applyFill="1" applyBorder="1" applyAlignment="1">
      <alignment horizontal="center" vertical="center"/>
    </xf>
    <xf numFmtId="0" fontId="17" fillId="3" borderId="32" xfId="30" applyFont="1" applyFill="1" applyBorder="1" applyAlignment="1">
      <alignment horizontal="center" vertical="center"/>
    </xf>
    <xf numFmtId="0" fontId="17" fillId="3" borderId="22" xfId="3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9" fontId="23" fillId="2" borderId="0" xfId="0" applyNumberFormat="1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11" fillId="3" borderId="1" xfId="0" applyFont="1" applyFill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</cellXfs>
  <cellStyles count="38">
    <cellStyle name="Millares" xfId="31" builtinId="3"/>
    <cellStyle name="Millares [0] 7 2" xfId="3" xr:uid="{00000000-0005-0000-0000-000000000000}"/>
    <cellStyle name="Millares 10" xfId="4" xr:uid="{00000000-0005-0000-0000-000001000000}"/>
    <cellStyle name="Millares 2 2 2" xfId="5" xr:uid="{00000000-0005-0000-0000-000002000000}"/>
    <cellStyle name="Millares 3" xfId="6" xr:uid="{00000000-0005-0000-0000-000003000000}"/>
    <cellStyle name="Millares 3 2" xfId="7" xr:uid="{00000000-0005-0000-0000-000004000000}"/>
    <cellStyle name="Moneda" xfId="29" builtinId="4"/>
    <cellStyle name="Moneda [0]" xfId="34" builtinId="7"/>
    <cellStyle name="Moneda [0] 2" xfId="8" xr:uid="{00000000-0005-0000-0000-000007000000}"/>
    <cellStyle name="Moneda [0] 2 2" xfId="9" xr:uid="{00000000-0005-0000-0000-000008000000}"/>
    <cellStyle name="Moneda [0] 3" xfId="10" xr:uid="{00000000-0005-0000-0000-000009000000}"/>
    <cellStyle name="Moneda 2" xfId="2" xr:uid="{00000000-0005-0000-0000-00000A000000}"/>
    <cellStyle name="Moneda 2 2" xfId="11" xr:uid="{00000000-0005-0000-0000-00000B000000}"/>
    <cellStyle name="Moneda 2 2 2" xfId="12" xr:uid="{00000000-0005-0000-0000-00000C000000}"/>
    <cellStyle name="Moneda 2 3" xfId="13" xr:uid="{00000000-0005-0000-0000-00000D000000}"/>
    <cellStyle name="Moneda 2 4" xfId="33" xr:uid="{6B0FD6ED-DBBA-4755-9BC8-04A5547F2C44}"/>
    <cellStyle name="Moneda 2 5" xfId="36" xr:uid="{F273ABB9-F46D-4534-B9C3-C21C14F758F9}"/>
    <cellStyle name="Moneda 3" xfId="14" xr:uid="{00000000-0005-0000-0000-00000E000000}"/>
    <cellStyle name="Moneda 4" xfId="15" xr:uid="{00000000-0005-0000-0000-00000F000000}"/>
    <cellStyle name="Moneda 5" xfId="16" xr:uid="{00000000-0005-0000-0000-000010000000}"/>
    <cellStyle name="Moneda 6" xfId="32" xr:uid="{E8483C21-5C82-4DEF-9FC1-DC48D3E3A8C7}"/>
    <cellStyle name="Moneda 7" xfId="35" xr:uid="{A724072C-3A91-4CFC-9C24-4B280012E1ED}"/>
    <cellStyle name="Moneda 8" xfId="37" xr:uid="{3DCB4865-942D-4983-AA67-0F5195F08A79}"/>
    <cellStyle name="Normal" xfId="0" builtinId="0"/>
    <cellStyle name="Normal 10 2" xfId="17" xr:uid="{00000000-0005-0000-0000-000012000000}"/>
    <cellStyle name="Normal 2" xfId="18" xr:uid="{00000000-0005-0000-0000-000013000000}"/>
    <cellStyle name="Normal 2 2" xfId="30" xr:uid="{71C845C2-5706-467C-BD6F-790566D875CF}"/>
    <cellStyle name="Normal 3" xfId="19" xr:uid="{00000000-0005-0000-0000-000014000000}"/>
    <cellStyle name="Normal 3 2" xfId="20" xr:uid="{00000000-0005-0000-0000-000015000000}"/>
    <cellStyle name="Normal 5" xfId="21" xr:uid="{00000000-0005-0000-0000-000016000000}"/>
    <cellStyle name="Normal 6" xfId="22" xr:uid="{00000000-0005-0000-0000-000017000000}"/>
    <cellStyle name="Porcentaje" xfId="1" builtinId="5"/>
    <cellStyle name="Porcentaje 2" xfId="23" xr:uid="{00000000-0005-0000-0000-000019000000}"/>
    <cellStyle name="Porcentaje 2 2" xfId="24" xr:uid="{00000000-0005-0000-0000-00001A000000}"/>
    <cellStyle name="Porcentaje 2 3" xfId="25" xr:uid="{00000000-0005-0000-0000-00001B000000}"/>
    <cellStyle name="Porcentaje 2 4" xfId="26" xr:uid="{00000000-0005-0000-0000-00001C000000}"/>
    <cellStyle name="Porcentaje 3" xfId="27" xr:uid="{00000000-0005-0000-0000-00001D000000}"/>
    <cellStyle name="Porcentaje 3 2" xfId="28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CF5F-C75D-4DDE-BD4E-843E6035AE22}">
  <sheetPr>
    <tabColor rgb="FF7030A0"/>
  </sheetPr>
  <dimension ref="A2:K48"/>
  <sheetViews>
    <sheetView tabSelected="1" topLeftCell="A34" zoomScale="85" zoomScaleNormal="85" workbookViewId="0">
      <selection activeCell="F44" sqref="F44"/>
    </sheetView>
  </sheetViews>
  <sheetFormatPr baseColWidth="10" defaultColWidth="11.42578125" defaultRowHeight="15" x14ac:dyDescent="0.25"/>
  <cols>
    <col min="1" max="1" width="8.42578125" customWidth="1"/>
    <col min="3" max="3" width="53.85546875" style="180" customWidth="1"/>
    <col min="4" max="5" width="10.28515625" customWidth="1"/>
    <col min="6" max="11" width="14.28515625" customWidth="1"/>
  </cols>
  <sheetData>
    <row r="2" spans="1:11" ht="15.75" thickBot="1" x14ac:dyDescent="0.3">
      <c r="B2" s="118"/>
      <c r="C2" s="119"/>
      <c r="D2" s="120"/>
      <c r="E2" s="121"/>
      <c r="F2" s="122"/>
      <c r="G2" s="122"/>
      <c r="H2" s="122"/>
      <c r="I2" s="122"/>
      <c r="J2" s="121"/>
      <c r="K2" s="121"/>
    </row>
    <row r="3" spans="1:11" ht="18.75" thickBot="1" x14ac:dyDescent="0.3">
      <c r="B3" s="651" t="s">
        <v>113</v>
      </c>
      <c r="C3" s="652"/>
      <c r="D3" s="652"/>
      <c r="E3" s="652"/>
      <c r="F3" s="652"/>
      <c r="G3" s="652"/>
      <c r="H3" s="652"/>
      <c r="I3" s="653"/>
      <c r="J3" s="652"/>
      <c r="K3" s="654"/>
    </row>
    <row r="4" spans="1:11" ht="49.5" customHeight="1" thickBot="1" x14ac:dyDescent="0.3">
      <c r="A4" s="191" t="s">
        <v>141</v>
      </c>
      <c r="B4" s="181" t="s">
        <v>1</v>
      </c>
      <c r="C4" s="123" t="s">
        <v>0</v>
      </c>
      <c r="D4" s="124" t="s">
        <v>114</v>
      </c>
      <c r="E4" s="123" t="s">
        <v>115</v>
      </c>
      <c r="F4" s="125" t="s">
        <v>116</v>
      </c>
      <c r="G4" s="126" t="s">
        <v>117</v>
      </c>
      <c r="H4" s="126" t="s">
        <v>118</v>
      </c>
      <c r="I4" s="127" t="s">
        <v>119</v>
      </c>
      <c r="J4" s="128" t="s">
        <v>120</v>
      </c>
      <c r="K4" s="126" t="s">
        <v>121</v>
      </c>
    </row>
    <row r="5" spans="1:11" ht="15.75" thickBot="1" x14ac:dyDescent="0.3">
      <c r="A5" s="192"/>
      <c r="B5" s="655" t="s">
        <v>122</v>
      </c>
      <c r="C5" s="655"/>
      <c r="D5" s="655"/>
      <c r="E5" s="655"/>
      <c r="F5" s="655"/>
      <c r="G5" s="655"/>
      <c r="H5" s="655"/>
      <c r="I5" s="656"/>
      <c r="J5" s="655"/>
      <c r="K5" s="657"/>
    </row>
    <row r="6" spans="1:11" ht="33.75" customHeight="1" thickBot="1" x14ac:dyDescent="0.3">
      <c r="A6" s="35" t="s">
        <v>83</v>
      </c>
      <c r="B6" s="182">
        <v>1</v>
      </c>
      <c r="C6" s="129" t="s">
        <v>193</v>
      </c>
      <c r="D6" s="130">
        <v>1</v>
      </c>
      <c r="E6" s="131" t="s">
        <v>123</v>
      </c>
      <c r="F6" s="132">
        <f>SUM(Resumen!G6,Resumen!I6)</f>
        <v>5780624.7999999998</v>
      </c>
      <c r="G6" s="132">
        <f>F6*D6</f>
        <v>5780624.7999999998</v>
      </c>
      <c r="H6" s="133">
        <f>+Resumen!H6</f>
        <v>1666948</v>
      </c>
      <c r="I6" s="134">
        <f>H6*D6</f>
        <v>1666948</v>
      </c>
      <c r="J6" s="135">
        <f>+Resumen!E6</f>
        <v>7772695.7999999998</v>
      </c>
      <c r="K6" s="133">
        <f>J6*D6</f>
        <v>7772695.7999999998</v>
      </c>
    </row>
    <row r="7" spans="1:11" ht="33.75" customHeight="1" thickBot="1" x14ac:dyDescent="0.3">
      <c r="A7" s="36" t="s">
        <v>84</v>
      </c>
      <c r="B7" s="183">
        <v>2</v>
      </c>
      <c r="C7" s="136" t="s">
        <v>194</v>
      </c>
      <c r="D7" s="137">
        <v>1</v>
      </c>
      <c r="E7" s="138" t="s">
        <v>123</v>
      </c>
      <c r="F7" s="132">
        <f>SUM(Resumen!G7,Resumen!I7)</f>
        <v>4968498.3999999994</v>
      </c>
      <c r="G7" s="132">
        <f>F7*D7</f>
        <v>4968498.3999999994</v>
      </c>
      <c r="H7" s="140">
        <f>+Resumen!H7</f>
        <v>1585530</v>
      </c>
      <c r="I7" s="134">
        <f>H7*D7</f>
        <v>1585530</v>
      </c>
      <c r="J7" s="141">
        <f>+Resumen!E7</f>
        <v>6870341.3999999994</v>
      </c>
      <c r="K7" s="155">
        <f>J7*D7</f>
        <v>6870341.3999999994</v>
      </c>
    </row>
    <row r="8" spans="1:11" ht="33.75" customHeight="1" thickBot="1" x14ac:dyDescent="0.3">
      <c r="A8" s="35"/>
      <c r="B8" s="635" t="s">
        <v>124</v>
      </c>
      <c r="C8" s="636"/>
      <c r="D8" s="636"/>
      <c r="E8" s="636"/>
      <c r="F8" s="636"/>
      <c r="G8" s="636"/>
      <c r="H8" s="636"/>
      <c r="I8" s="658"/>
      <c r="J8" s="636"/>
      <c r="K8" s="638"/>
    </row>
    <row r="9" spans="1:11" ht="33.75" customHeight="1" thickBot="1" x14ac:dyDescent="0.3">
      <c r="A9" s="201" t="s">
        <v>83</v>
      </c>
      <c r="B9" s="184">
        <v>3</v>
      </c>
      <c r="C9" s="142" t="s">
        <v>193</v>
      </c>
      <c r="D9" s="130">
        <v>1</v>
      </c>
      <c r="E9" s="131" t="s">
        <v>123</v>
      </c>
      <c r="F9" s="132">
        <f>+F6</f>
        <v>5780624.7999999998</v>
      </c>
      <c r="G9" s="132">
        <f t="shared" ref="G9:G10" si="0">F9*D9</f>
        <v>5780624.7999999998</v>
      </c>
      <c r="H9" s="133">
        <f>+H6</f>
        <v>1666948</v>
      </c>
      <c r="I9" s="134">
        <f t="shared" ref="I9:I10" si="1">H9*D9</f>
        <v>1666948</v>
      </c>
      <c r="J9" s="135">
        <f>+J6</f>
        <v>7772695.7999999998</v>
      </c>
      <c r="K9" s="133">
        <f>J9*D9</f>
        <v>7772695.7999999998</v>
      </c>
    </row>
    <row r="10" spans="1:11" ht="33.75" customHeight="1" thickBot="1" x14ac:dyDescent="0.3">
      <c r="A10" s="36" t="s">
        <v>85</v>
      </c>
      <c r="B10" s="183">
        <v>4</v>
      </c>
      <c r="C10" s="143" t="s">
        <v>195</v>
      </c>
      <c r="D10" s="137">
        <v>1</v>
      </c>
      <c r="E10" s="138" t="s">
        <v>123</v>
      </c>
      <c r="F10" s="139">
        <f>SUM(Resumen!G8,Resumen!I8)</f>
        <v>15897479</v>
      </c>
      <c r="G10" s="132">
        <f t="shared" si="0"/>
        <v>15897479</v>
      </c>
      <c r="H10" s="140">
        <f>+Resumen!H8</f>
        <v>1585530</v>
      </c>
      <c r="I10" s="134">
        <f t="shared" si="1"/>
        <v>1585530</v>
      </c>
      <c r="J10" s="141">
        <f>+Resumen!E8</f>
        <v>17858242</v>
      </c>
      <c r="K10" s="155">
        <f>J10*D10</f>
        <v>17858242</v>
      </c>
    </row>
    <row r="11" spans="1:11" ht="33.75" customHeight="1" thickBot="1" x14ac:dyDescent="0.3">
      <c r="A11" s="35"/>
      <c r="B11" s="635" t="s">
        <v>125</v>
      </c>
      <c r="C11" s="636"/>
      <c r="D11" s="636"/>
      <c r="E11" s="636"/>
      <c r="F11" s="636"/>
      <c r="G11" s="636"/>
      <c r="H11" s="636"/>
      <c r="I11" s="637"/>
      <c r="J11" s="636"/>
      <c r="K11" s="638"/>
    </row>
    <row r="12" spans="1:11" ht="33.75" customHeight="1" thickBot="1" x14ac:dyDescent="0.3">
      <c r="A12" s="36" t="s">
        <v>86</v>
      </c>
      <c r="B12" s="185">
        <v>5</v>
      </c>
      <c r="C12" s="144" t="s">
        <v>196</v>
      </c>
      <c r="D12" s="145">
        <v>1</v>
      </c>
      <c r="E12" s="146" t="s">
        <v>123</v>
      </c>
      <c r="F12" s="147">
        <f>SUM(Resumen!G9,Resumen!I9)</f>
        <v>9671476</v>
      </c>
      <c r="G12" s="132">
        <f>F12*D12</f>
        <v>9671476</v>
      </c>
      <c r="H12" s="148">
        <f>+Resumen!H9</f>
        <v>1585530</v>
      </c>
      <c r="I12" s="134">
        <f>H12*D12</f>
        <v>1585530</v>
      </c>
      <c r="J12" s="149">
        <f>+Resumen!E9</f>
        <v>11592459</v>
      </c>
      <c r="K12" s="155">
        <f>J12*D12</f>
        <v>11592459</v>
      </c>
    </row>
    <row r="13" spans="1:11" ht="33.75" customHeight="1" thickBot="1" x14ac:dyDescent="0.3">
      <c r="A13" s="201"/>
      <c r="B13" s="659" t="s">
        <v>126</v>
      </c>
      <c r="C13" s="660"/>
      <c r="D13" s="660"/>
      <c r="E13" s="660"/>
      <c r="F13" s="660"/>
      <c r="G13" s="660"/>
      <c r="H13" s="660"/>
      <c r="I13" s="661"/>
      <c r="J13" s="660"/>
      <c r="K13" s="662"/>
    </row>
    <row r="14" spans="1:11" ht="33.75" customHeight="1" thickBot="1" x14ac:dyDescent="0.3">
      <c r="A14" s="36" t="s">
        <v>86</v>
      </c>
      <c r="B14" s="185">
        <v>6</v>
      </c>
      <c r="C14" s="144" t="s">
        <v>196</v>
      </c>
      <c r="D14" s="145">
        <v>3</v>
      </c>
      <c r="E14" s="146" t="s">
        <v>123</v>
      </c>
      <c r="F14" s="147">
        <f>+F12</f>
        <v>9671476</v>
      </c>
      <c r="G14" s="132">
        <f>F14*D14</f>
        <v>29014428</v>
      </c>
      <c r="H14" s="148">
        <f>+H12</f>
        <v>1585530</v>
      </c>
      <c r="I14" s="134">
        <f>H14*D14</f>
        <v>4756590</v>
      </c>
      <c r="J14" s="149">
        <f>+J12</f>
        <v>11592459</v>
      </c>
      <c r="K14" s="155">
        <f>J14*D14</f>
        <v>34777377</v>
      </c>
    </row>
    <row r="15" spans="1:11" ht="33.75" customHeight="1" thickBot="1" x14ac:dyDescent="0.3">
      <c r="A15" s="201"/>
      <c r="B15" s="659" t="s">
        <v>127</v>
      </c>
      <c r="C15" s="660"/>
      <c r="D15" s="660"/>
      <c r="E15" s="660"/>
      <c r="F15" s="660"/>
      <c r="G15" s="660"/>
      <c r="H15" s="660"/>
      <c r="I15" s="663"/>
      <c r="J15" s="660"/>
      <c r="K15" s="662"/>
    </row>
    <row r="16" spans="1:11" ht="33.75" customHeight="1" thickBot="1" x14ac:dyDescent="0.3">
      <c r="A16" s="35" t="s">
        <v>83</v>
      </c>
      <c r="B16" s="186">
        <v>7</v>
      </c>
      <c r="C16" s="151" t="s">
        <v>193</v>
      </c>
      <c r="D16" s="152">
        <v>1</v>
      </c>
      <c r="E16" s="153" t="s">
        <v>123</v>
      </c>
      <c r="F16" s="132">
        <f>+F6</f>
        <v>5780624.7999999998</v>
      </c>
      <c r="G16" s="132">
        <f t="shared" ref="G16:G19" si="2">F16*D16</f>
        <v>5780624.7999999998</v>
      </c>
      <c r="H16" s="155">
        <f>+H6</f>
        <v>1666948</v>
      </c>
      <c r="I16" s="134">
        <f t="shared" ref="I16:I19" si="3">H16*D16</f>
        <v>1666948</v>
      </c>
      <c r="J16" s="135">
        <f>+J6</f>
        <v>7772695.7999999998</v>
      </c>
      <c r="K16" s="155">
        <f>J16*D16</f>
        <v>7772695.7999999998</v>
      </c>
    </row>
    <row r="17" spans="1:11" ht="33.75" customHeight="1" thickBot="1" x14ac:dyDescent="0.3">
      <c r="A17" s="36" t="s">
        <v>84</v>
      </c>
      <c r="B17" s="187">
        <v>8</v>
      </c>
      <c r="C17" s="157" t="s">
        <v>194</v>
      </c>
      <c r="D17" s="158">
        <v>5</v>
      </c>
      <c r="E17" s="159" t="s">
        <v>123</v>
      </c>
      <c r="F17" s="160">
        <f>+F7</f>
        <v>4968498.3999999994</v>
      </c>
      <c r="G17" s="132">
        <f t="shared" si="2"/>
        <v>24842491.999999996</v>
      </c>
      <c r="H17" s="161">
        <f>+H7</f>
        <v>1585530</v>
      </c>
      <c r="I17" s="134">
        <f t="shared" si="3"/>
        <v>7927650</v>
      </c>
      <c r="J17" s="162">
        <f>+J7</f>
        <v>6870341.3999999994</v>
      </c>
      <c r="K17" s="155">
        <f t="shared" ref="K17:K40" si="4">J17*D17</f>
        <v>34351707</v>
      </c>
    </row>
    <row r="18" spans="1:11" ht="33.75" customHeight="1" thickBot="1" x14ac:dyDescent="0.3">
      <c r="A18" s="36" t="s">
        <v>86</v>
      </c>
      <c r="B18" s="187">
        <v>9</v>
      </c>
      <c r="C18" s="157" t="s">
        <v>196</v>
      </c>
      <c r="D18" s="158">
        <v>1</v>
      </c>
      <c r="E18" s="159" t="s">
        <v>123</v>
      </c>
      <c r="F18" s="160">
        <f>+F12</f>
        <v>9671476</v>
      </c>
      <c r="G18" s="132">
        <f t="shared" si="2"/>
        <v>9671476</v>
      </c>
      <c r="H18" s="161">
        <f>+H12</f>
        <v>1585530</v>
      </c>
      <c r="I18" s="134">
        <f t="shared" si="3"/>
        <v>1585530</v>
      </c>
      <c r="J18" s="162">
        <f>+J12</f>
        <v>11592459</v>
      </c>
      <c r="K18" s="155">
        <f t="shared" si="4"/>
        <v>11592459</v>
      </c>
    </row>
    <row r="19" spans="1:11" ht="33.75" customHeight="1" thickBot="1" x14ac:dyDescent="0.3">
      <c r="A19" s="36" t="s">
        <v>87</v>
      </c>
      <c r="B19" s="183">
        <v>10</v>
      </c>
      <c r="C19" s="143" t="s">
        <v>44</v>
      </c>
      <c r="D19" s="137">
        <v>1</v>
      </c>
      <c r="E19" s="138" t="s">
        <v>123</v>
      </c>
      <c r="F19" s="139">
        <f>SUM(Resumen!G10,Resumen!I10)</f>
        <v>42893162.200000003</v>
      </c>
      <c r="G19" s="132">
        <f t="shared" si="2"/>
        <v>42893162.200000003</v>
      </c>
      <c r="H19" s="140">
        <f>+Resumen!H10</f>
        <v>4116589</v>
      </c>
      <c r="I19" s="134">
        <f t="shared" si="3"/>
        <v>4116589</v>
      </c>
      <c r="J19" s="141">
        <f>+Resumen!E10</f>
        <v>47795336.200000003</v>
      </c>
      <c r="K19" s="155">
        <f t="shared" si="4"/>
        <v>47795336.200000003</v>
      </c>
    </row>
    <row r="20" spans="1:11" ht="33.75" customHeight="1" thickBot="1" x14ac:dyDescent="0.3">
      <c r="A20" s="35"/>
      <c r="B20" s="635" t="s">
        <v>128</v>
      </c>
      <c r="C20" s="636"/>
      <c r="D20" s="636"/>
      <c r="E20" s="636"/>
      <c r="F20" s="636"/>
      <c r="G20" s="636"/>
      <c r="H20" s="636"/>
      <c r="I20" s="637"/>
      <c r="J20" s="636"/>
      <c r="K20" s="638"/>
    </row>
    <row r="21" spans="1:11" ht="33.75" customHeight="1" thickBot="1" x14ac:dyDescent="0.3">
      <c r="A21" s="36" t="s">
        <v>88</v>
      </c>
      <c r="B21" s="185">
        <v>11</v>
      </c>
      <c r="C21" s="144" t="s">
        <v>197</v>
      </c>
      <c r="D21" s="145">
        <v>2</v>
      </c>
      <c r="E21" s="146" t="s">
        <v>123</v>
      </c>
      <c r="F21" s="147">
        <f>SUM(Resumen!G11,Resumen!I11)</f>
        <v>11111740.4</v>
      </c>
      <c r="G21" s="132">
        <f>F21*D21</f>
        <v>22223480.800000001</v>
      </c>
      <c r="H21" s="148">
        <f>+Resumen!H11</f>
        <v>1585530</v>
      </c>
      <c r="I21" s="134">
        <f>H21*D21</f>
        <v>3171060</v>
      </c>
      <c r="J21" s="149">
        <f>+Resumen!E11</f>
        <v>13046883.4</v>
      </c>
      <c r="K21" s="155">
        <f t="shared" si="4"/>
        <v>26093766.800000001</v>
      </c>
    </row>
    <row r="22" spans="1:11" ht="33.75" customHeight="1" thickBot="1" x14ac:dyDescent="0.3">
      <c r="A22" s="35"/>
      <c r="B22" s="635" t="s">
        <v>129</v>
      </c>
      <c r="C22" s="636"/>
      <c r="D22" s="636"/>
      <c r="E22" s="636"/>
      <c r="F22" s="636"/>
      <c r="G22" s="636"/>
      <c r="H22" s="636"/>
      <c r="I22" s="637"/>
      <c r="J22" s="636"/>
      <c r="K22" s="638"/>
    </row>
    <row r="23" spans="1:11" ht="33.75" customHeight="1" thickBot="1" x14ac:dyDescent="0.3">
      <c r="A23" s="36" t="s">
        <v>86</v>
      </c>
      <c r="B23" s="186">
        <v>12</v>
      </c>
      <c r="C23" s="151" t="s">
        <v>196</v>
      </c>
      <c r="D23" s="152">
        <v>2</v>
      </c>
      <c r="E23" s="153" t="s">
        <v>123</v>
      </c>
      <c r="F23" s="154">
        <f>+F12</f>
        <v>9671476</v>
      </c>
      <c r="G23" s="132">
        <f t="shared" ref="G23:G24" si="5">F23*D23</f>
        <v>19342952</v>
      </c>
      <c r="H23" s="155">
        <f>+H12</f>
        <v>1585530</v>
      </c>
      <c r="I23" s="134">
        <f t="shared" ref="I23:I24" si="6">H23*D23</f>
        <v>3171060</v>
      </c>
      <c r="J23" s="156">
        <f>+J12</f>
        <v>11592459</v>
      </c>
      <c r="K23" s="155">
        <f t="shared" si="4"/>
        <v>23184918</v>
      </c>
    </row>
    <row r="24" spans="1:11" ht="33.75" customHeight="1" thickBot="1" x14ac:dyDescent="0.3">
      <c r="A24" s="200" t="s">
        <v>85</v>
      </c>
      <c r="B24" s="188">
        <v>13</v>
      </c>
      <c r="C24" s="164" t="s">
        <v>195</v>
      </c>
      <c r="D24" s="165">
        <v>1</v>
      </c>
      <c r="E24" s="166" t="s">
        <v>123</v>
      </c>
      <c r="F24" s="167">
        <f>+F10</f>
        <v>15897479</v>
      </c>
      <c r="G24" s="132">
        <f t="shared" si="5"/>
        <v>15897479</v>
      </c>
      <c r="H24" s="168">
        <f>+H10</f>
        <v>1585530</v>
      </c>
      <c r="I24" s="134">
        <f t="shared" si="6"/>
        <v>1585530</v>
      </c>
      <c r="J24" s="169">
        <f>+J10</f>
        <v>17858242</v>
      </c>
      <c r="K24" s="155">
        <f t="shared" si="4"/>
        <v>17858242</v>
      </c>
    </row>
    <row r="25" spans="1:11" ht="33.75" customHeight="1" thickBot="1" x14ac:dyDescent="0.3">
      <c r="A25" s="35"/>
      <c r="B25" s="635" t="s">
        <v>130</v>
      </c>
      <c r="C25" s="636"/>
      <c r="D25" s="636"/>
      <c r="E25" s="636"/>
      <c r="F25" s="636"/>
      <c r="G25" s="636"/>
      <c r="H25" s="636"/>
      <c r="I25" s="637"/>
      <c r="J25" s="636"/>
      <c r="K25" s="638"/>
    </row>
    <row r="26" spans="1:11" ht="33.75" customHeight="1" thickBot="1" x14ac:dyDescent="0.3">
      <c r="A26" s="36" t="s">
        <v>89</v>
      </c>
      <c r="B26" s="185">
        <v>14</v>
      </c>
      <c r="C26" s="144" t="s">
        <v>198</v>
      </c>
      <c r="D26" s="145">
        <v>1</v>
      </c>
      <c r="E26" s="146" t="s">
        <v>123</v>
      </c>
      <c r="F26" s="147">
        <f>SUM(Resumen!G12,Resumen!I12)</f>
        <v>11655407.600000001</v>
      </c>
      <c r="G26" s="132">
        <f>F26*D26</f>
        <v>11655407.600000001</v>
      </c>
      <c r="H26" s="148">
        <f>+Resumen!H12</f>
        <v>1585530</v>
      </c>
      <c r="I26" s="134">
        <f>H26*D26</f>
        <v>1585530</v>
      </c>
      <c r="J26" s="149">
        <f>+Resumen!E12</f>
        <v>13601410.600000001</v>
      </c>
      <c r="K26" s="155">
        <f t="shared" si="4"/>
        <v>13601410.600000001</v>
      </c>
    </row>
    <row r="27" spans="1:11" ht="33.75" customHeight="1" thickBot="1" x14ac:dyDescent="0.3">
      <c r="A27" s="35"/>
      <c r="B27" s="635" t="s">
        <v>131</v>
      </c>
      <c r="C27" s="636"/>
      <c r="D27" s="636"/>
      <c r="E27" s="636"/>
      <c r="F27" s="636"/>
      <c r="G27" s="636"/>
      <c r="H27" s="636"/>
      <c r="I27" s="637"/>
      <c r="J27" s="636"/>
      <c r="K27" s="638"/>
    </row>
    <row r="28" spans="1:11" ht="33.75" customHeight="1" thickBot="1" x14ac:dyDescent="0.3">
      <c r="A28" s="36" t="s">
        <v>89</v>
      </c>
      <c r="B28" s="186">
        <v>15</v>
      </c>
      <c r="C28" s="151" t="s">
        <v>198</v>
      </c>
      <c r="D28" s="152">
        <v>1</v>
      </c>
      <c r="E28" s="153" t="s">
        <v>123</v>
      </c>
      <c r="F28" s="154">
        <f>+F26</f>
        <v>11655407.600000001</v>
      </c>
      <c r="G28" s="132">
        <f t="shared" ref="G28:G30" si="7">F28*D28</f>
        <v>11655407.600000001</v>
      </c>
      <c r="H28" s="155">
        <f>+H26</f>
        <v>1585530</v>
      </c>
      <c r="I28" s="134">
        <f t="shared" ref="I28:I30" si="8">H28*D28</f>
        <v>1585530</v>
      </c>
      <c r="J28" s="156">
        <f>+J26</f>
        <v>13601410.600000001</v>
      </c>
      <c r="K28" s="155">
        <f t="shared" si="4"/>
        <v>13601410.600000001</v>
      </c>
    </row>
    <row r="29" spans="1:11" ht="33.75" customHeight="1" thickBot="1" x14ac:dyDescent="0.3">
      <c r="A29" s="200" t="s">
        <v>88</v>
      </c>
      <c r="B29" s="189">
        <v>16</v>
      </c>
      <c r="C29" s="170" t="s">
        <v>197</v>
      </c>
      <c r="D29" s="171">
        <v>2</v>
      </c>
      <c r="E29" s="172" t="s">
        <v>123</v>
      </c>
      <c r="F29" s="163">
        <f>+F21</f>
        <v>11111740.4</v>
      </c>
      <c r="G29" s="132">
        <f t="shared" si="7"/>
        <v>22223480.800000001</v>
      </c>
      <c r="H29" s="173">
        <f>+H21</f>
        <v>1585530</v>
      </c>
      <c r="I29" s="134">
        <f t="shared" si="8"/>
        <v>3171060</v>
      </c>
      <c r="J29" s="174">
        <f>+J21</f>
        <v>13046883.4</v>
      </c>
      <c r="K29" s="155">
        <f t="shared" si="4"/>
        <v>26093766.800000001</v>
      </c>
    </row>
    <row r="30" spans="1:11" ht="33.75" customHeight="1" thickBot="1" x14ac:dyDescent="0.3">
      <c r="A30" s="36" t="s">
        <v>85</v>
      </c>
      <c r="B30" s="183">
        <v>17</v>
      </c>
      <c r="C30" s="143" t="s">
        <v>195</v>
      </c>
      <c r="D30" s="137">
        <v>1</v>
      </c>
      <c r="E30" s="138" t="s">
        <v>123</v>
      </c>
      <c r="F30" s="139">
        <f>+F10</f>
        <v>15897479</v>
      </c>
      <c r="G30" s="132">
        <f t="shared" si="7"/>
        <v>15897479</v>
      </c>
      <c r="H30" s="140">
        <f>+H10</f>
        <v>1585530</v>
      </c>
      <c r="I30" s="134">
        <f t="shared" si="8"/>
        <v>1585530</v>
      </c>
      <c r="J30" s="141">
        <f>+J10</f>
        <v>17858242</v>
      </c>
      <c r="K30" s="155">
        <f t="shared" si="4"/>
        <v>17858242</v>
      </c>
    </row>
    <row r="31" spans="1:11" ht="33.75" customHeight="1" thickBot="1" x14ac:dyDescent="0.3">
      <c r="A31" s="35"/>
      <c r="B31" s="635" t="s">
        <v>132</v>
      </c>
      <c r="C31" s="636"/>
      <c r="D31" s="636"/>
      <c r="E31" s="636"/>
      <c r="F31" s="636"/>
      <c r="G31" s="636"/>
      <c r="H31" s="636"/>
      <c r="I31" s="637"/>
      <c r="J31" s="636"/>
      <c r="K31" s="638"/>
    </row>
    <row r="32" spans="1:11" ht="33.75" customHeight="1" thickBot="1" x14ac:dyDescent="0.3">
      <c r="A32" s="36" t="s">
        <v>89</v>
      </c>
      <c r="B32" s="185">
        <v>18</v>
      </c>
      <c r="C32" s="144" t="s">
        <v>198</v>
      </c>
      <c r="D32" s="145">
        <v>2</v>
      </c>
      <c r="E32" s="146" t="s">
        <v>123</v>
      </c>
      <c r="F32" s="147">
        <f>+F26</f>
        <v>11655407.600000001</v>
      </c>
      <c r="G32" s="132">
        <f>F32*D32</f>
        <v>23310815.200000003</v>
      </c>
      <c r="H32" s="148">
        <f>+H26</f>
        <v>1585530</v>
      </c>
      <c r="I32" s="134">
        <f>H32*D32</f>
        <v>3171060</v>
      </c>
      <c r="J32" s="149">
        <f>+J26</f>
        <v>13601410.600000001</v>
      </c>
      <c r="K32" s="155">
        <f t="shared" si="4"/>
        <v>27202821.200000003</v>
      </c>
    </row>
    <row r="33" spans="1:11" ht="33.75" customHeight="1" thickBot="1" x14ac:dyDescent="0.3">
      <c r="A33" s="35"/>
      <c r="B33" s="635" t="s">
        <v>133</v>
      </c>
      <c r="C33" s="636"/>
      <c r="D33" s="636"/>
      <c r="E33" s="636"/>
      <c r="F33" s="636"/>
      <c r="G33" s="636"/>
      <c r="H33" s="636"/>
      <c r="I33" s="637"/>
      <c r="J33" s="636"/>
      <c r="K33" s="638"/>
    </row>
    <row r="34" spans="1:11" ht="33.75" customHeight="1" thickBot="1" x14ac:dyDescent="0.3">
      <c r="A34" s="200" t="s">
        <v>89</v>
      </c>
      <c r="B34" s="190">
        <v>19</v>
      </c>
      <c r="C34" s="175" t="s">
        <v>198</v>
      </c>
      <c r="D34" s="176">
        <v>2</v>
      </c>
      <c r="E34" s="177" t="s">
        <v>123</v>
      </c>
      <c r="F34" s="150">
        <f>+F26</f>
        <v>11655407.600000001</v>
      </c>
      <c r="G34" s="132">
        <f>F34*D34</f>
        <v>23310815.200000003</v>
      </c>
      <c r="H34" s="178">
        <f>+H26</f>
        <v>1585530</v>
      </c>
      <c r="I34" s="134">
        <f>H34*D34</f>
        <v>3171060</v>
      </c>
      <c r="J34" s="179">
        <f>+J26</f>
        <v>13601410.600000001</v>
      </c>
      <c r="K34" s="155">
        <f t="shared" si="4"/>
        <v>27202821.200000003</v>
      </c>
    </row>
    <row r="35" spans="1:11" ht="33.75" customHeight="1" thickBot="1" x14ac:dyDescent="0.3">
      <c r="A35" s="35"/>
      <c r="B35" s="635" t="s">
        <v>134</v>
      </c>
      <c r="C35" s="636"/>
      <c r="D35" s="636"/>
      <c r="E35" s="636"/>
      <c r="F35" s="636"/>
      <c r="G35" s="636"/>
      <c r="H35" s="636"/>
      <c r="I35" s="637"/>
      <c r="J35" s="636"/>
      <c r="K35" s="638"/>
    </row>
    <row r="36" spans="1:11" ht="33.75" customHeight="1" thickBot="1" x14ac:dyDescent="0.3">
      <c r="A36" s="36" t="s">
        <v>90</v>
      </c>
      <c r="B36" s="185">
        <v>20</v>
      </c>
      <c r="C36" s="144" t="s">
        <v>135</v>
      </c>
      <c r="D36" s="145">
        <v>1</v>
      </c>
      <c r="E36" s="146" t="s">
        <v>123</v>
      </c>
      <c r="F36" s="147">
        <f>SUM(Resumen!G13,Resumen!I13)</f>
        <v>80789740.400000006</v>
      </c>
      <c r="G36" s="132">
        <f>F36*D36</f>
        <v>80789740.400000006</v>
      </c>
      <c r="H36" s="148">
        <f>+Resumen!H13</f>
        <v>27577620</v>
      </c>
      <c r="I36" s="134">
        <f>H36*D36</f>
        <v>27577620</v>
      </c>
      <c r="J36" s="149">
        <f>+Resumen!E13</f>
        <v>110283421.40000001</v>
      </c>
      <c r="K36" s="155">
        <f t="shared" si="4"/>
        <v>110283421.40000001</v>
      </c>
    </row>
    <row r="37" spans="1:11" ht="33.75" customHeight="1" thickBot="1" x14ac:dyDescent="0.3">
      <c r="A37" s="35"/>
      <c r="B37" s="635" t="s">
        <v>136</v>
      </c>
      <c r="C37" s="636"/>
      <c r="D37" s="636"/>
      <c r="E37" s="636"/>
      <c r="F37" s="636"/>
      <c r="G37" s="636"/>
      <c r="H37" s="636"/>
      <c r="I37" s="637"/>
      <c r="J37" s="636"/>
      <c r="K37" s="638"/>
    </row>
    <row r="38" spans="1:11" ht="47.25" customHeight="1" thickBot="1" x14ac:dyDescent="0.3">
      <c r="A38" s="200" t="s">
        <v>91</v>
      </c>
      <c r="B38" s="193">
        <v>21</v>
      </c>
      <c r="C38" s="194" t="s">
        <v>51</v>
      </c>
      <c r="D38" s="195">
        <v>3</v>
      </c>
      <c r="E38" s="196" t="s">
        <v>123</v>
      </c>
      <c r="F38" s="197">
        <f>SUM(Resumen!G14,Resumen!I14)</f>
        <v>14276075.6</v>
      </c>
      <c r="G38" s="132">
        <f>F38*D38</f>
        <v>42828226.799999997</v>
      </c>
      <c r="H38" s="198">
        <f>+Resumen!H14</f>
        <v>10581626</v>
      </c>
      <c r="I38" s="134">
        <f>H38*D38</f>
        <v>31744878</v>
      </c>
      <c r="J38" s="199">
        <f>+Resumen!E14</f>
        <v>25554962.600000001</v>
      </c>
      <c r="K38" s="155">
        <f t="shared" si="4"/>
        <v>76664887.800000012</v>
      </c>
    </row>
    <row r="39" spans="1:11" ht="32.25" customHeight="1" thickBot="1" x14ac:dyDescent="0.3">
      <c r="B39" s="632" t="s">
        <v>146</v>
      </c>
      <c r="C39" s="633"/>
      <c r="D39" s="633"/>
      <c r="E39" s="633"/>
      <c r="F39" s="633"/>
      <c r="G39" s="633"/>
      <c r="H39" s="633"/>
      <c r="I39" s="633"/>
      <c r="J39" s="633"/>
      <c r="K39" s="634"/>
    </row>
    <row r="40" spans="1:11" ht="33.75" customHeight="1" thickBot="1" x14ac:dyDescent="0.3">
      <c r="A40" s="200" t="s">
        <v>85</v>
      </c>
      <c r="B40" s="172">
        <v>22</v>
      </c>
      <c r="C40" s="164" t="s">
        <v>199</v>
      </c>
      <c r="D40" s="165">
        <v>2</v>
      </c>
      <c r="E40" s="166" t="s">
        <v>123</v>
      </c>
      <c r="F40" s="167">
        <f>+F10</f>
        <v>15897479</v>
      </c>
      <c r="G40" s="132">
        <f>F40*D40</f>
        <v>31794958</v>
      </c>
      <c r="H40" s="168">
        <f>+H10</f>
        <v>1585530</v>
      </c>
      <c r="I40" s="134">
        <f>H40*D40</f>
        <v>3171060</v>
      </c>
      <c r="J40" s="169">
        <f>+J10</f>
        <v>17858242</v>
      </c>
      <c r="K40" s="155">
        <f t="shared" si="4"/>
        <v>35716484</v>
      </c>
    </row>
    <row r="41" spans="1:11" x14ac:dyDescent="0.25">
      <c r="B41" s="650"/>
      <c r="C41" s="650"/>
      <c r="D41" s="650"/>
      <c r="E41" s="650"/>
      <c r="F41" s="650"/>
      <c r="G41" s="650"/>
      <c r="H41" s="650"/>
      <c r="I41" s="650"/>
      <c r="J41" s="650"/>
      <c r="K41" s="650"/>
    </row>
    <row r="42" spans="1:11" ht="25.5" x14ac:dyDescent="0.25">
      <c r="A42" s="36" t="s">
        <v>370</v>
      </c>
      <c r="B42" s="609">
        <v>23</v>
      </c>
      <c r="C42" s="607" t="s">
        <v>350</v>
      </c>
      <c r="D42" s="608">
        <v>1062</v>
      </c>
      <c r="E42" s="609" t="s">
        <v>96</v>
      </c>
      <c r="F42" s="614">
        <f>+Resumen!G15</f>
        <v>7962.4</v>
      </c>
      <c r="G42" s="614">
        <f>+F42*D42</f>
        <v>8456068.7999999989</v>
      </c>
      <c r="H42" s="614">
        <f>+Resumen!H15</f>
        <v>4287</v>
      </c>
      <c r="I42" s="614">
        <f>+H42*D42</f>
        <v>4552794</v>
      </c>
      <c r="J42" s="615">
        <f>+Resumen!E15</f>
        <v>14358.4</v>
      </c>
      <c r="K42" s="615">
        <f>+J42*D42</f>
        <v>15248620.799999999</v>
      </c>
    </row>
    <row r="43" spans="1:11" x14ac:dyDescent="0.25">
      <c r="A43" s="36"/>
      <c r="B43" s="609"/>
      <c r="C43" s="607"/>
      <c r="D43" s="608"/>
      <c r="E43" s="609"/>
      <c r="F43" s="614"/>
      <c r="G43" s="614"/>
      <c r="H43" s="614"/>
      <c r="I43" s="614"/>
      <c r="J43" s="615"/>
      <c r="K43" s="615"/>
    </row>
    <row r="44" spans="1:11" ht="26.25" thickBot="1" x14ac:dyDescent="0.3">
      <c r="A44" s="616" t="s">
        <v>371</v>
      </c>
      <c r="B44" s="619">
        <v>24</v>
      </c>
      <c r="C44" s="617" t="s">
        <v>362</v>
      </c>
      <c r="D44" s="618">
        <v>32</v>
      </c>
      <c r="E44" s="166" t="s">
        <v>123</v>
      </c>
      <c r="F44" s="620">
        <f>+Resumen!G16</f>
        <v>375061.9</v>
      </c>
      <c r="G44" s="620">
        <f t="shared" ref="G44" si="9">+F44*D44</f>
        <v>12001980.800000001</v>
      </c>
      <c r="H44" s="620">
        <f>+Resumen!H16</f>
        <v>341436</v>
      </c>
      <c r="I44" s="620">
        <f t="shared" ref="I44" si="10">+H44*D44</f>
        <v>10925952</v>
      </c>
      <c r="J44" s="621">
        <f>+Resumen!E16</f>
        <v>758569.7</v>
      </c>
      <c r="K44" s="615">
        <f t="shared" ref="K44" si="11">+J44*D44</f>
        <v>24274230.399999999</v>
      </c>
    </row>
    <row r="45" spans="1:11" ht="19.5" thickBot="1" x14ac:dyDescent="0.3">
      <c r="B45" s="639" t="s">
        <v>137</v>
      </c>
      <c r="C45" s="640"/>
      <c r="D45" s="640"/>
      <c r="E45" s="640"/>
      <c r="F45" s="640"/>
      <c r="G45" s="640"/>
      <c r="H45" s="640"/>
      <c r="I45" s="640"/>
      <c r="J45" s="640"/>
      <c r="K45" s="641"/>
    </row>
    <row r="46" spans="1:11" ht="18" x14ac:dyDescent="0.25">
      <c r="B46" s="642" t="s">
        <v>138</v>
      </c>
      <c r="C46" s="643"/>
      <c r="D46" s="643"/>
      <c r="E46" s="643"/>
      <c r="F46" s="643"/>
      <c r="G46" s="643"/>
      <c r="H46" s="643"/>
      <c r="I46" s="644">
        <f>SUM(G6:G44)</f>
        <v>495689178.00000006</v>
      </c>
      <c r="J46" s="644"/>
      <c r="K46" s="645"/>
    </row>
    <row r="47" spans="1:11" ht="18" x14ac:dyDescent="0.25">
      <c r="B47" s="646" t="s">
        <v>139</v>
      </c>
      <c r="C47" s="647"/>
      <c r="D47" s="647"/>
      <c r="E47" s="647"/>
      <c r="F47" s="647"/>
      <c r="G47" s="647"/>
      <c r="H47" s="647"/>
      <c r="I47" s="648">
        <f>SUM(I6:I44)+Resumen!F31</f>
        <v>147351874.59999999</v>
      </c>
      <c r="J47" s="648"/>
      <c r="K47" s="649"/>
    </row>
    <row r="48" spans="1:11" ht="18.75" thickBot="1" x14ac:dyDescent="0.3">
      <c r="B48" s="628" t="s">
        <v>140</v>
      </c>
      <c r="C48" s="629"/>
      <c r="D48" s="629"/>
      <c r="E48" s="629"/>
      <c r="F48" s="629"/>
      <c r="G48" s="629"/>
      <c r="H48" s="629"/>
      <c r="I48" s="630">
        <f>I46+I47</f>
        <v>643041052.60000002</v>
      </c>
      <c r="J48" s="630"/>
      <c r="K48" s="631"/>
    </row>
  </sheetData>
  <autoFilter ref="A2:K48" xr:uid="{581F1758-8F01-484F-AB44-19495C3DBFF5}"/>
  <mergeCells count="23">
    <mergeCell ref="B33:K33"/>
    <mergeCell ref="B3:K3"/>
    <mergeCell ref="B5:K5"/>
    <mergeCell ref="B8:K8"/>
    <mergeCell ref="B11:K11"/>
    <mergeCell ref="B13:K13"/>
    <mergeCell ref="B15:K15"/>
    <mergeCell ref="B20:K20"/>
    <mergeCell ref="B22:K22"/>
    <mergeCell ref="B25:K25"/>
    <mergeCell ref="B27:K27"/>
    <mergeCell ref="B31:K31"/>
    <mergeCell ref="B48:H48"/>
    <mergeCell ref="I48:K48"/>
    <mergeCell ref="B39:K39"/>
    <mergeCell ref="B35:K35"/>
    <mergeCell ref="B37:K37"/>
    <mergeCell ref="B45:K45"/>
    <mergeCell ref="B46:H46"/>
    <mergeCell ref="I46:K46"/>
    <mergeCell ref="B47:H47"/>
    <mergeCell ref="I47:K47"/>
    <mergeCell ref="B41:K41"/>
  </mergeCells>
  <pageMargins left="0.7" right="0.7" top="0.75" bottom="0.7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89FE-E993-4000-81E3-957932F47489}">
  <sheetPr>
    <tabColor theme="3" tint="0.79998168889431442"/>
  </sheetPr>
  <dimension ref="B2:X64"/>
  <sheetViews>
    <sheetView topLeftCell="A37" zoomScale="85" zoomScaleNormal="85" workbookViewId="0">
      <selection activeCell="I54" sqref="I54"/>
    </sheetView>
  </sheetViews>
  <sheetFormatPr baseColWidth="10" defaultColWidth="11.42578125" defaultRowHeight="12.75" x14ac:dyDescent="0.2"/>
  <cols>
    <col min="1" max="1" width="11.42578125" style="1"/>
    <col min="2" max="2" width="9.5703125" style="24" customWidth="1"/>
    <col min="3" max="3" width="53.85546875" style="1" customWidth="1"/>
    <col min="4" max="4" width="10.7109375" style="25" customWidth="1"/>
    <col min="5" max="5" width="20" style="24" customWidth="1"/>
    <col min="6" max="6" width="16.42578125" style="48" bestFit="1" customWidth="1"/>
    <col min="7" max="7" width="16.85546875" style="25" bestFit="1" customWidth="1"/>
    <col min="8" max="8" width="18.5703125" style="1" bestFit="1" customWidth="1"/>
    <col min="9" max="9" width="11.5703125" style="1" bestFit="1" customWidth="1"/>
    <col min="10" max="16384" width="11.42578125" style="1"/>
  </cols>
  <sheetData>
    <row r="2" spans="2:24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4" ht="69" customHeight="1" x14ac:dyDescent="0.2">
      <c r="B3" s="57" t="s">
        <v>1</v>
      </c>
      <c r="C3" s="678" t="s">
        <v>44</v>
      </c>
      <c r="D3" s="678"/>
      <c r="E3" s="678"/>
      <c r="F3" s="678"/>
      <c r="G3" s="678"/>
      <c r="H3" s="57">
        <v>10</v>
      </c>
      <c r="I3" s="85">
        <v>1</v>
      </c>
      <c r="X3" s="1" t="s">
        <v>4</v>
      </c>
    </row>
    <row r="4" spans="2:24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X4" s="1" t="s">
        <v>6</v>
      </c>
    </row>
    <row r="5" spans="2:24" ht="15" x14ac:dyDescent="0.25">
      <c r="B5" s="59" t="s">
        <v>7</v>
      </c>
      <c r="C5" s="60" t="s">
        <v>8</v>
      </c>
      <c r="D5" s="59" t="s">
        <v>3</v>
      </c>
      <c r="E5" s="59" t="s">
        <v>9</v>
      </c>
      <c r="F5" s="96" t="s">
        <v>10</v>
      </c>
      <c r="G5" s="59" t="s">
        <v>11</v>
      </c>
      <c r="H5" s="60" t="s">
        <v>12</v>
      </c>
      <c r="I5" s="85"/>
      <c r="X5" s="1" t="s">
        <v>13</v>
      </c>
    </row>
    <row r="6" spans="2:24" ht="14.25" x14ac:dyDescent="0.2">
      <c r="B6" s="61"/>
      <c r="C6" s="86" t="s">
        <v>71</v>
      </c>
      <c r="D6" s="42" t="s">
        <v>46</v>
      </c>
      <c r="E6" s="53">
        <v>50000</v>
      </c>
      <c r="F6" s="42">
        <v>6.4279999999999999</v>
      </c>
      <c r="G6" s="43">
        <v>0</v>
      </c>
      <c r="H6" s="74">
        <f>+E6*F6*(1+G6)</f>
        <v>321400</v>
      </c>
      <c r="I6" s="85"/>
    </row>
    <row r="7" spans="2:24" ht="14.25" x14ac:dyDescent="0.2">
      <c r="B7" s="61"/>
      <c r="C7" s="58" t="s">
        <v>20</v>
      </c>
      <c r="D7" s="42" t="s">
        <v>72</v>
      </c>
      <c r="E7" s="53">
        <f>H57*0.05</f>
        <v>205829.45</v>
      </c>
      <c r="F7" s="42">
        <v>1</v>
      </c>
      <c r="G7" s="43">
        <v>0</v>
      </c>
      <c r="H7" s="74">
        <f t="shared" ref="H7:H9" si="0">+E7*F7*(1+G7)</f>
        <v>205829.45</v>
      </c>
      <c r="I7" s="85"/>
    </row>
    <row r="8" spans="2:24" ht="14.25" x14ac:dyDescent="0.2">
      <c r="B8" s="61"/>
      <c r="C8" s="86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si="0"/>
        <v>194076</v>
      </c>
      <c r="I8" s="85"/>
    </row>
    <row r="9" spans="2:24" ht="14.25" x14ac:dyDescent="0.2">
      <c r="B9" s="61"/>
      <c r="C9" s="86" t="s">
        <v>54</v>
      </c>
      <c r="D9" s="42" t="s">
        <v>46</v>
      </c>
      <c r="E9" s="53">
        <v>10000</v>
      </c>
      <c r="F9" s="42">
        <f>F6</f>
        <v>6.4279999999999999</v>
      </c>
      <c r="G9" s="43">
        <v>0</v>
      </c>
      <c r="H9" s="74">
        <f t="shared" si="0"/>
        <v>64280</v>
      </c>
      <c r="I9" s="85"/>
    </row>
    <row r="10" spans="2:24" ht="15" x14ac:dyDescent="0.25">
      <c r="B10" s="670"/>
      <c r="C10" s="671"/>
      <c r="D10" s="671"/>
      <c r="E10" s="672"/>
      <c r="F10" s="96" t="s">
        <v>14</v>
      </c>
      <c r="G10" s="59"/>
      <c r="H10" s="62">
        <f>ROUND(SUM(H6:H9),0)</f>
        <v>785585</v>
      </c>
      <c r="I10" s="85"/>
    </row>
    <row r="11" spans="2:24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</row>
    <row r="12" spans="2:24" ht="15" x14ac:dyDescent="0.25">
      <c r="B12" s="59" t="s">
        <v>7</v>
      </c>
      <c r="C12" s="97" t="s">
        <v>8</v>
      </c>
      <c r="D12" s="59" t="s">
        <v>3</v>
      </c>
      <c r="E12" s="59" t="s">
        <v>9</v>
      </c>
      <c r="F12" s="96" t="s">
        <v>10</v>
      </c>
      <c r="G12" s="59" t="s">
        <v>11</v>
      </c>
      <c r="H12" s="60" t="s">
        <v>12</v>
      </c>
      <c r="I12" s="85"/>
    </row>
    <row r="13" spans="2:24" ht="15" x14ac:dyDescent="0.2">
      <c r="B13" s="59"/>
      <c r="C13" s="98" t="s">
        <v>153</v>
      </c>
      <c r="D13" s="44" t="s">
        <v>25</v>
      </c>
      <c r="E13" s="215">
        <v>2329824.2000000002</v>
      </c>
      <c r="F13" s="84">
        <v>6</v>
      </c>
      <c r="G13" s="43">
        <v>0</v>
      </c>
      <c r="H13" s="63">
        <f t="shared" ref="H13:H20" si="1">+E13*F13</f>
        <v>13978945.200000001</v>
      </c>
      <c r="I13" s="85"/>
    </row>
    <row r="14" spans="2:24" ht="42.75" x14ac:dyDescent="0.2">
      <c r="B14" s="59"/>
      <c r="C14" s="220" t="s">
        <v>152</v>
      </c>
      <c r="D14" s="44" t="s">
        <v>25</v>
      </c>
      <c r="E14" s="215">
        <v>740300.00000000012</v>
      </c>
      <c r="F14" s="42">
        <v>6</v>
      </c>
      <c r="G14" s="43">
        <v>0</v>
      </c>
      <c r="H14" s="63">
        <f t="shared" si="1"/>
        <v>4441800.0000000009</v>
      </c>
      <c r="I14" s="85"/>
    </row>
    <row r="15" spans="2:24" ht="28.5" x14ac:dyDescent="0.2">
      <c r="B15" s="59"/>
      <c r="C15" s="54" t="s">
        <v>191</v>
      </c>
      <c r="D15" s="44" t="s">
        <v>25</v>
      </c>
      <c r="E15" s="231">
        <f>105000*1.12</f>
        <v>117600.00000000001</v>
      </c>
      <c r="F15" s="42">
        <v>6</v>
      </c>
      <c r="G15" s="43">
        <v>0</v>
      </c>
      <c r="H15" s="63">
        <f t="shared" si="1"/>
        <v>705600.00000000012</v>
      </c>
      <c r="I15" s="85"/>
    </row>
    <row r="16" spans="2:24" ht="15" x14ac:dyDescent="0.2">
      <c r="B16" s="59"/>
      <c r="C16" s="54" t="s">
        <v>192</v>
      </c>
      <c r="D16" s="44" t="s">
        <v>25</v>
      </c>
      <c r="E16" s="231">
        <f>13900*1.2</f>
        <v>16680</v>
      </c>
      <c r="F16" s="42">
        <v>6</v>
      </c>
      <c r="G16" s="43">
        <v>0</v>
      </c>
      <c r="H16" s="63">
        <f t="shared" si="1"/>
        <v>100080</v>
      </c>
      <c r="I16" s="85"/>
    </row>
    <row r="17" spans="2:9" ht="14.25" x14ac:dyDescent="0.2">
      <c r="B17" s="42"/>
      <c r="C17" s="54" t="s">
        <v>332</v>
      </c>
      <c r="D17" s="44" t="s">
        <v>25</v>
      </c>
      <c r="E17" s="215">
        <v>1481000</v>
      </c>
      <c r="F17" s="84">
        <v>6</v>
      </c>
      <c r="G17" s="43">
        <v>0</v>
      </c>
      <c r="H17" s="63">
        <f t="shared" si="1"/>
        <v>8886000</v>
      </c>
      <c r="I17" s="85"/>
    </row>
    <row r="18" spans="2:9" ht="14.25" x14ac:dyDescent="0.2">
      <c r="B18" s="42"/>
      <c r="C18" s="221" t="s">
        <v>173</v>
      </c>
      <c r="D18" s="44" t="s">
        <v>25</v>
      </c>
      <c r="E18" s="215">
        <v>16010.800000000001</v>
      </c>
      <c r="F18" s="84">
        <v>9</v>
      </c>
      <c r="G18" s="43">
        <v>0</v>
      </c>
      <c r="H18" s="63">
        <f t="shared" si="1"/>
        <v>144097.20000000001</v>
      </c>
      <c r="I18" s="85"/>
    </row>
    <row r="19" spans="2:9" ht="14.25" x14ac:dyDescent="0.2">
      <c r="B19" s="42"/>
      <c r="C19" s="54" t="s">
        <v>66</v>
      </c>
      <c r="D19" s="44" t="s">
        <v>25</v>
      </c>
      <c r="E19" s="56">
        <v>42920</v>
      </c>
      <c r="F19" s="55">
        <v>1</v>
      </c>
      <c r="G19" s="43">
        <v>0</v>
      </c>
      <c r="H19" s="63">
        <f t="shared" si="1"/>
        <v>42920</v>
      </c>
      <c r="I19" s="85"/>
    </row>
    <row r="20" spans="2:9" ht="14.25" x14ac:dyDescent="0.2">
      <c r="B20" s="42"/>
      <c r="C20" s="65" t="s">
        <v>175</v>
      </c>
      <c r="D20" s="88" t="s">
        <v>96</v>
      </c>
      <c r="E20" s="223">
        <v>23880</v>
      </c>
      <c r="F20" s="42">
        <v>0.5</v>
      </c>
      <c r="G20" s="43">
        <v>0</v>
      </c>
      <c r="H20" s="63">
        <f t="shared" si="1"/>
        <v>11940</v>
      </c>
      <c r="I20" s="85"/>
    </row>
    <row r="21" spans="2:9" ht="14.25" x14ac:dyDescent="0.2">
      <c r="B21" s="42"/>
      <c r="C21" s="54" t="s">
        <v>182</v>
      </c>
      <c r="D21" s="44" t="s">
        <v>25</v>
      </c>
      <c r="E21" s="215">
        <v>535000</v>
      </c>
      <c r="F21" s="99">
        <v>3</v>
      </c>
      <c r="G21" s="43">
        <v>0</v>
      </c>
      <c r="H21" s="63">
        <f t="shared" ref="H21:H42" si="2">+E21*F21</f>
        <v>1605000</v>
      </c>
      <c r="I21" s="85"/>
    </row>
    <row r="22" spans="2:9" ht="28.5" customHeight="1" x14ac:dyDescent="0.2">
      <c r="B22" s="42"/>
      <c r="C22" s="54" t="s">
        <v>56</v>
      </c>
      <c r="D22" s="44" t="s">
        <v>25</v>
      </c>
      <c r="E22" s="215">
        <v>1551000</v>
      </c>
      <c r="F22" s="84">
        <v>1</v>
      </c>
      <c r="G22" s="43">
        <v>0</v>
      </c>
      <c r="H22" s="63">
        <f>+E22*F22</f>
        <v>1551000</v>
      </c>
      <c r="I22" s="85"/>
    </row>
    <row r="23" spans="2:9" ht="14.25" x14ac:dyDescent="0.2">
      <c r="B23" s="42"/>
      <c r="C23" s="87" t="s">
        <v>104</v>
      </c>
      <c r="D23" s="103" t="s">
        <v>25</v>
      </c>
      <c r="E23" s="215">
        <v>271000</v>
      </c>
      <c r="F23" s="84">
        <v>2</v>
      </c>
      <c r="G23" s="43">
        <v>0</v>
      </c>
      <c r="H23" s="63">
        <f t="shared" si="2"/>
        <v>542000</v>
      </c>
      <c r="I23" s="85"/>
    </row>
    <row r="24" spans="2:9" ht="31.5" customHeight="1" x14ac:dyDescent="0.2">
      <c r="B24" s="42"/>
      <c r="C24" s="220" t="s">
        <v>155</v>
      </c>
      <c r="D24" s="44" t="s">
        <v>25</v>
      </c>
      <c r="E24" s="215">
        <v>3428000</v>
      </c>
      <c r="F24" s="84">
        <v>1</v>
      </c>
      <c r="G24" s="43">
        <v>0</v>
      </c>
      <c r="H24" s="63">
        <f t="shared" si="2"/>
        <v>3428000</v>
      </c>
      <c r="I24" s="85"/>
    </row>
    <row r="25" spans="2:9" ht="31.5" customHeight="1" x14ac:dyDescent="0.2">
      <c r="B25" s="42"/>
      <c r="C25" s="221" t="s">
        <v>156</v>
      </c>
      <c r="D25" s="44" t="s">
        <v>25</v>
      </c>
      <c r="E25" s="215">
        <v>2922700</v>
      </c>
      <c r="F25" s="84">
        <v>1</v>
      </c>
      <c r="G25" s="43">
        <v>0</v>
      </c>
      <c r="H25" s="63">
        <f t="shared" ref="H25:H26" si="3">+E25*F25</f>
        <v>2922700</v>
      </c>
      <c r="I25" s="85"/>
    </row>
    <row r="26" spans="2:9" ht="31.5" customHeight="1" x14ac:dyDescent="0.2">
      <c r="B26" s="42"/>
      <c r="C26" s="221" t="s">
        <v>167</v>
      </c>
      <c r="D26" s="44" t="s">
        <v>25</v>
      </c>
      <c r="E26" s="215">
        <v>274800</v>
      </c>
      <c r="F26" s="84">
        <v>6</v>
      </c>
      <c r="G26" s="43">
        <v>0</v>
      </c>
      <c r="H26" s="63">
        <f t="shared" si="3"/>
        <v>1648800</v>
      </c>
      <c r="I26" s="85"/>
    </row>
    <row r="27" spans="2:9" ht="14.25" x14ac:dyDescent="0.2">
      <c r="B27" s="42"/>
      <c r="C27" s="220" t="s">
        <v>260</v>
      </c>
      <c r="D27" s="44" t="s">
        <v>24</v>
      </c>
      <c r="E27" s="230">
        <v>4040</v>
      </c>
      <c r="F27" s="42">
        <v>4</v>
      </c>
      <c r="G27" s="43">
        <v>0</v>
      </c>
      <c r="H27" s="63">
        <f t="shared" si="2"/>
        <v>16160</v>
      </c>
      <c r="I27" s="85"/>
    </row>
    <row r="28" spans="2:9" ht="14.25" x14ac:dyDescent="0.2">
      <c r="B28" s="42"/>
      <c r="C28" s="217" t="s">
        <v>162</v>
      </c>
      <c r="D28" s="601" t="s">
        <v>25</v>
      </c>
      <c r="E28" s="611">
        <v>1000</v>
      </c>
      <c r="F28" s="42">
        <v>12</v>
      </c>
      <c r="G28" s="43">
        <v>0</v>
      </c>
      <c r="H28" s="63">
        <f t="shared" si="2"/>
        <v>12000</v>
      </c>
      <c r="I28" s="85"/>
    </row>
    <row r="29" spans="2:9" ht="14.25" x14ac:dyDescent="0.2">
      <c r="B29" s="42"/>
      <c r="C29" s="54" t="s">
        <v>67</v>
      </c>
      <c r="D29" s="44" t="s">
        <v>25</v>
      </c>
      <c r="E29" s="215">
        <v>10890</v>
      </c>
      <c r="F29" s="84">
        <v>6</v>
      </c>
      <c r="G29" s="43">
        <v>0</v>
      </c>
      <c r="H29" s="63">
        <f t="shared" si="2"/>
        <v>65340</v>
      </c>
      <c r="I29" s="85"/>
    </row>
    <row r="30" spans="2:9" ht="14.25" x14ac:dyDescent="0.2">
      <c r="B30" s="42"/>
      <c r="C30" s="54" t="s">
        <v>22</v>
      </c>
      <c r="D30" s="44" t="s">
        <v>24</v>
      </c>
      <c r="E30" s="56">
        <v>7500</v>
      </c>
      <c r="F30" s="84">
        <v>60</v>
      </c>
      <c r="G30" s="43">
        <v>0</v>
      </c>
      <c r="H30" s="63">
        <f t="shared" si="2"/>
        <v>450000</v>
      </c>
      <c r="I30" s="85"/>
    </row>
    <row r="31" spans="2:9" ht="14.25" x14ac:dyDescent="0.2">
      <c r="B31" s="42"/>
      <c r="C31" s="54" t="s">
        <v>95</v>
      </c>
      <c r="D31" s="44" t="s">
        <v>25</v>
      </c>
      <c r="E31" s="215">
        <v>8200</v>
      </c>
      <c r="F31" s="42">
        <v>12</v>
      </c>
      <c r="G31" s="43">
        <v>0</v>
      </c>
      <c r="H31" s="63">
        <f t="shared" si="2"/>
        <v>98400</v>
      </c>
      <c r="I31" s="85"/>
    </row>
    <row r="32" spans="2:9" ht="14.25" x14ac:dyDescent="0.2">
      <c r="B32" s="42"/>
      <c r="C32" s="54" t="s">
        <v>28</v>
      </c>
      <c r="D32" s="44" t="s">
        <v>24</v>
      </c>
      <c r="E32" s="215">
        <v>3880</v>
      </c>
      <c r="F32" s="84">
        <v>100</v>
      </c>
      <c r="G32" s="43">
        <v>0</v>
      </c>
      <c r="H32" s="63">
        <f t="shared" si="2"/>
        <v>388000</v>
      </c>
      <c r="I32" s="85"/>
    </row>
    <row r="33" spans="2:9" ht="33" x14ac:dyDescent="0.2">
      <c r="B33" s="42"/>
      <c r="C33" s="493" t="s">
        <v>356</v>
      </c>
      <c r="D33" s="610" t="s">
        <v>25</v>
      </c>
      <c r="E33" s="526">
        <v>3432</v>
      </c>
      <c r="F33" s="42">
        <v>24</v>
      </c>
      <c r="G33" s="43">
        <v>0.1</v>
      </c>
      <c r="H33" s="74">
        <f>+E33*F33*(1+G33)</f>
        <v>90604.800000000003</v>
      </c>
      <c r="I33" s="85"/>
    </row>
    <row r="34" spans="2:9" ht="14.25" x14ac:dyDescent="0.2">
      <c r="B34" s="42"/>
      <c r="C34" s="217" t="s">
        <v>357</v>
      </c>
      <c r="D34" s="222" t="s">
        <v>25</v>
      </c>
      <c r="E34" s="215">
        <v>700</v>
      </c>
      <c r="F34" s="84">
        <v>22</v>
      </c>
      <c r="G34" s="43">
        <v>0</v>
      </c>
      <c r="H34" s="63">
        <f t="shared" si="2"/>
        <v>15400</v>
      </c>
      <c r="I34" s="85"/>
    </row>
    <row r="35" spans="2:9" ht="14.25" x14ac:dyDescent="0.2">
      <c r="B35" s="42"/>
      <c r="C35" s="54" t="s">
        <v>29</v>
      </c>
      <c r="D35" s="44" t="s">
        <v>24</v>
      </c>
      <c r="E35" s="215">
        <v>6870</v>
      </c>
      <c r="F35" s="84">
        <v>30</v>
      </c>
      <c r="G35" s="43">
        <v>0</v>
      </c>
      <c r="H35" s="63">
        <f t="shared" si="2"/>
        <v>206100</v>
      </c>
      <c r="I35" s="85"/>
    </row>
    <row r="36" spans="2:9" ht="14.25" x14ac:dyDescent="0.2">
      <c r="B36" s="42"/>
      <c r="C36" s="54" t="s">
        <v>30</v>
      </c>
      <c r="D36" s="44" t="s">
        <v>24</v>
      </c>
      <c r="E36" s="215">
        <v>2000</v>
      </c>
      <c r="F36" s="84">
        <v>64</v>
      </c>
      <c r="G36" s="43">
        <v>0</v>
      </c>
      <c r="H36" s="63">
        <f t="shared" si="2"/>
        <v>128000</v>
      </c>
      <c r="I36" s="85"/>
    </row>
    <row r="37" spans="2:9" ht="14.25" x14ac:dyDescent="0.2">
      <c r="B37" s="42"/>
      <c r="C37" s="65" t="s">
        <v>98</v>
      </c>
      <c r="D37" s="44" t="s">
        <v>25</v>
      </c>
      <c r="E37" s="56">
        <v>13500</v>
      </c>
      <c r="F37" s="84">
        <v>2</v>
      </c>
      <c r="G37" s="43">
        <v>0</v>
      </c>
      <c r="H37" s="63">
        <f t="shared" si="2"/>
        <v>27000</v>
      </c>
      <c r="I37" s="85"/>
    </row>
    <row r="38" spans="2:9" ht="14.25" x14ac:dyDescent="0.2">
      <c r="B38" s="42"/>
      <c r="C38" s="65" t="s">
        <v>99</v>
      </c>
      <c r="D38" s="44" t="s">
        <v>25</v>
      </c>
      <c r="E38" s="56">
        <v>1000</v>
      </c>
      <c r="F38" s="84">
        <v>6</v>
      </c>
      <c r="G38" s="43">
        <v>0</v>
      </c>
      <c r="H38" s="63">
        <f t="shared" si="2"/>
        <v>6000</v>
      </c>
      <c r="I38" s="85"/>
    </row>
    <row r="39" spans="2:9" ht="14.25" x14ac:dyDescent="0.2">
      <c r="B39" s="42"/>
      <c r="C39" s="64" t="s">
        <v>102</v>
      </c>
      <c r="D39" s="44" t="s">
        <v>25</v>
      </c>
      <c r="E39" s="215">
        <v>3740</v>
      </c>
      <c r="F39" s="42">
        <v>2</v>
      </c>
      <c r="G39" s="43">
        <v>0</v>
      </c>
      <c r="H39" s="63">
        <f t="shared" si="2"/>
        <v>7480</v>
      </c>
      <c r="I39" s="85"/>
    </row>
    <row r="40" spans="2:9" ht="14.25" x14ac:dyDescent="0.2">
      <c r="B40" s="42"/>
      <c r="C40" s="221" t="s">
        <v>172</v>
      </c>
      <c r="D40" s="222" t="s">
        <v>24</v>
      </c>
      <c r="E40" s="215">
        <v>26307.5</v>
      </c>
      <c r="F40" s="84">
        <v>26</v>
      </c>
      <c r="G40" s="43">
        <v>0</v>
      </c>
      <c r="H40" s="63">
        <f t="shared" si="2"/>
        <v>683995</v>
      </c>
      <c r="I40" s="85"/>
    </row>
    <row r="41" spans="2:9" ht="14.25" x14ac:dyDescent="0.2">
      <c r="B41" s="42"/>
      <c r="C41" s="225" t="s">
        <v>178</v>
      </c>
      <c r="D41" s="44" t="s">
        <v>24</v>
      </c>
      <c r="E41" s="56">
        <v>19900</v>
      </c>
      <c r="F41" s="84">
        <v>2</v>
      </c>
      <c r="G41" s="43">
        <v>0</v>
      </c>
      <c r="H41" s="63">
        <f t="shared" si="2"/>
        <v>39800</v>
      </c>
      <c r="I41" s="85"/>
    </row>
    <row r="42" spans="2:9" ht="14.25" x14ac:dyDescent="0.2">
      <c r="B42" s="42"/>
      <c r="C42" s="54" t="s">
        <v>27</v>
      </c>
      <c r="D42" s="44" t="s">
        <v>25</v>
      </c>
      <c r="E42" s="56">
        <v>650000</v>
      </c>
      <c r="F42" s="84">
        <v>1</v>
      </c>
      <c r="G42" s="43">
        <v>0</v>
      </c>
      <c r="H42" s="63">
        <f t="shared" si="2"/>
        <v>650000</v>
      </c>
      <c r="I42" s="85"/>
    </row>
    <row r="43" spans="2:9" ht="15" x14ac:dyDescent="0.25">
      <c r="B43" s="66"/>
      <c r="C43" s="67"/>
      <c r="D43" s="68"/>
      <c r="E43" s="69"/>
      <c r="F43" s="100" t="s">
        <v>14</v>
      </c>
      <c r="G43" s="70"/>
      <c r="H43" s="226">
        <f>SUM(H13:H42)</f>
        <v>42893162.200000003</v>
      </c>
      <c r="I43" s="85"/>
    </row>
    <row r="44" spans="2:9" ht="15" x14ac:dyDescent="0.25">
      <c r="B44" s="669" t="s">
        <v>16</v>
      </c>
      <c r="C44" s="669"/>
      <c r="D44" s="669"/>
      <c r="E44" s="669"/>
      <c r="F44" s="669"/>
      <c r="G44" s="669"/>
      <c r="H44" s="669"/>
      <c r="I44" s="85"/>
    </row>
    <row r="45" spans="2:9" ht="15" x14ac:dyDescent="0.25">
      <c r="B45" s="59" t="s">
        <v>7</v>
      </c>
      <c r="C45" s="60" t="s">
        <v>0</v>
      </c>
      <c r="D45" s="59" t="s">
        <v>3</v>
      </c>
      <c r="E45" s="59" t="s">
        <v>9</v>
      </c>
      <c r="F45" s="101" t="s">
        <v>10</v>
      </c>
      <c r="G45" s="73" t="s">
        <v>11</v>
      </c>
      <c r="H45" s="60" t="s">
        <v>12</v>
      </c>
      <c r="I45" s="85"/>
    </row>
    <row r="46" spans="2:9" ht="14.25" x14ac:dyDescent="0.2">
      <c r="B46" s="61"/>
      <c r="C46" s="54"/>
      <c r="D46" s="42"/>
      <c r="E46" s="79"/>
      <c r="F46" s="42"/>
      <c r="G46" s="43"/>
      <c r="H46" s="74"/>
      <c r="I46" s="85"/>
    </row>
    <row r="47" spans="2:9" ht="14.25" x14ac:dyDescent="0.2">
      <c r="B47" s="61"/>
      <c r="C47" s="229"/>
      <c r="D47" s="42"/>
      <c r="E47" s="228"/>
      <c r="F47" s="42"/>
      <c r="G47" s="43"/>
      <c r="H47" s="74"/>
      <c r="I47" s="85"/>
    </row>
    <row r="48" spans="2:9" ht="14.25" x14ac:dyDescent="0.2">
      <c r="B48" s="61"/>
      <c r="C48" s="54"/>
      <c r="D48" s="42"/>
      <c r="E48" s="228"/>
      <c r="F48" s="42"/>
      <c r="G48" s="43"/>
      <c r="H48" s="74"/>
      <c r="I48" s="85"/>
    </row>
    <row r="49" spans="2:9" ht="15" x14ac:dyDescent="0.25">
      <c r="B49" s="75"/>
      <c r="C49" s="76"/>
      <c r="D49" s="77"/>
      <c r="E49" s="78"/>
      <c r="F49" s="84" t="s">
        <v>14</v>
      </c>
      <c r="G49" s="42"/>
      <c r="H49" s="62">
        <f>ROUND(SUM(H46:H48),0)</f>
        <v>0</v>
      </c>
      <c r="I49" s="85"/>
    </row>
    <row r="50" spans="2:9" ht="15" x14ac:dyDescent="0.25">
      <c r="B50" s="669" t="s">
        <v>17</v>
      </c>
      <c r="C50" s="669"/>
      <c r="D50" s="669"/>
      <c r="E50" s="669"/>
      <c r="F50" s="669"/>
      <c r="G50" s="669"/>
      <c r="H50" s="669"/>
      <c r="I50" s="85"/>
    </row>
    <row r="51" spans="2:9" ht="15" customHeight="1" x14ac:dyDescent="0.25">
      <c r="B51" s="676" t="s">
        <v>8</v>
      </c>
      <c r="C51" s="677"/>
      <c r="D51" s="59" t="s">
        <v>3</v>
      </c>
      <c r="E51" s="59" t="s">
        <v>9</v>
      </c>
      <c r="F51" s="96" t="s">
        <v>10</v>
      </c>
      <c r="G51" s="59" t="s">
        <v>11</v>
      </c>
      <c r="H51" s="60" t="s">
        <v>12</v>
      </c>
      <c r="I51" s="85"/>
    </row>
    <row r="52" spans="2:9" ht="28.5" x14ac:dyDescent="0.2">
      <c r="B52" s="591" t="s">
        <v>334</v>
      </c>
      <c r="C52" s="592" t="s">
        <v>336</v>
      </c>
      <c r="D52" s="593" t="s">
        <v>333</v>
      </c>
      <c r="E52" s="594">
        <f>42869</f>
        <v>42869</v>
      </c>
      <c r="F52" s="593">
        <v>16</v>
      </c>
      <c r="G52" s="43">
        <v>0</v>
      </c>
      <c r="H52" s="74">
        <f>IF(E52="-","-",E52*F52*(1+G52))</f>
        <v>685904</v>
      </c>
      <c r="I52" s="65" t="s">
        <v>343</v>
      </c>
    </row>
    <row r="53" spans="2:9" ht="28.5" x14ac:dyDescent="0.2">
      <c r="B53" s="591" t="s">
        <v>334</v>
      </c>
      <c r="C53" s="592" t="s">
        <v>339</v>
      </c>
      <c r="D53" s="593" t="s">
        <v>333</v>
      </c>
      <c r="E53" s="594">
        <f>42869</f>
        <v>42869</v>
      </c>
      <c r="F53" s="593">
        <v>24</v>
      </c>
      <c r="G53" s="43">
        <v>0</v>
      </c>
      <c r="H53" s="74">
        <f>IF(E53="-","-",E53*F53*(1+G53))</f>
        <v>1028856</v>
      </c>
      <c r="I53" s="65" t="s">
        <v>344</v>
      </c>
    </row>
    <row r="54" spans="2:9" ht="14.25" x14ac:dyDescent="0.2">
      <c r="B54" s="595" t="s">
        <v>342</v>
      </c>
      <c r="C54" s="592" t="s">
        <v>341</v>
      </c>
      <c r="D54" s="593" t="s">
        <v>340</v>
      </c>
      <c r="E54" s="594">
        <v>10177242</v>
      </c>
      <c r="F54" s="593">
        <v>0.23599999999999999</v>
      </c>
      <c r="G54" s="43">
        <v>0</v>
      </c>
      <c r="H54" s="74">
        <f>IF(E54="-","-",E54*F54*(1+G54))</f>
        <v>2401829.1119999997</v>
      </c>
      <c r="I54" s="65" t="s">
        <v>345</v>
      </c>
    </row>
    <row r="55" spans="2:9" ht="14.25" x14ac:dyDescent="0.2">
      <c r="B55" s="80"/>
      <c r="C55" s="54" t="s">
        <v>19</v>
      </c>
      <c r="D55" s="42" t="s">
        <v>19</v>
      </c>
      <c r="E55" s="79" t="s">
        <v>19</v>
      </c>
      <c r="F55" s="84"/>
      <c r="G55" s="43"/>
      <c r="H55" s="74" t="str">
        <f>IF(E55="-","-",E55*F55*(1+G55))</f>
        <v>-</v>
      </c>
      <c r="I55" s="85"/>
    </row>
    <row r="56" spans="2:9" ht="14.25" x14ac:dyDescent="0.2">
      <c r="B56" s="80"/>
      <c r="C56" s="54" t="s">
        <v>19</v>
      </c>
      <c r="D56" s="42" t="s">
        <v>19</v>
      </c>
      <c r="E56" s="79" t="s">
        <v>19</v>
      </c>
      <c r="F56" s="84"/>
      <c r="G56" s="43"/>
      <c r="H56" s="74" t="str">
        <f>IF(E56="-","-",E56*F56*(1+G56))</f>
        <v>-</v>
      </c>
      <c r="I56" s="85"/>
    </row>
    <row r="57" spans="2:9" ht="15" x14ac:dyDescent="0.25">
      <c r="B57" s="682" t="s">
        <v>14</v>
      </c>
      <c r="C57" s="683"/>
      <c r="D57" s="683"/>
      <c r="E57" s="683"/>
      <c r="F57" s="684"/>
      <c r="G57" s="83"/>
      <c r="H57" s="62">
        <f>ROUND(SUM(H52:H56),0)</f>
        <v>4116589</v>
      </c>
      <c r="I57" s="85"/>
    </row>
    <row r="58" spans="2:9" ht="38.25" customHeight="1" x14ac:dyDescent="0.2">
      <c r="B58" s="13"/>
      <c r="C58" s="14"/>
      <c r="D58" s="15"/>
      <c r="E58" s="27"/>
      <c r="F58" s="45"/>
      <c r="G58" s="15"/>
      <c r="H58" s="16"/>
    </row>
    <row r="59" spans="2:9" x14ac:dyDescent="0.2">
      <c r="B59" s="13"/>
      <c r="C59" s="17"/>
      <c r="D59" s="15"/>
      <c r="E59" s="27"/>
      <c r="F59" s="46" t="s">
        <v>18</v>
      </c>
      <c r="G59" s="2"/>
      <c r="H59" s="18">
        <f>H10+H43+H49+H57</f>
        <v>47795336.200000003</v>
      </c>
    </row>
    <row r="60" spans="2:9" x14ac:dyDescent="0.2">
      <c r="B60" s="13"/>
      <c r="C60" s="14"/>
      <c r="D60" s="15"/>
      <c r="E60" s="27"/>
      <c r="F60" s="45"/>
      <c r="G60" s="15"/>
      <c r="H60" s="16"/>
    </row>
    <row r="61" spans="2:9" ht="38.25" customHeight="1" x14ac:dyDescent="0.2">
      <c r="B61" s="13"/>
      <c r="C61" s="19"/>
      <c r="D61" s="15"/>
      <c r="E61" s="27"/>
      <c r="F61" s="45"/>
      <c r="G61" s="15"/>
      <c r="H61" s="16"/>
    </row>
    <row r="62" spans="2:9" x14ac:dyDescent="0.2">
      <c r="B62" s="13"/>
      <c r="D62" s="15"/>
      <c r="E62" s="27"/>
      <c r="F62" s="45"/>
      <c r="G62" s="15"/>
      <c r="H62" s="16"/>
    </row>
    <row r="63" spans="2:9" x14ac:dyDescent="0.2">
      <c r="B63" s="13"/>
      <c r="C63" s="14"/>
      <c r="D63" s="15"/>
      <c r="E63" s="27"/>
      <c r="F63" s="45"/>
      <c r="G63" s="15"/>
      <c r="H63" s="16"/>
      <c r="I63" s="14"/>
    </row>
    <row r="64" spans="2:9" x14ac:dyDescent="0.2">
      <c r="B64" s="20"/>
      <c r="C64" s="21"/>
      <c r="D64" s="22"/>
      <c r="E64" s="28"/>
      <c r="F64" s="47"/>
      <c r="G64" s="22"/>
      <c r="H64" s="23"/>
      <c r="I64" s="14"/>
    </row>
  </sheetData>
  <mergeCells count="9">
    <mergeCell ref="B50:H50"/>
    <mergeCell ref="B51:C51"/>
    <mergeCell ref="B57:F57"/>
    <mergeCell ref="B2:H2"/>
    <mergeCell ref="C3:G3"/>
    <mergeCell ref="B4:H4"/>
    <mergeCell ref="B10:E10"/>
    <mergeCell ref="B11:H11"/>
    <mergeCell ref="B44:H44"/>
  </mergeCells>
  <pageMargins left="0.7" right="0.7" top="0.75" bottom="0.75" header="0.3" footer="0.3"/>
  <pageSetup paperSize="9" scale="7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221A-DFE1-40BB-B19A-62CDE4C1CE5D}">
  <sheetPr>
    <tabColor theme="3" tint="-0.249977111117893"/>
  </sheetPr>
  <dimension ref="B2:X65"/>
  <sheetViews>
    <sheetView topLeftCell="A42" zoomScale="97" zoomScaleNormal="98" workbookViewId="0">
      <selection activeCell="I59" sqref="I59"/>
    </sheetView>
  </sheetViews>
  <sheetFormatPr baseColWidth="10" defaultColWidth="11.42578125" defaultRowHeight="12.75" x14ac:dyDescent="0.2"/>
  <cols>
    <col min="1" max="1" width="11.42578125" style="1"/>
    <col min="2" max="2" width="9.5703125" style="24" customWidth="1"/>
    <col min="3" max="3" width="51.28515625" style="1" customWidth="1"/>
    <col min="4" max="4" width="10.7109375" style="1" customWidth="1"/>
    <col min="5" max="5" width="19.5703125" style="24" customWidth="1"/>
    <col min="6" max="6" width="16.7109375" style="25" bestFit="1" customWidth="1"/>
    <col min="7" max="7" width="16.85546875" style="25" bestFit="1" customWidth="1"/>
    <col min="8" max="8" width="18.5703125" style="1" bestFit="1" customWidth="1"/>
    <col min="9" max="9" width="11.5703125" style="1" bestFit="1" customWidth="1"/>
    <col min="10" max="16384" width="11.42578125" style="1"/>
  </cols>
  <sheetData>
    <row r="2" spans="2:24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4" ht="69" customHeight="1" x14ac:dyDescent="0.2">
      <c r="B3" s="57" t="s">
        <v>1</v>
      </c>
      <c r="C3" s="678" t="s">
        <v>202</v>
      </c>
      <c r="D3" s="678"/>
      <c r="E3" s="678"/>
      <c r="F3" s="678"/>
      <c r="G3" s="678"/>
      <c r="H3" s="57">
        <v>11</v>
      </c>
      <c r="I3" s="104">
        <v>4</v>
      </c>
      <c r="X3" s="1" t="s">
        <v>4</v>
      </c>
    </row>
    <row r="4" spans="2:24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X4" s="1" t="s">
        <v>6</v>
      </c>
    </row>
    <row r="5" spans="2:24" ht="15" x14ac:dyDescent="0.25">
      <c r="B5" s="59" t="s">
        <v>7</v>
      </c>
      <c r="C5" s="60" t="s">
        <v>8</v>
      </c>
      <c r="D5" s="60" t="s">
        <v>3</v>
      </c>
      <c r="E5" s="59" t="s">
        <v>9</v>
      </c>
      <c r="F5" s="59" t="s">
        <v>10</v>
      </c>
      <c r="G5" s="92" t="s">
        <v>11</v>
      </c>
      <c r="H5" s="60" t="s">
        <v>12</v>
      </c>
      <c r="I5" s="85"/>
      <c r="X5" s="1" t="s">
        <v>13</v>
      </c>
    </row>
    <row r="6" spans="2:24" ht="14.25" x14ac:dyDescent="0.2">
      <c r="B6" s="61"/>
      <c r="C6" s="86" t="s">
        <v>71</v>
      </c>
      <c r="D6" s="42" t="s">
        <v>46</v>
      </c>
      <c r="E6" s="53">
        <v>50000</v>
      </c>
      <c r="F6" s="42">
        <v>1.2709999999999999</v>
      </c>
      <c r="G6" s="43">
        <v>0</v>
      </c>
      <c r="H6" s="74">
        <f>+E6*F6*(1+G6)</f>
        <v>63549.999999999993</v>
      </c>
      <c r="I6" s="85"/>
    </row>
    <row r="7" spans="2:24" ht="14.25" x14ac:dyDescent="0.2">
      <c r="B7" s="61"/>
      <c r="C7" s="58" t="s">
        <v>20</v>
      </c>
      <c r="D7" s="42" t="s">
        <v>72</v>
      </c>
      <c r="E7" s="53">
        <f>H58*0.05</f>
        <v>79276.5</v>
      </c>
      <c r="F7" s="42">
        <v>1</v>
      </c>
      <c r="G7" s="43">
        <v>0</v>
      </c>
      <c r="H7" s="74">
        <f>+E7*F7*(1+G7)</f>
        <v>79276.5</v>
      </c>
      <c r="I7" s="85"/>
    </row>
    <row r="8" spans="2:24" ht="14.25" x14ac:dyDescent="0.2">
      <c r="B8" s="61"/>
      <c r="C8" s="86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ref="H8:H9" si="0">+E8*F8*(1+G8)</f>
        <v>194076</v>
      </c>
      <c r="I8" s="85"/>
    </row>
    <row r="9" spans="2:24" ht="14.25" x14ac:dyDescent="0.2">
      <c r="B9" s="61"/>
      <c r="C9" s="86" t="s">
        <v>54</v>
      </c>
      <c r="D9" s="42" t="s">
        <v>46</v>
      </c>
      <c r="E9" s="53">
        <v>10000</v>
      </c>
      <c r="F9" s="42">
        <f>F6</f>
        <v>1.2709999999999999</v>
      </c>
      <c r="G9" s="43">
        <v>0</v>
      </c>
      <c r="H9" s="74">
        <f t="shared" si="0"/>
        <v>12709.999999999998</v>
      </c>
      <c r="I9" s="85"/>
    </row>
    <row r="10" spans="2:24" ht="15" x14ac:dyDescent="0.25">
      <c r="B10" s="670"/>
      <c r="C10" s="671"/>
      <c r="D10" s="671"/>
      <c r="E10" s="672"/>
      <c r="F10" s="59" t="s">
        <v>14</v>
      </c>
      <c r="G10" s="92"/>
      <c r="H10" s="62">
        <f>ROUND(SUM(H6:H9),0)</f>
        <v>349613</v>
      </c>
      <c r="I10" s="85"/>
    </row>
    <row r="11" spans="2:24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</row>
    <row r="12" spans="2:24" ht="15" x14ac:dyDescent="0.25">
      <c r="B12" s="59" t="s">
        <v>7</v>
      </c>
      <c r="C12" s="60" t="s">
        <v>8</v>
      </c>
      <c r="D12" s="60" t="s">
        <v>3</v>
      </c>
      <c r="E12" s="59" t="s">
        <v>9</v>
      </c>
      <c r="F12" s="59" t="s">
        <v>10</v>
      </c>
      <c r="G12" s="59" t="s">
        <v>11</v>
      </c>
      <c r="H12" s="60" t="s">
        <v>12</v>
      </c>
      <c r="I12" s="85"/>
    </row>
    <row r="13" spans="2:24" ht="42.75" x14ac:dyDescent="0.2">
      <c r="B13" s="42"/>
      <c r="C13" s="220" t="s">
        <v>152</v>
      </c>
      <c r="D13" s="44" t="s">
        <v>25</v>
      </c>
      <c r="E13" s="215">
        <v>740300.00000000012</v>
      </c>
      <c r="F13" s="42">
        <v>1</v>
      </c>
      <c r="G13" s="43">
        <v>0</v>
      </c>
      <c r="H13" s="63">
        <f>+E13*F13</f>
        <v>740300.00000000012</v>
      </c>
      <c r="I13" s="85"/>
    </row>
    <row r="14" spans="2:24" ht="28.5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1</v>
      </c>
      <c r="G14" s="43">
        <v>0</v>
      </c>
      <c r="H14" s="63">
        <f t="shared" ref="H14:H15" si="1">+E14*F14</f>
        <v>117600.00000000001</v>
      </c>
      <c r="I14" s="85"/>
    </row>
    <row r="15" spans="2:24" ht="28.5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1</v>
      </c>
      <c r="G15" s="43">
        <v>0</v>
      </c>
      <c r="H15" s="63">
        <f t="shared" si="1"/>
        <v>16680</v>
      </c>
      <c r="I15" s="85"/>
    </row>
    <row r="16" spans="2:24" ht="28.5" x14ac:dyDescent="0.2">
      <c r="B16" s="42"/>
      <c r="C16" s="209" t="s">
        <v>148</v>
      </c>
      <c r="D16" s="44" t="s">
        <v>25</v>
      </c>
      <c r="E16" s="215">
        <v>512800</v>
      </c>
      <c r="F16" s="42">
        <v>1</v>
      </c>
      <c r="G16" s="43">
        <v>0</v>
      </c>
      <c r="H16" s="63">
        <f>+E16*F16</f>
        <v>512800</v>
      </c>
      <c r="I16" s="85"/>
    </row>
    <row r="17" spans="2:9" ht="14.25" x14ac:dyDescent="0.2">
      <c r="B17" s="42"/>
      <c r="C17" s="54" t="s">
        <v>37</v>
      </c>
      <c r="D17" s="44" t="s">
        <v>25</v>
      </c>
      <c r="E17" s="56">
        <v>864900</v>
      </c>
      <c r="F17" s="42">
        <v>1</v>
      </c>
      <c r="G17" s="43">
        <v>0</v>
      </c>
      <c r="H17" s="63">
        <f>+E17*F17</f>
        <v>864900</v>
      </c>
      <c r="I17" s="85"/>
    </row>
    <row r="18" spans="2:9" ht="14.25" x14ac:dyDescent="0.2">
      <c r="B18" s="42"/>
      <c r="C18" s="54" t="s">
        <v>35</v>
      </c>
      <c r="D18" s="44" t="s">
        <v>25</v>
      </c>
      <c r="E18" s="56">
        <v>322000</v>
      </c>
      <c r="F18" s="42">
        <v>1</v>
      </c>
      <c r="G18" s="43">
        <v>0</v>
      </c>
      <c r="H18" s="63">
        <f t="shared" ref="H18:H37" si="2">+E18*F18</f>
        <v>322000</v>
      </c>
      <c r="I18" s="85"/>
    </row>
    <row r="19" spans="2:9" ht="14.25" x14ac:dyDescent="0.2">
      <c r="B19" s="42"/>
      <c r="C19" s="587" t="s">
        <v>182</v>
      </c>
      <c r="D19" s="601" t="s">
        <v>25</v>
      </c>
      <c r="E19" s="216">
        <v>535000</v>
      </c>
      <c r="F19" s="42">
        <v>1</v>
      </c>
      <c r="G19" s="43">
        <v>0</v>
      </c>
      <c r="H19" s="63">
        <f t="shared" si="2"/>
        <v>535000</v>
      </c>
      <c r="I19" s="85"/>
    </row>
    <row r="20" spans="2:9" ht="28.5" x14ac:dyDescent="0.2">
      <c r="B20" s="42"/>
      <c r="C20" s="54" t="s">
        <v>105</v>
      </c>
      <c r="D20" s="44" t="s">
        <v>25</v>
      </c>
      <c r="E20" s="215">
        <v>1105000</v>
      </c>
      <c r="F20" s="42">
        <v>1</v>
      </c>
      <c r="G20" s="43">
        <v>0</v>
      </c>
      <c r="H20" s="63">
        <f>+E20*F20</f>
        <v>1105000</v>
      </c>
      <c r="I20" s="85"/>
    </row>
    <row r="21" spans="2:9" ht="28.5" x14ac:dyDescent="0.2">
      <c r="B21" s="42"/>
      <c r="C21" s="54" t="s">
        <v>185</v>
      </c>
      <c r="D21" s="44" t="s">
        <v>25</v>
      </c>
      <c r="E21" s="56">
        <v>457000</v>
      </c>
      <c r="F21" s="42">
        <v>1</v>
      </c>
      <c r="G21" s="43">
        <v>0</v>
      </c>
      <c r="H21" s="63">
        <f t="shared" si="2"/>
        <v>457000</v>
      </c>
      <c r="I21" s="85"/>
    </row>
    <row r="22" spans="2:9" ht="14.25" x14ac:dyDescent="0.2">
      <c r="B22" s="42"/>
      <c r="C22" s="87" t="s">
        <v>104</v>
      </c>
      <c r="D22" s="103" t="s">
        <v>25</v>
      </c>
      <c r="E22" s="215">
        <v>271000</v>
      </c>
      <c r="F22" s="42">
        <v>1</v>
      </c>
      <c r="G22" s="43">
        <v>0</v>
      </c>
      <c r="H22" s="63">
        <f t="shared" si="2"/>
        <v>271000</v>
      </c>
      <c r="I22" s="85"/>
    </row>
    <row r="23" spans="2:9" ht="14.25" x14ac:dyDescent="0.2">
      <c r="B23" s="42"/>
      <c r="C23" s="54" t="s">
        <v>38</v>
      </c>
      <c r="D23" s="44" t="s">
        <v>25</v>
      </c>
      <c r="E23" s="56">
        <v>1340971</v>
      </c>
      <c r="F23" s="42">
        <v>1</v>
      </c>
      <c r="G23" s="43">
        <v>0</v>
      </c>
      <c r="H23" s="63">
        <f t="shared" si="2"/>
        <v>1340971</v>
      </c>
      <c r="I23" s="85"/>
    </row>
    <row r="24" spans="2:9" ht="14.25" x14ac:dyDescent="0.2">
      <c r="B24" s="42"/>
      <c r="C24" s="54" t="s">
        <v>107</v>
      </c>
      <c r="D24" s="44" t="s">
        <v>25</v>
      </c>
      <c r="E24" s="56">
        <v>476645</v>
      </c>
      <c r="F24" s="42">
        <v>1</v>
      </c>
      <c r="G24" s="43">
        <v>0</v>
      </c>
      <c r="H24" s="63">
        <f t="shared" si="2"/>
        <v>476645</v>
      </c>
      <c r="I24" s="85"/>
    </row>
    <row r="25" spans="2:9" ht="14.25" x14ac:dyDescent="0.2">
      <c r="B25" s="42"/>
      <c r="C25" s="54" t="s">
        <v>26</v>
      </c>
      <c r="D25" s="44" t="s">
        <v>25</v>
      </c>
      <c r="E25" s="56">
        <v>1094800</v>
      </c>
      <c r="F25" s="42">
        <v>2</v>
      </c>
      <c r="G25" s="43">
        <v>0</v>
      </c>
      <c r="H25" s="63">
        <f t="shared" si="2"/>
        <v>2189600</v>
      </c>
      <c r="I25" s="85"/>
    </row>
    <row r="26" spans="2:9" ht="14.25" x14ac:dyDescent="0.2">
      <c r="B26" s="42"/>
      <c r="C26" s="54" t="s">
        <v>23</v>
      </c>
      <c r="D26" s="44" t="s">
        <v>25</v>
      </c>
      <c r="E26" s="215">
        <v>1111210</v>
      </c>
      <c r="F26" s="42">
        <v>1</v>
      </c>
      <c r="G26" s="43">
        <v>0</v>
      </c>
      <c r="H26" s="63">
        <f t="shared" si="2"/>
        <v>1111210</v>
      </c>
      <c r="I26" s="85"/>
    </row>
    <row r="27" spans="2:9" ht="14.25" x14ac:dyDescent="0.2">
      <c r="B27" s="42"/>
      <c r="C27" s="220" t="s">
        <v>260</v>
      </c>
      <c r="D27" s="44" t="s">
        <v>24</v>
      </c>
      <c r="E27" s="230">
        <v>4040</v>
      </c>
      <c r="F27" s="42">
        <v>4</v>
      </c>
      <c r="G27" s="43">
        <v>0</v>
      </c>
      <c r="H27" s="63">
        <f t="shared" si="2"/>
        <v>16160</v>
      </c>
      <c r="I27" s="85"/>
    </row>
    <row r="28" spans="2:9" ht="14.25" x14ac:dyDescent="0.2">
      <c r="B28" s="42"/>
      <c r="C28" s="217" t="s">
        <v>162</v>
      </c>
      <c r="D28" s="601" t="s">
        <v>25</v>
      </c>
      <c r="E28" s="611">
        <v>1000</v>
      </c>
      <c r="F28" s="42">
        <v>12</v>
      </c>
      <c r="G28" s="43">
        <v>0</v>
      </c>
      <c r="H28" s="63">
        <f t="shared" si="2"/>
        <v>12000</v>
      </c>
      <c r="I28" s="85"/>
    </row>
    <row r="29" spans="2:9" ht="14.25" x14ac:dyDescent="0.2">
      <c r="B29" s="42"/>
      <c r="C29" s="54" t="s">
        <v>21</v>
      </c>
      <c r="D29" s="44" t="s">
        <v>25</v>
      </c>
      <c r="E29" s="215">
        <v>10890</v>
      </c>
      <c r="F29" s="42">
        <v>3</v>
      </c>
      <c r="G29" s="43">
        <v>0</v>
      </c>
      <c r="H29" s="63">
        <f t="shared" si="2"/>
        <v>32670</v>
      </c>
      <c r="I29" s="85"/>
    </row>
    <row r="30" spans="2:9" ht="14.25" x14ac:dyDescent="0.2">
      <c r="B30" s="42"/>
      <c r="C30" s="217" t="s">
        <v>358</v>
      </c>
      <c r="D30" s="44" t="s">
        <v>25</v>
      </c>
      <c r="E30" s="215">
        <v>78016.400000000009</v>
      </c>
      <c r="F30" s="42">
        <v>1</v>
      </c>
      <c r="G30" s="43">
        <v>0</v>
      </c>
      <c r="H30" s="63">
        <f t="shared" si="2"/>
        <v>78016.400000000009</v>
      </c>
      <c r="I30" s="85"/>
    </row>
    <row r="31" spans="2:9" ht="14.25" x14ac:dyDescent="0.2">
      <c r="B31" s="42"/>
      <c r="C31" s="54" t="s">
        <v>22</v>
      </c>
      <c r="D31" s="44" t="s">
        <v>24</v>
      </c>
      <c r="E31" s="56">
        <v>7500</v>
      </c>
      <c r="F31" s="42">
        <v>4</v>
      </c>
      <c r="G31" s="43">
        <v>0</v>
      </c>
      <c r="H31" s="63">
        <f t="shared" si="2"/>
        <v>30000</v>
      </c>
      <c r="I31" s="85"/>
    </row>
    <row r="32" spans="2:9" ht="14.25" x14ac:dyDescent="0.2">
      <c r="B32" s="42"/>
      <c r="C32" s="54" t="s">
        <v>95</v>
      </c>
      <c r="D32" s="44" t="s">
        <v>25</v>
      </c>
      <c r="E32" s="215">
        <v>8200</v>
      </c>
      <c r="F32" s="42">
        <v>12</v>
      </c>
      <c r="G32" s="43">
        <v>0</v>
      </c>
      <c r="H32" s="63">
        <f t="shared" ref="H32:H34" si="3">+E32*F32</f>
        <v>98400</v>
      </c>
      <c r="I32" s="85"/>
    </row>
    <row r="33" spans="2:9" ht="33" x14ac:dyDescent="0.2">
      <c r="B33" s="42"/>
      <c r="C33" s="493" t="s">
        <v>356</v>
      </c>
      <c r="D33" s="610" t="s">
        <v>25</v>
      </c>
      <c r="E33" s="526">
        <v>3432</v>
      </c>
      <c r="F33" s="42">
        <v>6</v>
      </c>
      <c r="G33" s="43">
        <v>0.1</v>
      </c>
      <c r="H33" s="74">
        <f>+E33*F33*(1+G33)</f>
        <v>22651.200000000001</v>
      </c>
      <c r="I33" s="85"/>
    </row>
    <row r="34" spans="2:9" ht="14.25" x14ac:dyDescent="0.2">
      <c r="B34" s="42"/>
      <c r="C34" s="217" t="s">
        <v>357</v>
      </c>
      <c r="D34" s="222" t="s">
        <v>25</v>
      </c>
      <c r="E34" s="215">
        <v>700</v>
      </c>
      <c r="F34" s="42">
        <v>6</v>
      </c>
      <c r="G34" s="43">
        <v>0</v>
      </c>
      <c r="H34" s="63">
        <f t="shared" si="3"/>
        <v>4200</v>
      </c>
      <c r="I34" s="85"/>
    </row>
    <row r="35" spans="2:9" ht="14.25" x14ac:dyDescent="0.2">
      <c r="B35" s="42"/>
      <c r="C35" s="54" t="s">
        <v>28</v>
      </c>
      <c r="D35" s="44" t="s">
        <v>24</v>
      </c>
      <c r="E35" s="215">
        <v>3880</v>
      </c>
      <c r="F35" s="42">
        <v>9</v>
      </c>
      <c r="G35" s="43">
        <v>0</v>
      </c>
      <c r="H35" s="63">
        <f t="shared" ref="H35:H36" si="4">+E35*F35</f>
        <v>34920</v>
      </c>
      <c r="I35" s="85"/>
    </row>
    <row r="36" spans="2:9" ht="14.25" x14ac:dyDescent="0.2">
      <c r="B36" s="42"/>
      <c r="C36" s="221" t="s">
        <v>173</v>
      </c>
      <c r="D36" s="44" t="s">
        <v>25</v>
      </c>
      <c r="E36" s="215">
        <v>16010.800000000001</v>
      </c>
      <c r="F36" s="42">
        <v>1</v>
      </c>
      <c r="G36" s="43">
        <v>0</v>
      </c>
      <c r="H36" s="63">
        <f t="shared" si="4"/>
        <v>16010.800000000001</v>
      </c>
      <c r="I36" s="85"/>
    </row>
    <row r="37" spans="2:9" ht="14.25" x14ac:dyDescent="0.2">
      <c r="B37" s="42"/>
      <c r="C37" s="54" t="s">
        <v>29</v>
      </c>
      <c r="D37" s="44" t="s">
        <v>24</v>
      </c>
      <c r="E37" s="56">
        <v>6870</v>
      </c>
      <c r="F37" s="42">
        <v>2</v>
      </c>
      <c r="G37" s="43">
        <v>0</v>
      </c>
      <c r="H37" s="63">
        <f t="shared" si="2"/>
        <v>13740</v>
      </c>
      <c r="I37" s="85"/>
    </row>
    <row r="38" spans="2:9" ht="14.25" x14ac:dyDescent="0.2">
      <c r="B38" s="42"/>
      <c r="C38" s="54" t="s">
        <v>36</v>
      </c>
      <c r="D38" s="44" t="s">
        <v>24</v>
      </c>
      <c r="E38" s="56">
        <v>6000</v>
      </c>
      <c r="F38" s="42">
        <v>10</v>
      </c>
      <c r="G38" s="43">
        <v>0</v>
      </c>
      <c r="H38" s="63">
        <f t="shared" ref="H38:H41" si="5">+E38*F38</f>
        <v>60000</v>
      </c>
      <c r="I38" s="85"/>
    </row>
    <row r="39" spans="2:9" ht="14.25" x14ac:dyDescent="0.2">
      <c r="B39" s="42"/>
      <c r="C39" s="54" t="s">
        <v>58</v>
      </c>
      <c r="D39" s="44" t="s">
        <v>25</v>
      </c>
      <c r="E39" s="56">
        <v>42920</v>
      </c>
      <c r="F39" s="42">
        <v>1</v>
      </c>
      <c r="G39" s="43">
        <v>0</v>
      </c>
      <c r="H39" s="63">
        <f t="shared" si="5"/>
        <v>42920</v>
      </c>
      <c r="I39" s="85"/>
    </row>
    <row r="40" spans="2:9" ht="14.25" x14ac:dyDescent="0.2">
      <c r="B40" s="42"/>
      <c r="C40" s="54" t="s">
        <v>57</v>
      </c>
      <c r="D40" s="44" t="s">
        <v>25</v>
      </c>
      <c r="E40" s="56">
        <v>126303</v>
      </c>
      <c r="F40" s="42">
        <v>2</v>
      </c>
      <c r="G40" s="43">
        <v>0</v>
      </c>
      <c r="H40" s="63">
        <f t="shared" si="5"/>
        <v>252606</v>
      </c>
      <c r="I40" s="85"/>
    </row>
    <row r="41" spans="2:9" ht="14.25" x14ac:dyDescent="0.2">
      <c r="B41" s="42"/>
      <c r="C41" s="65" t="s">
        <v>175</v>
      </c>
      <c r="D41" s="88" t="s">
        <v>96</v>
      </c>
      <c r="E41" s="223">
        <v>23880</v>
      </c>
      <c r="F41" s="42">
        <v>0.5</v>
      </c>
      <c r="G41" s="43">
        <v>0</v>
      </c>
      <c r="H41" s="63">
        <f t="shared" si="5"/>
        <v>11940</v>
      </c>
      <c r="I41" s="85"/>
    </row>
    <row r="42" spans="2:9" ht="14.25" x14ac:dyDescent="0.2">
      <c r="B42" s="42"/>
      <c r="C42" s="54" t="s">
        <v>150</v>
      </c>
      <c r="D42" s="44" t="s">
        <v>25</v>
      </c>
      <c r="E42" s="56">
        <v>5500</v>
      </c>
      <c r="F42" s="42">
        <v>2</v>
      </c>
      <c r="G42" s="43">
        <v>0</v>
      </c>
      <c r="H42" s="63">
        <f>+E42*F42</f>
        <v>11000</v>
      </c>
      <c r="I42" s="85"/>
    </row>
    <row r="43" spans="2:9" ht="14.25" x14ac:dyDescent="0.2">
      <c r="B43" s="42"/>
      <c r="C43" s="225" t="s">
        <v>178</v>
      </c>
      <c r="D43" s="44" t="s">
        <v>24</v>
      </c>
      <c r="E43" s="56">
        <v>19900</v>
      </c>
      <c r="F43" s="84">
        <v>2</v>
      </c>
      <c r="G43" s="43">
        <v>0</v>
      </c>
      <c r="H43" s="63">
        <f t="shared" ref="H43:H44" si="6">+E43*F43</f>
        <v>39800</v>
      </c>
      <c r="I43" s="85"/>
    </row>
    <row r="44" spans="2:9" ht="14.25" x14ac:dyDescent="0.2">
      <c r="B44" s="42"/>
      <c r="C44" s="54" t="s">
        <v>177</v>
      </c>
      <c r="D44" s="44" t="s">
        <v>24</v>
      </c>
      <c r="E44" s="56">
        <v>8000</v>
      </c>
      <c r="F44" s="84">
        <v>3</v>
      </c>
      <c r="G44" s="43">
        <v>0</v>
      </c>
      <c r="H44" s="63">
        <f t="shared" si="6"/>
        <v>24000</v>
      </c>
      <c r="I44" s="85"/>
    </row>
    <row r="45" spans="2:9" ht="14.25" x14ac:dyDescent="0.2">
      <c r="B45" s="42"/>
      <c r="C45" s="54" t="s">
        <v>27</v>
      </c>
      <c r="D45" s="44" t="s">
        <v>25</v>
      </c>
      <c r="E45" s="56">
        <v>250000</v>
      </c>
      <c r="F45" s="42">
        <v>1</v>
      </c>
      <c r="G45" s="43">
        <v>0</v>
      </c>
      <c r="H45" s="63">
        <f>+E45*F45</f>
        <v>250000</v>
      </c>
      <c r="I45" s="85"/>
    </row>
    <row r="46" spans="2:9" ht="15" x14ac:dyDescent="0.25">
      <c r="B46" s="66"/>
      <c r="C46" s="67"/>
      <c r="D46" s="93"/>
      <c r="E46" s="69"/>
      <c r="F46" s="70" t="s">
        <v>14</v>
      </c>
      <c r="G46" s="94"/>
      <c r="H46" s="226">
        <f>SUM(H13:H45)</f>
        <v>11111740.4</v>
      </c>
      <c r="I46" s="85"/>
    </row>
    <row r="47" spans="2:9" ht="15" x14ac:dyDescent="0.25">
      <c r="B47" s="673" t="s">
        <v>16</v>
      </c>
      <c r="C47" s="674"/>
      <c r="D47" s="674"/>
      <c r="E47" s="674"/>
      <c r="F47" s="674"/>
      <c r="G47" s="674"/>
      <c r="H47" s="675"/>
      <c r="I47" s="85"/>
    </row>
    <row r="48" spans="2:9" ht="15" x14ac:dyDescent="0.25">
      <c r="B48" s="59" t="s">
        <v>7</v>
      </c>
      <c r="C48" s="60" t="s">
        <v>0</v>
      </c>
      <c r="D48" s="60" t="s">
        <v>3</v>
      </c>
      <c r="E48" s="59" t="s">
        <v>9</v>
      </c>
      <c r="F48" s="72" t="s">
        <v>10</v>
      </c>
      <c r="G48" s="95" t="s">
        <v>11</v>
      </c>
      <c r="H48" s="60" t="s">
        <v>12</v>
      </c>
      <c r="I48" s="85"/>
    </row>
    <row r="49" spans="2:9" ht="14.25" x14ac:dyDescent="0.2">
      <c r="B49" s="61"/>
      <c r="C49" s="54"/>
      <c r="D49" s="42"/>
      <c r="E49" s="79"/>
      <c r="F49" s="42"/>
      <c r="G49" s="43"/>
      <c r="H49" s="74"/>
      <c r="I49" s="85"/>
    </row>
    <row r="50" spans="2:9" ht="14.25" x14ac:dyDescent="0.2">
      <c r="B50" s="61"/>
      <c r="C50" s="229"/>
      <c r="D50" s="42"/>
      <c r="E50" s="228"/>
      <c r="F50" s="42"/>
      <c r="G50" s="43"/>
      <c r="H50" s="74"/>
      <c r="I50" s="85"/>
    </row>
    <row r="51" spans="2:9" ht="14.25" x14ac:dyDescent="0.2">
      <c r="B51" s="61"/>
      <c r="C51" s="54"/>
      <c r="D51" s="42"/>
      <c r="E51" s="228"/>
      <c r="F51" s="42"/>
      <c r="G51" s="43"/>
      <c r="H51" s="74"/>
      <c r="I51" s="85"/>
    </row>
    <row r="52" spans="2:9" ht="15" x14ac:dyDescent="0.25">
      <c r="B52" s="75"/>
      <c r="C52" s="76"/>
      <c r="D52" s="76"/>
      <c r="E52" s="78"/>
      <c r="F52" s="42" t="s">
        <v>14</v>
      </c>
      <c r="G52" s="42"/>
      <c r="H52" s="62">
        <f>ROUND(SUM(H49:H51),0)</f>
        <v>0</v>
      </c>
      <c r="I52" s="85"/>
    </row>
    <row r="53" spans="2:9" ht="15" x14ac:dyDescent="0.25">
      <c r="B53" s="673" t="s">
        <v>17</v>
      </c>
      <c r="C53" s="674"/>
      <c r="D53" s="674"/>
      <c r="E53" s="674"/>
      <c r="F53" s="674"/>
      <c r="G53" s="674"/>
      <c r="H53" s="675"/>
      <c r="I53" s="85"/>
    </row>
    <row r="54" spans="2:9" ht="15" customHeight="1" x14ac:dyDescent="0.25">
      <c r="B54" s="676" t="s">
        <v>8</v>
      </c>
      <c r="C54" s="677"/>
      <c r="D54" s="60" t="s">
        <v>3</v>
      </c>
      <c r="E54" s="59" t="s">
        <v>9</v>
      </c>
      <c r="F54" s="59" t="s">
        <v>10</v>
      </c>
      <c r="G54" s="92" t="s">
        <v>11</v>
      </c>
      <c r="H54" s="60" t="s">
        <v>12</v>
      </c>
      <c r="I54" s="85"/>
    </row>
    <row r="55" spans="2:9" ht="28.5" x14ac:dyDescent="0.2">
      <c r="B55" s="582" t="s">
        <v>334</v>
      </c>
      <c r="C55" s="217" t="s">
        <v>336</v>
      </c>
      <c r="D55" s="583" t="s">
        <v>333</v>
      </c>
      <c r="E55" s="584">
        <v>42869</v>
      </c>
      <c r="F55" s="583">
        <v>16</v>
      </c>
      <c r="G55" s="43">
        <v>0</v>
      </c>
      <c r="H55" s="74">
        <f>IF(E55="-","-",E55*F55*(1+G55))</f>
        <v>685904</v>
      </c>
      <c r="I55" s="65" t="s">
        <v>383</v>
      </c>
    </row>
    <row r="56" spans="2:9" ht="28.5" x14ac:dyDescent="0.2">
      <c r="B56" s="582" t="s">
        <v>334</v>
      </c>
      <c r="C56" s="217" t="s">
        <v>339</v>
      </c>
      <c r="D56" s="583" t="s">
        <v>333</v>
      </c>
      <c r="E56" s="584">
        <v>42869</v>
      </c>
      <c r="F56" s="583">
        <v>16</v>
      </c>
      <c r="G56" s="43">
        <v>0</v>
      </c>
      <c r="H56" s="74">
        <f>IF(E56="-","-",E56*F56*(1+G56))</f>
        <v>685904</v>
      </c>
      <c r="I56" s="65" t="s">
        <v>381</v>
      </c>
    </row>
    <row r="57" spans="2:9" ht="14.25" x14ac:dyDescent="0.2">
      <c r="B57" s="590" t="s">
        <v>342</v>
      </c>
      <c r="C57" s="217" t="s">
        <v>341</v>
      </c>
      <c r="D57" s="583" t="s">
        <v>340</v>
      </c>
      <c r="E57" s="584">
        <v>10177242</v>
      </c>
      <c r="F57" s="583">
        <v>2.1000000000000001E-2</v>
      </c>
      <c r="G57" s="43">
        <v>0</v>
      </c>
      <c r="H57" s="74">
        <f>IF(E57="-","-",E57*F57*(1+G57))</f>
        <v>213722.08200000002</v>
      </c>
      <c r="I57" s="65" t="s">
        <v>382</v>
      </c>
    </row>
    <row r="58" spans="2:9" ht="15" x14ac:dyDescent="0.25">
      <c r="B58" s="682" t="s">
        <v>14</v>
      </c>
      <c r="C58" s="683"/>
      <c r="D58" s="683"/>
      <c r="E58" s="683"/>
      <c r="F58" s="684"/>
      <c r="G58" s="82"/>
      <c r="H58" s="62">
        <f>ROUND(SUM(H55:H57),0)</f>
        <v>1585530</v>
      </c>
      <c r="I58" s="85"/>
    </row>
    <row r="59" spans="2:9" ht="38.25" customHeight="1" x14ac:dyDescent="0.2">
      <c r="B59" s="13"/>
      <c r="C59" s="14"/>
      <c r="D59" s="14"/>
      <c r="E59" s="27"/>
      <c r="F59" s="15"/>
      <c r="G59" s="15"/>
      <c r="H59" s="16"/>
    </row>
    <row r="60" spans="2:9" x14ac:dyDescent="0.2">
      <c r="B60" s="13"/>
      <c r="C60" s="17"/>
      <c r="D60" s="14"/>
      <c r="E60" s="27"/>
      <c r="F60" s="2" t="s">
        <v>18</v>
      </c>
      <c r="G60" s="2"/>
      <c r="H60" s="18">
        <f>H10+H46+H52+H58</f>
        <v>13046883.4</v>
      </c>
    </row>
    <row r="61" spans="2:9" x14ac:dyDescent="0.2">
      <c r="B61" s="13"/>
      <c r="C61" s="14"/>
      <c r="D61" s="14"/>
      <c r="E61" s="27"/>
      <c r="F61" s="15"/>
      <c r="G61" s="15"/>
      <c r="H61" s="16"/>
    </row>
    <row r="62" spans="2:9" ht="38.25" customHeight="1" x14ac:dyDescent="0.2">
      <c r="B62" s="13"/>
      <c r="C62" s="19"/>
      <c r="D62" s="14"/>
      <c r="E62" s="27"/>
      <c r="F62" s="15"/>
      <c r="G62" s="15"/>
      <c r="H62" s="16"/>
    </row>
    <row r="63" spans="2:9" x14ac:dyDescent="0.2">
      <c r="B63" s="13"/>
      <c r="D63" s="14"/>
      <c r="E63" s="27"/>
      <c r="F63" s="15"/>
      <c r="G63" s="15"/>
      <c r="H63" s="16"/>
    </row>
    <row r="64" spans="2:9" x14ac:dyDescent="0.2">
      <c r="B64" s="13"/>
      <c r="C64" s="14"/>
      <c r="D64" s="14"/>
      <c r="E64" s="27"/>
      <c r="F64" s="15"/>
      <c r="G64" s="15"/>
      <c r="H64" s="16"/>
      <c r="I64" s="14"/>
    </row>
    <row r="65" spans="2:9" x14ac:dyDescent="0.2">
      <c r="B65" s="20"/>
      <c r="C65" s="21"/>
      <c r="D65" s="21"/>
      <c r="E65" s="28"/>
      <c r="F65" s="22"/>
      <c r="G65" s="22"/>
      <c r="H65" s="23"/>
      <c r="I65" s="14"/>
    </row>
  </sheetData>
  <mergeCells count="9">
    <mergeCell ref="B53:H53"/>
    <mergeCell ref="B54:C54"/>
    <mergeCell ref="B58:F58"/>
    <mergeCell ref="B2:H2"/>
    <mergeCell ref="C3:G3"/>
    <mergeCell ref="B4:H4"/>
    <mergeCell ref="B10:E10"/>
    <mergeCell ref="B11:H11"/>
    <mergeCell ref="B47:H47"/>
  </mergeCells>
  <pageMargins left="0.7" right="0.7" top="0.75" bottom="0.75" header="0.3" footer="0.3"/>
  <pageSetup paperSize="9" scale="7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EAE5-0B9D-41E2-BA19-A5DA6881F37D}">
  <sheetPr>
    <tabColor theme="4" tint="-0.249977111117893"/>
  </sheetPr>
  <dimension ref="B2:X66"/>
  <sheetViews>
    <sheetView topLeftCell="A43" zoomScale="97" zoomScaleNormal="98" workbookViewId="0">
      <selection activeCell="I57" sqref="I57"/>
    </sheetView>
  </sheetViews>
  <sheetFormatPr baseColWidth="10" defaultColWidth="11.42578125" defaultRowHeight="12.75" x14ac:dyDescent="0.2"/>
  <cols>
    <col min="1" max="1" width="11.42578125" style="1"/>
    <col min="2" max="2" width="9.5703125" style="24" customWidth="1"/>
    <col min="3" max="3" width="51.28515625" style="1" customWidth="1"/>
    <col min="4" max="4" width="10.7109375" style="1" customWidth="1"/>
    <col min="5" max="5" width="20" style="24" customWidth="1"/>
    <col min="6" max="6" width="14.42578125" style="25" bestFit="1" customWidth="1"/>
    <col min="7" max="7" width="16.7109375" style="25" bestFit="1" customWidth="1"/>
    <col min="8" max="8" width="18.42578125" style="1" bestFit="1" customWidth="1"/>
    <col min="9" max="16384" width="11.42578125" style="1"/>
  </cols>
  <sheetData>
    <row r="2" spans="2:24" x14ac:dyDescent="0.2">
      <c r="B2" s="685" t="s">
        <v>2</v>
      </c>
      <c r="C2" s="685"/>
      <c r="D2" s="685"/>
      <c r="E2" s="685"/>
      <c r="F2" s="685"/>
      <c r="G2" s="685"/>
      <c r="H2" s="685"/>
    </row>
    <row r="3" spans="2:24" ht="69" customHeight="1" x14ac:dyDescent="0.2">
      <c r="B3" s="2" t="s">
        <v>1</v>
      </c>
      <c r="C3" s="686" t="s">
        <v>198</v>
      </c>
      <c r="D3" s="686"/>
      <c r="E3" s="686"/>
      <c r="F3" s="686"/>
      <c r="G3" s="686"/>
      <c r="H3" s="2">
        <v>14</v>
      </c>
      <c r="I3" s="1">
        <v>6</v>
      </c>
      <c r="X3" s="1" t="s">
        <v>4</v>
      </c>
    </row>
    <row r="4" spans="2:24" x14ac:dyDescent="0.2">
      <c r="B4" s="687" t="s">
        <v>5</v>
      </c>
      <c r="C4" s="687"/>
      <c r="D4" s="687"/>
      <c r="E4" s="687"/>
      <c r="F4" s="687"/>
      <c r="G4" s="687"/>
      <c r="H4" s="687"/>
      <c r="X4" s="1" t="s">
        <v>6</v>
      </c>
    </row>
    <row r="5" spans="2:24" x14ac:dyDescent="0.2">
      <c r="B5" s="3" t="s">
        <v>7</v>
      </c>
      <c r="C5" s="4" t="s">
        <v>8</v>
      </c>
      <c r="D5" s="4" t="s">
        <v>3</v>
      </c>
      <c r="E5" s="3" t="s">
        <v>9</v>
      </c>
      <c r="F5" s="3" t="s">
        <v>10</v>
      </c>
      <c r="G5" s="5" t="s">
        <v>11</v>
      </c>
      <c r="H5" s="4" t="s">
        <v>12</v>
      </c>
      <c r="X5" s="1" t="s">
        <v>13</v>
      </c>
    </row>
    <row r="6" spans="2:24" ht="15" x14ac:dyDescent="0.2">
      <c r="B6" s="6"/>
      <c r="C6" s="33" t="s">
        <v>71</v>
      </c>
      <c r="D6" s="34" t="s">
        <v>46</v>
      </c>
      <c r="E6" s="26">
        <v>50000</v>
      </c>
      <c r="F6" s="34">
        <v>1.452</v>
      </c>
      <c r="G6" s="11">
        <v>0</v>
      </c>
      <c r="H6" s="7">
        <f>+E6*F6*(1+G6)</f>
        <v>72600</v>
      </c>
    </row>
    <row r="7" spans="2:24" ht="14.25" x14ac:dyDescent="0.2">
      <c r="B7" s="6"/>
      <c r="C7" s="58" t="s">
        <v>20</v>
      </c>
      <c r="D7" s="42" t="s">
        <v>72</v>
      </c>
      <c r="E7" s="53">
        <f>H59*0.05</f>
        <v>79276.5</v>
      </c>
      <c r="F7" s="42">
        <v>1</v>
      </c>
      <c r="G7" s="11">
        <v>0</v>
      </c>
      <c r="H7" s="7">
        <f>+E7*F7*(1+G7)</f>
        <v>79276.5</v>
      </c>
    </row>
    <row r="8" spans="2:24" ht="15" x14ac:dyDescent="0.2">
      <c r="B8" s="6"/>
      <c r="C8" s="33" t="s">
        <v>70</v>
      </c>
      <c r="D8" s="34" t="s">
        <v>46</v>
      </c>
      <c r="E8" s="26">
        <v>97038</v>
      </c>
      <c r="F8" s="34">
        <v>2</v>
      </c>
      <c r="G8" s="11">
        <v>0</v>
      </c>
      <c r="H8" s="7">
        <f t="shared" ref="H8:H9" si="0">+E8*F8*(1+G8)</f>
        <v>194076</v>
      </c>
    </row>
    <row r="9" spans="2:24" ht="15" x14ac:dyDescent="0.2">
      <c r="B9" s="6"/>
      <c r="C9" s="33" t="s">
        <v>54</v>
      </c>
      <c r="D9" s="34" t="s">
        <v>46</v>
      </c>
      <c r="E9" s="26">
        <v>10000</v>
      </c>
      <c r="F9" s="34">
        <f>F6</f>
        <v>1.452</v>
      </c>
      <c r="G9" s="11">
        <v>0</v>
      </c>
      <c r="H9" s="7">
        <f t="shared" si="0"/>
        <v>14520</v>
      </c>
    </row>
    <row r="10" spans="2:24" ht="15" x14ac:dyDescent="0.2">
      <c r="B10" s="6"/>
      <c r="C10" s="33"/>
      <c r="D10" s="9"/>
      <c r="E10" s="26"/>
      <c r="F10" s="34"/>
      <c r="G10" s="11"/>
      <c r="H10" s="7"/>
    </row>
    <row r="11" spans="2:24" ht="15" x14ac:dyDescent="0.25">
      <c r="B11" s="670"/>
      <c r="C11" s="671"/>
      <c r="D11" s="671"/>
      <c r="E11" s="672"/>
      <c r="F11" s="59" t="s">
        <v>14</v>
      </c>
      <c r="G11" s="92"/>
      <c r="H11" s="62">
        <f>ROUND(SUM(H6:H10),0)</f>
        <v>360473</v>
      </c>
      <c r="I11" s="85"/>
    </row>
    <row r="12" spans="2:24" ht="15" x14ac:dyDescent="0.25">
      <c r="B12" s="669" t="s">
        <v>15</v>
      </c>
      <c r="C12" s="669"/>
      <c r="D12" s="669"/>
      <c r="E12" s="669"/>
      <c r="F12" s="669"/>
      <c r="G12" s="669"/>
      <c r="H12" s="669"/>
      <c r="I12" s="85"/>
    </row>
    <row r="13" spans="2:24" ht="15" x14ac:dyDescent="0.25">
      <c r="B13" s="59" t="s">
        <v>7</v>
      </c>
      <c r="C13" s="60" t="s">
        <v>8</v>
      </c>
      <c r="D13" s="60" t="s">
        <v>3</v>
      </c>
      <c r="E13" s="59" t="s">
        <v>9</v>
      </c>
      <c r="F13" s="59" t="s">
        <v>10</v>
      </c>
      <c r="G13" s="59" t="s">
        <v>11</v>
      </c>
      <c r="H13" s="60" t="s">
        <v>12</v>
      </c>
      <c r="I13" s="85"/>
    </row>
    <row r="14" spans="2:24" ht="42.75" x14ac:dyDescent="0.2">
      <c r="B14" s="42"/>
      <c r="C14" s="217" t="s">
        <v>152</v>
      </c>
      <c r="D14" s="44" t="s">
        <v>25</v>
      </c>
      <c r="E14" s="216">
        <v>740300.00000000012</v>
      </c>
      <c r="F14" s="42">
        <v>1</v>
      </c>
      <c r="G14" s="43">
        <v>0</v>
      </c>
      <c r="H14" s="63">
        <f>+E14*F14</f>
        <v>740300.00000000012</v>
      </c>
      <c r="I14" s="85"/>
    </row>
    <row r="15" spans="2:24" ht="28.5" x14ac:dyDescent="0.2">
      <c r="B15" s="42"/>
      <c r="C15" s="54" t="s">
        <v>191</v>
      </c>
      <c r="D15" s="44" t="s">
        <v>25</v>
      </c>
      <c r="E15" s="231">
        <f>105000*1.12</f>
        <v>117600.00000000001</v>
      </c>
      <c r="F15" s="42">
        <v>1</v>
      </c>
      <c r="G15" s="43">
        <v>0</v>
      </c>
      <c r="H15" s="63">
        <f t="shared" ref="H15:H16" si="1">+E15*F15</f>
        <v>117600.00000000001</v>
      </c>
      <c r="I15" s="85"/>
    </row>
    <row r="16" spans="2:24" ht="28.5" x14ac:dyDescent="0.2">
      <c r="B16" s="42"/>
      <c r="C16" s="54" t="s">
        <v>192</v>
      </c>
      <c r="D16" s="44" t="s">
        <v>25</v>
      </c>
      <c r="E16" s="231">
        <f>13900*1.2</f>
        <v>16680</v>
      </c>
      <c r="F16" s="42">
        <v>1</v>
      </c>
      <c r="G16" s="43">
        <v>0</v>
      </c>
      <c r="H16" s="63">
        <f t="shared" si="1"/>
        <v>16680</v>
      </c>
      <c r="I16" s="85"/>
    </row>
    <row r="17" spans="2:9" ht="28.5" x14ac:dyDescent="0.2">
      <c r="B17" s="42"/>
      <c r="C17" s="209" t="s">
        <v>148</v>
      </c>
      <c r="D17" s="103" t="s">
        <v>25</v>
      </c>
      <c r="E17" s="214">
        <v>512800</v>
      </c>
      <c r="F17" s="42">
        <v>2</v>
      </c>
      <c r="G17" s="43">
        <v>0</v>
      </c>
      <c r="H17" s="63">
        <f>+E17*F17</f>
        <v>1025600</v>
      </c>
      <c r="I17" s="85"/>
    </row>
    <row r="18" spans="2:9" ht="14.25" x14ac:dyDescent="0.2">
      <c r="B18" s="42"/>
      <c r="C18" s="54" t="s">
        <v>37</v>
      </c>
      <c r="D18" s="44" t="s">
        <v>25</v>
      </c>
      <c r="E18" s="56">
        <v>864900</v>
      </c>
      <c r="F18" s="42">
        <v>1</v>
      </c>
      <c r="G18" s="43">
        <v>0</v>
      </c>
      <c r="H18" s="63">
        <f>+E18*F18</f>
        <v>864900</v>
      </c>
      <c r="I18" s="85"/>
    </row>
    <row r="19" spans="2:9" ht="14.25" x14ac:dyDescent="0.2">
      <c r="B19" s="42"/>
      <c r="C19" s="54" t="s">
        <v>35</v>
      </c>
      <c r="D19" s="44" t="s">
        <v>25</v>
      </c>
      <c r="E19" s="56">
        <v>322000</v>
      </c>
      <c r="F19" s="42">
        <v>1</v>
      </c>
      <c r="G19" s="43">
        <v>0</v>
      </c>
      <c r="H19" s="63">
        <f t="shared" ref="H19:H46" si="2">+E19*F19</f>
        <v>322000</v>
      </c>
      <c r="I19" s="85"/>
    </row>
    <row r="20" spans="2:9" ht="14.25" x14ac:dyDescent="0.2">
      <c r="B20" s="42"/>
      <c r="C20" s="587" t="s">
        <v>182</v>
      </c>
      <c r="D20" s="601" t="s">
        <v>25</v>
      </c>
      <c r="E20" s="216">
        <v>535000</v>
      </c>
      <c r="F20" s="42">
        <v>1</v>
      </c>
      <c r="G20" s="43">
        <v>0</v>
      </c>
      <c r="H20" s="63">
        <f t="shared" si="2"/>
        <v>535000</v>
      </c>
      <c r="I20" s="85"/>
    </row>
    <row r="21" spans="2:9" ht="28.5" x14ac:dyDescent="0.2">
      <c r="B21" s="42"/>
      <c r="C21" s="54" t="s">
        <v>100</v>
      </c>
      <c r="D21" s="44" t="s">
        <v>25</v>
      </c>
      <c r="E21" s="215">
        <v>1105000</v>
      </c>
      <c r="F21" s="42">
        <v>1</v>
      </c>
      <c r="G21" s="43">
        <v>0</v>
      </c>
      <c r="H21" s="63">
        <f>+E21*F21</f>
        <v>1105000</v>
      </c>
      <c r="I21" s="85"/>
    </row>
    <row r="22" spans="2:9" ht="28.5" x14ac:dyDescent="0.2">
      <c r="B22" s="42"/>
      <c r="C22" s="54" t="s">
        <v>185</v>
      </c>
      <c r="D22" s="44" t="s">
        <v>25</v>
      </c>
      <c r="E22" s="56">
        <v>457000</v>
      </c>
      <c r="F22" s="42">
        <v>1</v>
      </c>
      <c r="G22" s="43">
        <v>0</v>
      </c>
      <c r="H22" s="63">
        <f t="shared" si="2"/>
        <v>457000</v>
      </c>
      <c r="I22" s="85"/>
    </row>
    <row r="23" spans="2:9" ht="14.25" x14ac:dyDescent="0.2">
      <c r="B23" s="42"/>
      <c r="C23" s="87" t="s">
        <v>104</v>
      </c>
      <c r="D23" s="103" t="s">
        <v>25</v>
      </c>
      <c r="E23" s="215">
        <v>271000</v>
      </c>
      <c r="F23" s="42">
        <v>1</v>
      </c>
      <c r="G23" s="43">
        <v>0</v>
      </c>
      <c r="H23" s="63">
        <f t="shared" si="2"/>
        <v>271000</v>
      </c>
      <c r="I23" s="85"/>
    </row>
    <row r="24" spans="2:9" ht="14.25" x14ac:dyDescent="0.2">
      <c r="B24" s="42"/>
      <c r="C24" s="54" t="s">
        <v>38</v>
      </c>
      <c r="D24" s="44" t="s">
        <v>25</v>
      </c>
      <c r="E24" s="56">
        <v>1340971</v>
      </c>
      <c r="F24" s="42">
        <v>1</v>
      </c>
      <c r="G24" s="43">
        <v>0</v>
      </c>
      <c r="H24" s="63">
        <f t="shared" si="2"/>
        <v>1340971</v>
      </c>
      <c r="I24" s="85"/>
    </row>
    <row r="25" spans="2:9" ht="14.25" x14ac:dyDescent="0.2">
      <c r="B25" s="42"/>
      <c r="C25" s="54" t="s">
        <v>107</v>
      </c>
      <c r="D25" s="44" t="s">
        <v>25</v>
      </c>
      <c r="E25" s="56">
        <v>476645</v>
      </c>
      <c r="F25" s="42">
        <v>1</v>
      </c>
      <c r="G25" s="43">
        <v>0</v>
      </c>
      <c r="H25" s="63">
        <f t="shared" si="2"/>
        <v>476645</v>
      </c>
      <c r="I25" s="85"/>
    </row>
    <row r="26" spans="2:9" ht="14.25" x14ac:dyDescent="0.2">
      <c r="B26" s="42"/>
      <c r="C26" s="54" t="s">
        <v>58</v>
      </c>
      <c r="D26" s="44" t="s">
        <v>25</v>
      </c>
      <c r="E26" s="56">
        <v>42920</v>
      </c>
      <c r="F26" s="42">
        <v>1</v>
      </c>
      <c r="G26" s="43">
        <v>0</v>
      </c>
      <c r="H26" s="63">
        <f t="shared" si="2"/>
        <v>42920</v>
      </c>
      <c r="I26" s="85"/>
    </row>
    <row r="27" spans="2:9" ht="14.25" x14ac:dyDescent="0.2">
      <c r="B27" s="42"/>
      <c r="C27" s="54" t="s">
        <v>57</v>
      </c>
      <c r="D27" s="44" t="s">
        <v>25</v>
      </c>
      <c r="E27" s="56">
        <v>126303</v>
      </c>
      <c r="F27" s="42">
        <v>2</v>
      </c>
      <c r="G27" s="43">
        <v>0</v>
      </c>
      <c r="H27" s="63">
        <f t="shared" si="2"/>
        <v>252606</v>
      </c>
      <c r="I27" s="85"/>
    </row>
    <row r="28" spans="2:9" ht="14.25" x14ac:dyDescent="0.2">
      <c r="B28" s="42"/>
      <c r="C28" s="65" t="s">
        <v>175</v>
      </c>
      <c r="D28" s="88" t="s">
        <v>96</v>
      </c>
      <c r="E28" s="223">
        <v>23880</v>
      </c>
      <c r="F28" s="42">
        <v>0.5</v>
      </c>
      <c r="G28" s="43">
        <v>0</v>
      </c>
      <c r="H28" s="63">
        <f t="shared" si="2"/>
        <v>11940</v>
      </c>
      <c r="I28" s="85"/>
    </row>
    <row r="29" spans="2:9" ht="14.25" x14ac:dyDescent="0.2">
      <c r="B29" s="42"/>
      <c r="C29" s="54" t="s">
        <v>26</v>
      </c>
      <c r="D29" s="44" t="s">
        <v>25</v>
      </c>
      <c r="E29" s="56">
        <v>1094800</v>
      </c>
      <c r="F29" s="42">
        <v>2</v>
      </c>
      <c r="G29" s="43">
        <v>0</v>
      </c>
      <c r="H29" s="63">
        <f t="shared" si="2"/>
        <v>2189600</v>
      </c>
      <c r="I29" s="85"/>
    </row>
    <row r="30" spans="2:9" ht="14.25" x14ac:dyDescent="0.2">
      <c r="B30" s="42"/>
      <c r="C30" s="54" t="s">
        <v>23</v>
      </c>
      <c r="D30" s="44" t="s">
        <v>25</v>
      </c>
      <c r="E30" s="215">
        <v>1111210</v>
      </c>
      <c r="F30" s="42">
        <v>1</v>
      </c>
      <c r="G30" s="43">
        <v>0</v>
      </c>
      <c r="H30" s="63">
        <f t="shared" si="2"/>
        <v>1111210</v>
      </c>
      <c r="I30" s="85"/>
    </row>
    <row r="31" spans="2:9" ht="14.25" x14ac:dyDescent="0.2">
      <c r="B31" s="42"/>
      <c r="C31" s="220" t="s">
        <v>260</v>
      </c>
      <c r="D31" s="44" t="s">
        <v>24</v>
      </c>
      <c r="E31" s="230">
        <v>4040</v>
      </c>
      <c r="F31" s="42">
        <v>4</v>
      </c>
      <c r="G31" s="43">
        <v>0</v>
      </c>
      <c r="H31" s="63">
        <f t="shared" si="2"/>
        <v>16160</v>
      </c>
      <c r="I31" s="85"/>
    </row>
    <row r="32" spans="2:9" ht="14.25" x14ac:dyDescent="0.2">
      <c r="B32" s="42"/>
      <c r="C32" s="217" t="s">
        <v>162</v>
      </c>
      <c r="D32" s="601" t="s">
        <v>25</v>
      </c>
      <c r="E32" s="611">
        <v>1000</v>
      </c>
      <c r="F32" s="42">
        <v>12</v>
      </c>
      <c r="G32" s="43">
        <v>0</v>
      </c>
      <c r="H32" s="63">
        <f t="shared" si="2"/>
        <v>12000</v>
      </c>
      <c r="I32" s="85"/>
    </row>
    <row r="33" spans="2:9" ht="14.25" x14ac:dyDescent="0.2">
      <c r="B33" s="42"/>
      <c r="C33" s="54" t="s">
        <v>103</v>
      </c>
      <c r="D33" s="44" t="s">
        <v>25</v>
      </c>
      <c r="E33" s="215">
        <v>10890</v>
      </c>
      <c r="F33" s="42">
        <v>2</v>
      </c>
      <c r="G33" s="43">
        <v>0</v>
      </c>
      <c r="H33" s="63">
        <f t="shared" si="2"/>
        <v>21780</v>
      </c>
      <c r="I33" s="85"/>
    </row>
    <row r="34" spans="2:9" ht="14.25" x14ac:dyDescent="0.2">
      <c r="B34" s="42"/>
      <c r="C34" s="217" t="s">
        <v>358</v>
      </c>
      <c r="D34" s="44" t="s">
        <v>25</v>
      </c>
      <c r="E34" s="215">
        <v>78016.400000000009</v>
      </c>
      <c r="F34" s="42">
        <v>2</v>
      </c>
      <c r="G34" s="43">
        <v>0</v>
      </c>
      <c r="H34" s="63">
        <f t="shared" si="2"/>
        <v>156032.80000000002</v>
      </c>
      <c r="I34" s="85"/>
    </row>
    <row r="35" spans="2:9" ht="14.25" x14ac:dyDescent="0.2">
      <c r="B35" s="42"/>
      <c r="C35" s="54" t="s">
        <v>22</v>
      </c>
      <c r="D35" s="44" t="s">
        <v>24</v>
      </c>
      <c r="E35" s="56">
        <v>7500</v>
      </c>
      <c r="F35" s="42">
        <v>6</v>
      </c>
      <c r="G35" s="43">
        <v>0</v>
      </c>
      <c r="H35" s="63">
        <f t="shared" si="2"/>
        <v>45000</v>
      </c>
      <c r="I35" s="85"/>
    </row>
    <row r="36" spans="2:9" ht="14.25" x14ac:dyDescent="0.2">
      <c r="B36" s="42"/>
      <c r="C36" s="54" t="s">
        <v>95</v>
      </c>
      <c r="D36" s="44" t="s">
        <v>25</v>
      </c>
      <c r="E36" s="215">
        <v>8200</v>
      </c>
      <c r="F36" s="42">
        <v>6</v>
      </c>
      <c r="G36" s="43">
        <v>0</v>
      </c>
      <c r="H36" s="63">
        <f t="shared" ref="H36:H39" si="3">+E36*F36</f>
        <v>49200</v>
      </c>
      <c r="I36" s="85"/>
    </row>
    <row r="37" spans="2:9" ht="33" x14ac:dyDescent="0.2">
      <c r="B37" s="42"/>
      <c r="C37" s="493" t="s">
        <v>356</v>
      </c>
      <c r="D37" s="610" t="s">
        <v>25</v>
      </c>
      <c r="E37" s="526">
        <v>3432</v>
      </c>
      <c r="F37" s="42">
        <v>6</v>
      </c>
      <c r="G37" s="43">
        <v>0</v>
      </c>
      <c r="H37" s="63">
        <f t="shared" si="3"/>
        <v>20592</v>
      </c>
      <c r="I37" s="85"/>
    </row>
    <row r="38" spans="2:9" ht="14.25" x14ac:dyDescent="0.2">
      <c r="B38" s="42"/>
      <c r="C38" s="217" t="s">
        <v>357</v>
      </c>
      <c r="D38" s="222" t="s">
        <v>25</v>
      </c>
      <c r="E38" s="215">
        <v>700</v>
      </c>
      <c r="F38" s="42">
        <v>6</v>
      </c>
      <c r="G38" s="43">
        <v>0</v>
      </c>
      <c r="H38" s="63">
        <f t="shared" si="3"/>
        <v>4200</v>
      </c>
      <c r="I38" s="85"/>
    </row>
    <row r="39" spans="2:9" ht="14.25" x14ac:dyDescent="0.2">
      <c r="B39" s="42"/>
      <c r="C39" s="221" t="s">
        <v>173</v>
      </c>
      <c r="D39" s="44" t="s">
        <v>25</v>
      </c>
      <c r="E39" s="215">
        <v>16010.800000000001</v>
      </c>
      <c r="F39" s="42">
        <v>1</v>
      </c>
      <c r="G39" s="43">
        <v>0</v>
      </c>
      <c r="H39" s="63">
        <f t="shared" si="3"/>
        <v>16010.800000000001</v>
      </c>
      <c r="I39" s="85"/>
    </row>
    <row r="40" spans="2:9" ht="14.25" x14ac:dyDescent="0.2">
      <c r="B40" s="42"/>
      <c r="C40" s="54" t="s">
        <v>28</v>
      </c>
      <c r="D40" s="44" t="s">
        <v>24</v>
      </c>
      <c r="E40" s="215">
        <v>3880</v>
      </c>
      <c r="F40" s="42">
        <v>9</v>
      </c>
      <c r="G40" s="43">
        <v>0</v>
      </c>
      <c r="H40" s="63">
        <f t="shared" si="2"/>
        <v>34920</v>
      </c>
      <c r="I40" s="85"/>
    </row>
    <row r="41" spans="2:9" ht="14.25" x14ac:dyDescent="0.2">
      <c r="B41" s="42"/>
      <c r="C41" s="54" t="s">
        <v>29</v>
      </c>
      <c r="D41" s="44" t="s">
        <v>24</v>
      </c>
      <c r="E41" s="215">
        <v>6870</v>
      </c>
      <c r="F41" s="42">
        <v>2</v>
      </c>
      <c r="G41" s="43">
        <v>0</v>
      </c>
      <c r="H41" s="63">
        <f t="shared" si="2"/>
        <v>13740</v>
      </c>
      <c r="I41" s="85"/>
    </row>
    <row r="42" spans="2:9" ht="14.25" x14ac:dyDescent="0.2">
      <c r="B42" s="42"/>
      <c r="C42" s="54" t="s">
        <v>36</v>
      </c>
      <c r="D42" s="44" t="s">
        <v>24</v>
      </c>
      <c r="E42" s="56">
        <v>6000</v>
      </c>
      <c r="F42" s="42">
        <v>10</v>
      </c>
      <c r="G42" s="43">
        <v>0</v>
      </c>
      <c r="H42" s="63">
        <f t="shared" si="2"/>
        <v>60000</v>
      </c>
      <c r="I42" s="85"/>
    </row>
    <row r="43" spans="2:9" ht="14.25" x14ac:dyDescent="0.2">
      <c r="B43" s="42"/>
      <c r="C43" s="54" t="s">
        <v>150</v>
      </c>
      <c r="D43" s="44" t="s">
        <v>25</v>
      </c>
      <c r="E43" s="56">
        <v>5500</v>
      </c>
      <c r="F43" s="42">
        <v>2</v>
      </c>
      <c r="G43" s="43">
        <v>0</v>
      </c>
      <c r="H43" s="63">
        <f t="shared" si="2"/>
        <v>11000</v>
      </c>
      <c r="I43" s="85"/>
    </row>
    <row r="44" spans="2:9" ht="14.25" x14ac:dyDescent="0.2">
      <c r="B44" s="42"/>
      <c r="C44" s="225" t="s">
        <v>178</v>
      </c>
      <c r="D44" s="44" t="s">
        <v>24</v>
      </c>
      <c r="E44" s="56">
        <v>19900</v>
      </c>
      <c r="F44" s="84">
        <v>2</v>
      </c>
      <c r="G44" s="43">
        <v>0</v>
      </c>
      <c r="H44" s="63">
        <f t="shared" si="2"/>
        <v>39800</v>
      </c>
      <c r="I44" s="85"/>
    </row>
    <row r="45" spans="2:9" ht="14.25" x14ac:dyDescent="0.2">
      <c r="B45" s="42"/>
      <c r="C45" s="54" t="s">
        <v>177</v>
      </c>
      <c r="D45" s="44" t="s">
        <v>24</v>
      </c>
      <c r="E45" s="56">
        <v>8000</v>
      </c>
      <c r="F45" s="84">
        <v>3</v>
      </c>
      <c r="G45" s="43">
        <v>0</v>
      </c>
      <c r="H45" s="63">
        <f t="shared" si="2"/>
        <v>24000</v>
      </c>
      <c r="I45" s="85"/>
    </row>
    <row r="46" spans="2:9" ht="14.25" x14ac:dyDescent="0.2">
      <c r="B46" s="42"/>
      <c r="C46" s="54" t="s">
        <v>27</v>
      </c>
      <c r="D46" s="44" t="s">
        <v>25</v>
      </c>
      <c r="E46" s="56">
        <v>250000</v>
      </c>
      <c r="F46" s="42">
        <v>1</v>
      </c>
      <c r="G46" s="43">
        <v>0</v>
      </c>
      <c r="H46" s="63">
        <f t="shared" si="2"/>
        <v>250000</v>
      </c>
      <c r="I46" s="85"/>
    </row>
    <row r="47" spans="2:9" ht="15" x14ac:dyDescent="0.25">
      <c r="B47" s="66"/>
      <c r="C47" s="67"/>
      <c r="D47" s="93"/>
      <c r="E47" s="69"/>
      <c r="F47" s="70" t="s">
        <v>14</v>
      </c>
      <c r="G47" s="94"/>
      <c r="H47" s="71">
        <f>SUM(H14:H46)</f>
        <v>11655407.600000001</v>
      </c>
      <c r="I47" s="85"/>
    </row>
    <row r="48" spans="2:9" ht="15" x14ac:dyDescent="0.25">
      <c r="B48" s="669" t="s">
        <v>16</v>
      </c>
      <c r="C48" s="669"/>
      <c r="D48" s="669"/>
      <c r="E48" s="669"/>
      <c r="F48" s="669"/>
      <c r="G48" s="669"/>
      <c r="H48" s="669"/>
      <c r="I48" s="85"/>
    </row>
    <row r="49" spans="2:9" ht="15" x14ac:dyDescent="0.25">
      <c r="B49" s="59" t="s">
        <v>7</v>
      </c>
      <c r="C49" s="60" t="s">
        <v>0</v>
      </c>
      <c r="D49" s="60" t="s">
        <v>3</v>
      </c>
      <c r="E49" s="59" t="s">
        <v>9</v>
      </c>
      <c r="F49" s="72" t="s">
        <v>10</v>
      </c>
      <c r="G49" s="95" t="s">
        <v>11</v>
      </c>
      <c r="H49" s="60" t="s">
        <v>12</v>
      </c>
      <c r="I49" s="85"/>
    </row>
    <row r="50" spans="2:9" ht="14.25" x14ac:dyDescent="0.2">
      <c r="B50" s="61"/>
      <c r="C50" s="54"/>
      <c r="D50" s="42"/>
      <c r="E50" s="79"/>
      <c r="F50" s="42"/>
      <c r="G50" s="43"/>
      <c r="H50" s="74"/>
      <c r="I50" s="85"/>
    </row>
    <row r="51" spans="2:9" ht="14.25" x14ac:dyDescent="0.2">
      <c r="B51" s="61"/>
      <c r="C51" s="229"/>
      <c r="D51" s="42"/>
      <c r="E51" s="228"/>
      <c r="F51" s="42"/>
      <c r="G51" s="43"/>
      <c r="H51" s="74"/>
      <c r="I51" s="85"/>
    </row>
    <row r="52" spans="2:9" ht="14.25" x14ac:dyDescent="0.2">
      <c r="B52" s="61"/>
      <c r="C52" s="54"/>
      <c r="D52" s="42"/>
      <c r="E52" s="228"/>
      <c r="F52" s="42"/>
      <c r="G52" s="43"/>
      <c r="H52" s="74"/>
      <c r="I52" s="85"/>
    </row>
    <row r="53" spans="2:9" ht="15" x14ac:dyDescent="0.25">
      <c r="B53" s="75"/>
      <c r="C53" s="76"/>
      <c r="D53" s="76"/>
      <c r="E53" s="78"/>
      <c r="F53" s="42" t="s">
        <v>14</v>
      </c>
      <c r="G53" s="42"/>
      <c r="H53" s="62">
        <f>ROUND(SUM(H50:H52),0)</f>
        <v>0</v>
      </c>
      <c r="I53" s="85"/>
    </row>
    <row r="54" spans="2:9" ht="15" x14ac:dyDescent="0.25">
      <c r="B54" s="669" t="s">
        <v>17</v>
      </c>
      <c r="C54" s="669"/>
      <c r="D54" s="669"/>
      <c r="E54" s="669"/>
      <c r="F54" s="669"/>
      <c r="G54" s="669"/>
      <c r="H54" s="669"/>
      <c r="I54" s="85"/>
    </row>
    <row r="55" spans="2:9" ht="15" customHeight="1" x14ac:dyDescent="0.25">
      <c r="B55" s="676" t="s">
        <v>8</v>
      </c>
      <c r="C55" s="677"/>
      <c r="D55" s="60" t="s">
        <v>3</v>
      </c>
      <c r="E55" s="59" t="s">
        <v>9</v>
      </c>
      <c r="F55" s="59" t="s">
        <v>10</v>
      </c>
      <c r="G55" s="92" t="s">
        <v>11</v>
      </c>
      <c r="H55" s="60" t="s">
        <v>12</v>
      </c>
      <c r="I55" s="85"/>
    </row>
    <row r="56" spans="2:9" ht="28.5" x14ac:dyDescent="0.2">
      <c r="B56" s="582" t="s">
        <v>334</v>
      </c>
      <c r="C56" s="217" t="s">
        <v>336</v>
      </c>
      <c r="D56" s="583" t="s">
        <v>333</v>
      </c>
      <c r="E56" s="584">
        <v>42869</v>
      </c>
      <c r="F56" s="583">
        <v>16</v>
      </c>
      <c r="G56" s="43">
        <v>0</v>
      </c>
      <c r="H56" s="74">
        <f>IF(E56="-","-",E56*F56*(1+G56))</f>
        <v>685904</v>
      </c>
      <c r="I56" s="65" t="s">
        <v>383</v>
      </c>
    </row>
    <row r="57" spans="2:9" ht="28.5" x14ac:dyDescent="0.2">
      <c r="B57" s="582" t="s">
        <v>334</v>
      </c>
      <c r="C57" s="217" t="s">
        <v>339</v>
      </c>
      <c r="D57" s="583" t="s">
        <v>333</v>
      </c>
      <c r="E57" s="584">
        <v>42869</v>
      </c>
      <c r="F57" s="583">
        <v>16</v>
      </c>
      <c r="G57" s="43">
        <v>0</v>
      </c>
      <c r="H57" s="74">
        <f>IF(E57="-","-",E57*F57*(1+G57))</f>
        <v>685904</v>
      </c>
      <c r="I57" s="65" t="s">
        <v>381</v>
      </c>
    </row>
    <row r="58" spans="2:9" ht="14.25" x14ac:dyDescent="0.2">
      <c r="B58" s="590" t="s">
        <v>342</v>
      </c>
      <c r="C58" s="217" t="s">
        <v>341</v>
      </c>
      <c r="D58" s="583" t="s">
        <v>340</v>
      </c>
      <c r="E58" s="584">
        <v>10177242</v>
      </c>
      <c r="F58" s="583">
        <v>2.1000000000000001E-2</v>
      </c>
      <c r="G58" s="43">
        <v>0</v>
      </c>
      <c r="H58" s="74">
        <f>IF(E58="-","-",E58*F58*(1+G58))</f>
        <v>213722.08200000002</v>
      </c>
      <c r="I58" s="65" t="s">
        <v>382</v>
      </c>
    </row>
    <row r="59" spans="2:9" ht="15" x14ac:dyDescent="0.25">
      <c r="B59" s="682" t="s">
        <v>14</v>
      </c>
      <c r="C59" s="683"/>
      <c r="D59" s="683"/>
      <c r="E59" s="683"/>
      <c r="F59" s="684"/>
      <c r="G59" s="82"/>
      <c r="H59" s="62">
        <f>ROUND(SUM(H56:H58),0)</f>
        <v>1585530</v>
      </c>
      <c r="I59" s="85"/>
    </row>
    <row r="60" spans="2:9" ht="38.25" customHeight="1" x14ac:dyDescent="0.2">
      <c r="B60" s="13"/>
      <c r="C60" s="14"/>
      <c r="D60" s="14"/>
      <c r="E60" s="27"/>
      <c r="F60" s="15"/>
      <c r="G60" s="15"/>
      <c r="H60" s="16"/>
    </row>
    <row r="61" spans="2:9" x14ac:dyDescent="0.2">
      <c r="B61" s="13"/>
      <c r="C61" s="17"/>
      <c r="D61" s="14"/>
      <c r="E61" s="27"/>
      <c r="F61" s="2" t="s">
        <v>18</v>
      </c>
      <c r="G61" s="2"/>
      <c r="H61" s="18">
        <f>H11+H47+H53+H59</f>
        <v>13601410.600000001</v>
      </c>
    </row>
    <row r="62" spans="2:9" x14ac:dyDescent="0.2">
      <c r="B62" s="13"/>
      <c r="C62" s="14"/>
      <c r="D62" s="14"/>
      <c r="E62" s="27"/>
      <c r="F62" s="15"/>
      <c r="G62" s="15"/>
      <c r="H62" s="16"/>
    </row>
    <row r="63" spans="2:9" ht="38.25" customHeight="1" x14ac:dyDescent="0.2">
      <c r="B63" s="13"/>
      <c r="C63" s="19"/>
      <c r="D63" s="14"/>
      <c r="E63" s="27"/>
      <c r="F63" s="15"/>
      <c r="G63" s="15"/>
      <c r="H63" s="16"/>
    </row>
    <row r="64" spans="2:9" x14ac:dyDescent="0.2">
      <c r="B64" s="13"/>
      <c r="D64" s="14"/>
      <c r="E64" s="27"/>
      <c r="F64" s="15"/>
      <c r="G64" s="15"/>
      <c r="H64" s="16"/>
    </row>
    <row r="65" spans="2:9" x14ac:dyDescent="0.2">
      <c r="B65" s="13"/>
      <c r="C65" s="14"/>
      <c r="D65" s="14"/>
      <c r="E65" s="27"/>
      <c r="F65" s="15"/>
      <c r="G65" s="15"/>
      <c r="H65" s="16"/>
      <c r="I65" s="14"/>
    </row>
    <row r="66" spans="2:9" x14ac:dyDescent="0.2">
      <c r="B66" s="20"/>
      <c r="C66" s="21"/>
      <c r="D66" s="21"/>
      <c r="E66" s="28"/>
      <c r="F66" s="22"/>
      <c r="G66" s="22"/>
      <c r="H66" s="23"/>
      <c r="I66" s="14"/>
    </row>
  </sheetData>
  <mergeCells count="9">
    <mergeCell ref="B54:H54"/>
    <mergeCell ref="B55:C55"/>
    <mergeCell ref="B59:F59"/>
    <mergeCell ref="B2:H2"/>
    <mergeCell ref="C3:G3"/>
    <mergeCell ref="B4:H4"/>
    <mergeCell ref="B11:E11"/>
    <mergeCell ref="B12:H12"/>
    <mergeCell ref="B48:H48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A269-CC0C-4533-A4B9-019B371E82E4}">
  <sheetPr>
    <tabColor theme="0"/>
  </sheetPr>
  <dimension ref="B2:Z68"/>
  <sheetViews>
    <sheetView topLeftCell="A16" zoomScale="85" zoomScaleNormal="85" workbookViewId="0">
      <selection activeCell="C59" sqref="C59"/>
    </sheetView>
  </sheetViews>
  <sheetFormatPr baseColWidth="10" defaultColWidth="11.42578125" defaultRowHeight="12.75" x14ac:dyDescent="0.2"/>
  <cols>
    <col min="1" max="1" width="11.42578125" style="1"/>
    <col min="2" max="2" width="11.140625" style="24" customWidth="1"/>
    <col min="3" max="3" width="57.7109375" style="1" customWidth="1"/>
    <col min="4" max="4" width="10.7109375" style="25" customWidth="1"/>
    <col min="5" max="5" width="18.140625" style="24" bestFit="1" customWidth="1"/>
    <col min="6" max="6" width="18" style="25" bestFit="1" customWidth="1"/>
    <col min="7" max="7" width="17" style="25" bestFit="1" customWidth="1"/>
    <col min="8" max="8" width="18.7109375" style="1" bestFit="1" customWidth="1"/>
    <col min="9" max="9" width="11.7109375" style="1" bestFit="1" customWidth="1"/>
    <col min="10" max="10" width="17.5703125" style="1" customWidth="1"/>
    <col min="11" max="11" width="17.42578125" style="1" customWidth="1"/>
    <col min="12" max="16384" width="11.42578125" style="1"/>
  </cols>
  <sheetData>
    <row r="2" spans="2:26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6" ht="149.25" customHeight="1" x14ac:dyDescent="0.2">
      <c r="B3" s="57" t="s">
        <v>1</v>
      </c>
      <c r="C3" s="678" t="s">
        <v>145</v>
      </c>
      <c r="D3" s="678"/>
      <c r="E3" s="678"/>
      <c r="F3" s="678"/>
      <c r="G3" s="678"/>
      <c r="H3" s="57">
        <v>20</v>
      </c>
      <c r="I3" s="85">
        <v>1</v>
      </c>
      <c r="Z3" s="1" t="s">
        <v>4</v>
      </c>
    </row>
    <row r="4" spans="2:26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Z4" s="1" t="s">
        <v>6</v>
      </c>
    </row>
    <row r="5" spans="2:26" ht="15" x14ac:dyDescent="0.25">
      <c r="B5" s="59" t="s">
        <v>7</v>
      </c>
      <c r="C5" s="60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  <c r="I5" s="85"/>
      <c r="Z5" s="1" t="s">
        <v>13</v>
      </c>
    </row>
    <row r="6" spans="2:26" ht="14.25" x14ac:dyDescent="0.2">
      <c r="B6" s="61"/>
      <c r="C6" s="86" t="s">
        <v>71</v>
      </c>
      <c r="D6" s="42" t="s">
        <v>46</v>
      </c>
      <c r="E6" s="53">
        <v>50000</v>
      </c>
      <c r="F6" s="42">
        <v>8.9529999999999994</v>
      </c>
      <c r="G6" s="43">
        <v>0</v>
      </c>
      <c r="H6" s="74">
        <f>+E6*F6*(1+G6)</f>
        <v>447649.99999999994</v>
      </c>
      <c r="I6" s="85"/>
    </row>
    <row r="7" spans="2:26" ht="14.25" x14ac:dyDescent="0.2">
      <c r="B7" s="61"/>
      <c r="C7" s="58" t="s">
        <v>20</v>
      </c>
      <c r="D7" s="42" t="s">
        <v>72</v>
      </c>
      <c r="E7" s="53">
        <f>H61*0.05</f>
        <v>1378881</v>
      </c>
      <c r="F7" s="42">
        <v>1</v>
      </c>
      <c r="G7" s="43">
        <v>0</v>
      </c>
      <c r="H7" s="74">
        <f>+E7*F7*(1+G7)</f>
        <v>1378881</v>
      </c>
      <c r="I7" s="85"/>
    </row>
    <row r="8" spans="2:26" ht="14.25" x14ac:dyDescent="0.2">
      <c r="B8" s="61"/>
      <c r="C8" s="86" t="s">
        <v>54</v>
      </c>
      <c r="D8" s="42" t="s">
        <v>46</v>
      </c>
      <c r="E8" s="53">
        <v>10000</v>
      </c>
      <c r="F8" s="42">
        <f>F6</f>
        <v>8.9529999999999994</v>
      </c>
      <c r="G8" s="43">
        <v>0</v>
      </c>
      <c r="H8" s="74">
        <f t="shared" ref="H8" si="0">+E8*F8*(1+G8)</f>
        <v>89530</v>
      </c>
      <c r="I8" s="85"/>
    </row>
    <row r="9" spans="2:26" ht="15" x14ac:dyDescent="0.25">
      <c r="B9" s="670"/>
      <c r="C9" s="671"/>
      <c r="D9" s="671"/>
      <c r="E9" s="672"/>
      <c r="F9" s="59" t="s">
        <v>14</v>
      </c>
      <c r="G9" s="59"/>
      <c r="H9" s="62">
        <f>ROUND(SUM(H6:H8),0)</f>
        <v>1916061</v>
      </c>
      <c r="I9" s="85"/>
    </row>
    <row r="10" spans="2:26" ht="15" x14ac:dyDescent="0.25">
      <c r="B10" s="669" t="s">
        <v>15</v>
      </c>
      <c r="C10" s="669"/>
      <c r="D10" s="669"/>
      <c r="E10" s="669"/>
      <c r="F10" s="669"/>
      <c r="G10" s="669"/>
      <c r="H10" s="669"/>
      <c r="I10" s="85"/>
    </row>
    <row r="11" spans="2:26" ht="15" x14ac:dyDescent="0.25">
      <c r="B11" s="59" t="s">
        <v>7</v>
      </c>
      <c r="C11" s="60" t="s">
        <v>8</v>
      </c>
      <c r="D11" s="59" t="s">
        <v>3</v>
      </c>
      <c r="E11" s="59" t="s">
        <v>9</v>
      </c>
      <c r="F11" s="59" t="s">
        <v>10</v>
      </c>
      <c r="G11" s="59" t="s">
        <v>11</v>
      </c>
      <c r="H11" s="60" t="s">
        <v>12</v>
      </c>
      <c r="I11" s="85"/>
    </row>
    <row r="12" spans="2:26" ht="14.25" x14ac:dyDescent="0.2">
      <c r="B12" s="42"/>
      <c r="C12" s="599" t="s">
        <v>347</v>
      </c>
      <c r="D12" s="597" t="s">
        <v>25</v>
      </c>
      <c r="E12" s="604">
        <v>8078000</v>
      </c>
      <c r="F12" s="600">
        <v>1</v>
      </c>
      <c r="G12" s="43">
        <v>0</v>
      </c>
      <c r="H12" s="63">
        <f t="shared" ref="H12:H39" si="1">+E12*F12</f>
        <v>8078000</v>
      </c>
      <c r="I12" s="85"/>
    </row>
    <row r="13" spans="2:26" ht="14.25" x14ac:dyDescent="0.2">
      <c r="B13" s="42"/>
      <c r="C13" s="596" t="s">
        <v>346</v>
      </c>
      <c r="D13" s="597" t="s">
        <v>25</v>
      </c>
      <c r="E13" s="214">
        <v>1315000</v>
      </c>
      <c r="F13" s="598">
        <v>1</v>
      </c>
      <c r="G13" s="43">
        <v>0</v>
      </c>
      <c r="H13" s="63">
        <f t="shared" si="1"/>
        <v>1315000</v>
      </c>
      <c r="I13" s="85"/>
    </row>
    <row r="14" spans="2:26" ht="14.25" x14ac:dyDescent="0.2">
      <c r="B14" s="42"/>
      <c r="C14" s="221" t="s">
        <v>188</v>
      </c>
      <c r="D14" s="44" t="s">
        <v>25</v>
      </c>
      <c r="E14" s="219">
        <v>54264</v>
      </c>
      <c r="F14" s="88">
        <v>2</v>
      </c>
      <c r="G14" s="43">
        <v>0</v>
      </c>
      <c r="H14" s="63">
        <f t="shared" si="1"/>
        <v>108528</v>
      </c>
      <c r="I14" s="85"/>
    </row>
    <row r="15" spans="2:26" ht="14.25" x14ac:dyDescent="0.2">
      <c r="B15" s="42"/>
      <c r="C15" s="221" t="s">
        <v>166</v>
      </c>
      <c r="D15" s="44" t="s">
        <v>25</v>
      </c>
      <c r="E15" s="219">
        <v>80563</v>
      </c>
      <c r="F15" s="88">
        <v>3</v>
      </c>
      <c r="G15" s="43">
        <v>0</v>
      </c>
      <c r="H15" s="63">
        <f t="shared" si="1"/>
        <v>241689</v>
      </c>
      <c r="I15" s="85"/>
    </row>
    <row r="16" spans="2:26" ht="28.5" x14ac:dyDescent="0.2">
      <c r="B16" s="42"/>
      <c r="C16" s="587" t="s">
        <v>349</v>
      </c>
      <c r="D16" s="601" t="s">
        <v>25</v>
      </c>
      <c r="E16" s="605">
        <v>9400000</v>
      </c>
      <c r="F16" s="602">
        <v>1</v>
      </c>
      <c r="G16" s="43">
        <v>0</v>
      </c>
      <c r="H16" s="63">
        <f t="shared" si="1"/>
        <v>9400000</v>
      </c>
      <c r="I16" s="85"/>
    </row>
    <row r="17" spans="2:9" ht="27.75" customHeight="1" x14ac:dyDescent="0.2">
      <c r="B17" s="42"/>
      <c r="C17" s="587" t="s">
        <v>348</v>
      </c>
      <c r="D17" s="601" t="s">
        <v>25</v>
      </c>
      <c r="E17" s="605">
        <v>3000000</v>
      </c>
      <c r="F17" s="602">
        <v>1</v>
      </c>
      <c r="G17" s="43">
        <v>0</v>
      </c>
      <c r="H17" s="63">
        <f t="shared" si="1"/>
        <v>3000000</v>
      </c>
      <c r="I17" s="85"/>
    </row>
    <row r="18" spans="2:9" ht="14.25" x14ac:dyDescent="0.2">
      <c r="B18" s="42"/>
      <c r="C18" s="603" t="s">
        <v>361</v>
      </c>
      <c r="D18" s="601" t="s">
        <v>25</v>
      </c>
      <c r="E18" s="216">
        <v>534000</v>
      </c>
      <c r="F18" s="602">
        <v>6</v>
      </c>
      <c r="G18" s="43">
        <v>0</v>
      </c>
      <c r="H18" s="63">
        <f t="shared" si="1"/>
        <v>3204000</v>
      </c>
      <c r="I18" s="85"/>
    </row>
    <row r="19" spans="2:9" ht="14.25" x14ac:dyDescent="0.2">
      <c r="B19" s="42"/>
      <c r="C19" s="587" t="s">
        <v>359</v>
      </c>
      <c r="D19" s="44" t="s">
        <v>25</v>
      </c>
      <c r="E19" s="606">
        <v>1096291</v>
      </c>
      <c r="F19" s="88">
        <v>2</v>
      </c>
      <c r="G19" s="43">
        <v>0</v>
      </c>
      <c r="H19" s="63">
        <f t="shared" si="1"/>
        <v>2192582</v>
      </c>
      <c r="I19" s="85"/>
    </row>
    <row r="20" spans="2:9" ht="28.5" x14ac:dyDescent="0.2">
      <c r="B20" s="42"/>
      <c r="C20" s="587" t="s">
        <v>375</v>
      </c>
      <c r="D20" s="601" t="s">
        <v>25</v>
      </c>
      <c r="E20" s="605">
        <v>7000000</v>
      </c>
      <c r="F20" s="583">
        <v>1</v>
      </c>
      <c r="G20" s="43">
        <v>0</v>
      </c>
      <c r="H20" s="63">
        <f t="shared" si="1"/>
        <v>7000000</v>
      </c>
      <c r="I20" s="85"/>
    </row>
    <row r="21" spans="2:9" ht="14.25" x14ac:dyDescent="0.2">
      <c r="B21" s="42"/>
      <c r="C21" s="89" t="s">
        <v>360</v>
      </c>
      <c r="D21" s="44" t="s">
        <v>25</v>
      </c>
      <c r="E21" s="219">
        <v>1254000</v>
      </c>
      <c r="F21" s="88">
        <v>6</v>
      </c>
      <c r="G21" s="43">
        <v>0</v>
      </c>
      <c r="H21" s="63">
        <f t="shared" si="1"/>
        <v>7524000</v>
      </c>
      <c r="I21" s="85"/>
    </row>
    <row r="22" spans="2:9" ht="14.25" x14ac:dyDescent="0.2">
      <c r="B22" s="42"/>
      <c r="C22" s="54" t="s">
        <v>47</v>
      </c>
      <c r="D22" s="44" t="s">
        <v>25</v>
      </c>
      <c r="E22" s="219">
        <v>2000000</v>
      </c>
      <c r="F22" s="88">
        <v>3</v>
      </c>
      <c r="G22" s="43">
        <v>0</v>
      </c>
      <c r="H22" s="63">
        <f t="shared" si="1"/>
        <v>6000000</v>
      </c>
      <c r="I22" s="85"/>
    </row>
    <row r="23" spans="2:9" ht="14.25" x14ac:dyDescent="0.2">
      <c r="B23" s="42"/>
      <c r="C23" s="54" t="s">
        <v>106</v>
      </c>
      <c r="D23" s="44" t="s">
        <v>25</v>
      </c>
      <c r="E23" s="606">
        <v>1145000</v>
      </c>
      <c r="F23" s="88">
        <v>12</v>
      </c>
      <c r="G23" s="43">
        <v>0</v>
      </c>
      <c r="H23" s="63">
        <f t="shared" si="1"/>
        <v>13740000</v>
      </c>
      <c r="I23" s="85"/>
    </row>
    <row r="24" spans="2:9" ht="14.25" x14ac:dyDescent="0.2">
      <c r="B24" s="42"/>
      <c r="C24" s="54" t="s">
        <v>66</v>
      </c>
      <c r="D24" s="44" t="s">
        <v>25</v>
      </c>
      <c r="E24" s="56">
        <v>42920</v>
      </c>
      <c r="F24" s="88">
        <v>1</v>
      </c>
      <c r="G24" s="43">
        <v>0</v>
      </c>
      <c r="H24" s="63">
        <f t="shared" si="1"/>
        <v>42920</v>
      </c>
      <c r="I24" s="85"/>
    </row>
    <row r="25" spans="2:9" ht="14.25" x14ac:dyDescent="0.2">
      <c r="B25" s="42"/>
      <c r="C25" s="87" t="s">
        <v>104</v>
      </c>
      <c r="D25" s="103" t="s">
        <v>25</v>
      </c>
      <c r="E25" s="215">
        <v>271000</v>
      </c>
      <c r="F25" s="88">
        <v>2</v>
      </c>
      <c r="G25" s="43">
        <v>0</v>
      </c>
      <c r="H25" s="63">
        <f t="shared" si="1"/>
        <v>542000</v>
      </c>
      <c r="I25" s="85"/>
    </row>
    <row r="26" spans="2:9" ht="14.25" x14ac:dyDescent="0.2">
      <c r="B26" s="42"/>
      <c r="C26" s="220" t="s">
        <v>159</v>
      </c>
      <c r="D26" s="44" t="s">
        <v>25</v>
      </c>
      <c r="E26" s="215">
        <v>114000</v>
      </c>
      <c r="F26" s="42">
        <v>1</v>
      </c>
      <c r="G26" s="43">
        <v>0</v>
      </c>
      <c r="H26" s="63">
        <f t="shared" si="1"/>
        <v>114000</v>
      </c>
      <c r="I26" s="85"/>
    </row>
    <row r="27" spans="2:9" ht="14.25" x14ac:dyDescent="0.2">
      <c r="B27" s="42"/>
      <c r="C27" s="218" t="s">
        <v>165</v>
      </c>
      <c r="D27" s="44" t="s">
        <v>25</v>
      </c>
      <c r="E27" s="219">
        <v>181000</v>
      </c>
      <c r="F27" s="88">
        <v>1</v>
      </c>
      <c r="G27" s="43">
        <v>0</v>
      </c>
      <c r="H27" s="63">
        <f t="shared" si="1"/>
        <v>181000</v>
      </c>
      <c r="I27" s="85"/>
    </row>
    <row r="28" spans="2:9" ht="14.25" x14ac:dyDescent="0.2">
      <c r="B28" s="42"/>
      <c r="C28" s="54" t="s">
        <v>49</v>
      </c>
      <c r="D28" s="44" t="s">
        <v>25</v>
      </c>
      <c r="E28" s="606">
        <v>800000</v>
      </c>
      <c r="F28" s="88">
        <v>1</v>
      </c>
      <c r="G28" s="43">
        <v>0</v>
      </c>
      <c r="H28" s="63">
        <f t="shared" si="1"/>
        <v>800000</v>
      </c>
      <c r="I28" s="85"/>
    </row>
    <row r="29" spans="2:9" ht="14.25" x14ac:dyDescent="0.2">
      <c r="B29" s="42"/>
      <c r="C29" s="54" t="s">
        <v>65</v>
      </c>
      <c r="D29" s="44" t="s">
        <v>25</v>
      </c>
      <c r="E29" s="219">
        <v>105000</v>
      </c>
      <c r="F29" s="88">
        <v>9</v>
      </c>
      <c r="G29" s="43">
        <v>0</v>
      </c>
      <c r="H29" s="63">
        <f t="shared" si="1"/>
        <v>945000</v>
      </c>
      <c r="I29" s="85"/>
    </row>
    <row r="30" spans="2:9" ht="14.25" x14ac:dyDescent="0.2">
      <c r="B30" s="42"/>
      <c r="C30" s="221" t="s">
        <v>173</v>
      </c>
      <c r="D30" s="44" t="s">
        <v>25</v>
      </c>
      <c r="E30" s="215">
        <v>16010.800000000001</v>
      </c>
      <c r="F30" s="88">
        <v>28</v>
      </c>
      <c r="G30" s="43">
        <v>0</v>
      </c>
      <c r="H30" s="63">
        <f t="shared" si="1"/>
        <v>448302.4</v>
      </c>
      <c r="I30" s="85"/>
    </row>
    <row r="31" spans="2:9" ht="14.25" x14ac:dyDescent="0.2">
      <c r="B31" s="42"/>
      <c r="C31" s="54" t="s">
        <v>183</v>
      </c>
      <c r="D31" s="44" t="s">
        <v>25</v>
      </c>
      <c r="E31" s="606">
        <v>2309000</v>
      </c>
      <c r="F31" s="88">
        <v>1</v>
      </c>
      <c r="G31" s="43">
        <v>0</v>
      </c>
      <c r="H31" s="63">
        <f t="shared" si="1"/>
        <v>2309000</v>
      </c>
      <c r="I31" s="85"/>
    </row>
    <row r="32" spans="2:9" ht="14.25" x14ac:dyDescent="0.2">
      <c r="B32" s="42"/>
      <c r="C32" s="221" t="s">
        <v>157</v>
      </c>
      <c r="D32" s="44" t="s">
        <v>25</v>
      </c>
      <c r="E32" s="219">
        <v>410000</v>
      </c>
      <c r="F32" s="88">
        <v>1</v>
      </c>
      <c r="G32" s="43">
        <v>0</v>
      </c>
      <c r="H32" s="63">
        <f t="shared" si="1"/>
        <v>410000</v>
      </c>
      <c r="I32" s="85"/>
    </row>
    <row r="33" spans="2:9" ht="14.25" x14ac:dyDescent="0.2">
      <c r="B33" s="42"/>
      <c r="C33" s="54" t="s">
        <v>186</v>
      </c>
      <c r="D33" s="44" t="s">
        <v>25</v>
      </c>
      <c r="E33" s="219">
        <v>58900</v>
      </c>
      <c r="F33" s="88">
        <v>1</v>
      </c>
      <c r="G33" s="43">
        <v>0</v>
      </c>
      <c r="H33" s="63">
        <f t="shared" si="1"/>
        <v>58900</v>
      </c>
      <c r="I33" s="85"/>
    </row>
    <row r="34" spans="2:9" ht="28.5" x14ac:dyDescent="0.2">
      <c r="B34" s="42"/>
      <c r="C34" s="217" t="s">
        <v>356</v>
      </c>
      <c r="D34" s="601" t="s">
        <v>25</v>
      </c>
      <c r="E34" s="625">
        <v>3432</v>
      </c>
      <c r="F34" s="42">
        <v>30</v>
      </c>
      <c r="G34" s="43">
        <v>0.1</v>
      </c>
      <c r="H34" s="612">
        <f>+E34*F34*(1+G34)</f>
        <v>113256.00000000001</v>
      </c>
      <c r="I34" s="85"/>
    </row>
    <row r="35" spans="2:9" ht="14.25" x14ac:dyDescent="0.2">
      <c r="B35" s="42"/>
      <c r="C35" s="217" t="s">
        <v>357</v>
      </c>
      <c r="D35" s="222" t="s">
        <v>25</v>
      </c>
      <c r="E35" s="215">
        <v>700</v>
      </c>
      <c r="F35" s="42">
        <v>30</v>
      </c>
      <c r="G35" s="43">
        <v>0</v>
      </c>
      <c r="H35" s="63">
        <f t="shared" si="1"/>
        <v>21000</v>
      </c>
      <c r="I35" s="85"/>
    </row>
    <row r="36" spans="2:9" ht="14.25" x14ac:dyDescent="0.2">
      <c r="B36" s="42"/>
      <c r="C36" s="54" t="s">
        <v>112</v>
      </c>
      <c r="D36" s="44" t="s">
        <v>24</v>
      </c>
      <c r="E36" s="215">
        <v>3880</v>
      </c>
      <c r="F36" s="42">
        <v>300</v>
      </c>
      <c r="G36" s="43">
        <v>0</v>
      </c>
      <c r="H36" s="63">
        <f t="shared" si="1"/>
        <v>1164000</v>
      </c>
      <c r="I36" s="85"/>
    </row>
    <row r="37" spans="2:9" ht="14.25" x14ac:dyDescent="0.2">
      <c r="B37" s="42"/>
      <c r="C37" s="54" t="s">
        <v>158</v>
      </c>
      <c r="D37" s="44" t="s">
        <v>25</v>
      </c>
      <c r="E37" s="219">
        <v>18000</v>
      </c>
      <c r="F37" s="88">
        <v>24</v>
      </c>
      <c r="G37" s="43">
        <v>0</v>
      </c>
      <c r="H37" s="63">
        <f t="shared" si="1"/>
        <v>432000</v>
      </c>
      <c r="I37" s="85"/>
    </row>
    <row r="38" spans="2:9" ht="14.25" x14ac:dyDescent="0.2">
      <c r="B38" s="42"/>
      <c r="C38" s="54" t="s">
        <v>203</v>
      </c>
      <c r="D38" s="44" t="s">
        <v>25</v>
      </c>
      <c r="E38" s="606">
        <v>40000</v>
      </c>
      <c r="F38" s="88">
        <v>4</v>
      </c>
      <c r="G38" s="43">
        <v>0</v>
      </c>
      <c r="H38" s="63">
        <f t="shared" si="1"/>
        <v>160000</v>
      </c>
      <c r="I38" s="85"/>
    </row>
    <row r="39" spans="2:9" ht="14.25" x14ac:dyDescent="0.2">
      <c r="B39" s="42"/>
      <c r="C39" s="54" t="s">
        <v>55</v>
      </c>
      <c r="D39" s="44" t="s">
        <v>25</v>
      </c>
      <c r="E39" s="606">
        <v>6000000</v>
      </c>
      <c r="F39" s="88">
        <v>1</v>
      </c>
      <c r="G39" s="43">
        <v>0</v>
      </c>
      <c r="H39" s="63">
        <f t="shared" si="1"/>
        <v>6000000</v>
      </c>
      <c r="I39" s="85"/>
    </row>
    <row r="40" spans="2:9" ht="14.25" x14ac:dyDescent="0.2">
      <c r="B40" s="42"/>
      <c r="C40" s="65" t="s">
        <v>151</v>
      </c>
      <c r="D40" s="44" t="s">
        <v>25</v>
      </c>
      <c r="E40" s="219">
        <v>2930000</v>
      </c>
      <c r="F40" s="88">
        <v>1</v>
      </c>
      <c r="G40" s="43">
        <v>0</v>
      </c>
      <c r="H40" s="63">
        <f>+E40*F40</f>
        <v>2930000</v>
      </c>
      <c r="I40" s="85"/>
    </row>
    <row r="41" spans="2:9" ht="14.25" x14ac:dyDescent="0.2">
      <c r="B41" s="90"/>
      <c r="C41" s="65" t="s">
        <v>176</v>
      </c>
      <c r="D41" s="44" t="s">
        <v>24</v>
      </c>
      <c r="E41" s="224">
        <v>30000</v>
      </c>
      <c r="F41" s="88">
        <v>4</v>
      </c>
      <c r="G41" s="43">
        <v>0</v>
      </c>
      <c r="H41" s="63">
        <f>+E41*F41</f>
        <v>120000</v>
      </c>
      <c r="I41" s="85"/>
    </row>
    <row r="42" spans="2:9" ht="14.25" x14ac:dyDescent="0.2">
      <c r="B42" s="90"/>
      <c r="C42" s="54" t="s">
        <v>108</v>
      </c>
      <c r="D42" s="44" t="s">
        <v>24</v>
      </c>
      <c r="E42" s="215">
        <v>6870</v>
      </c>
      <c r="F42" s="42">
        <v>15</v>
      </c>
      <c r="G42" s="43">
        <v>0</v>
      </c>
      <c r="H42" s="63">
        <f>+E42*F42</f>
        <v>103050</v>
      </c>
      <c r="I42" s="85"/>
    </row>
    <row r="43" spans="2:9" ht="14.25" x14ac:dyDescent="0.2">
      <c r="B43" s="90"/>
      <c r="C43" s="65" t="s">
        <v>97</v>
      </c>
      <c r="D43" s="88" t="s">
        <v>96</v>
      </c>
      <c r="E43" s="219">
        <v>26200</v>
      </c>
      <c r="F43" s="88">
        <v>3</v>
      </c>
      <c r="G43" s="43">
        <v>0</v>
      </c>
      <c r="H43" s="63">
        <f>+E43*F43</f>
        <v>78600</v>
      </c>
      <c r="I43" s="85"/>
    </row>
    <row r="44" spans="2:9" ht="14.25" x14ac:dyDescent="0.2">
      <c r="B44" s="90"/>
      <c r="C44" s="65" t="s">
        <v>175</v>
      </c>
      <c r="D44" s="88" t="s">
        <v>96</v>
      </c>
      <c r="E44" s="224">
        <v>23880</v>
      </c>
      <c r="F44" s="88">
        <v>1</v>
      </c>
      <c r="G44" s="43">
        <v>0</v>
      </c>
      <c r="H44" s="63">
        <f>+E44*F44</f>
        <v>23880</v>
      </c>
      <c r="I44" s="85"/>
    </row>
    <row r="45" spans="2:9" ht="14.25" x14ac:dyDescent="0.2">
      <c r="B45" s="90"/>
      <c r="C45" s="54" t="s">
        <v>170</v>
      </c>
      <c r="D45" s="44" t="s">
        <v>24</v>
      </c>
      <c r="E45" s="215">
        <v>11000</v>
      </c>
      <c r="F45" s="42">
        <v>60</v>
      </c>
      <c r="G45" s="43">
        <v>0</v>
      </c>
      <c r="H45" s="63">
        <f t="shared" ref="H45:H47" si="2">+E45*F45</f>
        <v>660000</v>
      </c>
      <c r="I45" s="85"/>
    </row>
    <row r="46" spans="2:9" ht="14.25" x14ac:dyDescent="0.2">
      <c r="B46" s="90"/>
      <c r="C46" s="54" t="s">
        <v>168</v>
      </c>
      <c r="D46" s="44" t="s">
        <v>25</v>
      </c>
      <c r="E46" s="215">
        <v>2600</v>
      </c>
      <c r="F46" s="42">
        <v>12</v>
      </c>
      <c r="G46" s="43">
        <v>0</v>
      </c>
      <c r="H46" s="63">
        <f t="shared" si="2"/>
        <v>31200</v>
      </c>
      <c r="I46" s="85"/>
    </row>
    <row r="47" spans="2:9" ht="14.25" x14ac:dyDescent="0.2">
      <c r="B47" s="90"/>
      <c r="C47" s="64" t="s">
        <v>169</v>
      </c>
      <c r="D47" s="44" t="s">
        <v>25</v>
      </c>
      <c r="E47" s="215">
        <v>3150</v>
      </c>
      <c r="F47" s="42">
        <v>12</v>
      </c>
      <c r="G47" s="43">
        <v>0</v>
      </c>
      <c r="H47" s="63">
        <f t="shared" si="2"/>
        <v>37800</v>
      </c>
      <c r="I47" s="85"/>
    </row>
    <row r="48" spans="2:9" ht="29.25" customHeight="1" x14ac:dyDescent="0.2">
      <c r="B48" s="90"/>
      <c r="C48" s="221" t="s">
        <v>154</v>
      </c>
      <c r="D48" s="44" t="s">
        <v>25</v>
      </c>
      <c r="E48" s="219">
        <v>44228</v>
      </c>
      <c r="F48" s="42">
        <v>6</v>
      </c>
      <c r="G48" s="43">
        <v>0</v>
      </c>
      <c r="H48" s="63">
        <f>+E48*F48</f>
        <v>265368</v>
      </c>
      <c r="I48" s="85"/>
    </row>
    <row r="49" spans="2:11" ht="14.25" x14ac:dyDescent="0.2">
      <c r="B49" s="90"/>
      <c r="C49" s="54" t="s">
        <v>27</v>
      </c>
      <c r="D49" s="44" t="s">
        <v>25</v>
      </c>
      <c r="E49" s="91">
        <v>994665</v>
      </c>
      <c r="F49" s="42">
        <v>1</v>
      </c>
      <c r="G49" s="43">
        <v>0</v>
      </c>
      <c r="H49" s="63">
        <f>+E49*F49</f>
        <v>994665</v>
      </c>
      <c r="I49" s="85"/>
    </row>
    <row r="50" spans="2:11" ht="15" x14ac:dyDescent="0.25">
      <c r="B50" s="66"/>
      <c r="C50" s="67"/>
      <c r="D50" s="68"/>
      <c r="E50" s="69"/>
      <c r="F50" s="70" t="s">
        <v>14</v>
      </c>
      <c r="G50" s="70"/>
      <c r="H50" s="71">
        <f>SUM(H12:H49)</f>
        <v>80789740.400000006</v>
      </c>
      <c r="I50" s="85"/>
      <c r="J50" s="30"/>
    </row>
    <row r="51" spans="2:11" ht="15" x14ac:dyDescent="0.25">
      <c r="B51" s="673" t="s">
        <v>16</v>
      </c>
      <c r="C51" s="674"/>
      <c r="D51" s="674"/>
      <c r="E51" s="674"/>
      <c r="F51" s="674"/>
      <c r="G51" s="674"/>
      <c r="H51" s="675"/>
      <c r="I51" s="85"/>
    </row>
    <row r="52" spans="2:11" ht="15" x14ac:dyDescent="0.25">
      <c r="B52" s="59" t="s">
        <v>7</v>
      </c>
      <c r="C52" s="60" t="s">
        <v>0</v>
      </c>
      <c r="D52" s="59" t="s">
        <v>3</v>
      </c>
      <c r="E52" s="59" t="s">
        <v>9</v>
      </c>
      <c r="F52" s="72" t="s">
        <v>10</v>
      </c>
      <c r="G52" s="73" t="s">
        <v>11</v>
      </c>
      <c r="H52" s="60" t="s">
        <v>12</v>
      </c>
      <c r="I52" s="85"/>
    </row>
    <row r="53" spans="2:11" ht="14.25" x14ac:dyDescent="0.2">
      <c r="B53" s="61"/>
      <c r="C53" s="229"/>
      <c r="D53" s="42"/>
      <c r="E53" s="228"/>
      <c r="F53" s="42"/>
      <c r="G53" s="43"/>
      <c r="H53" s="74"/>
      <c r="I53" s="85"/>
      <c r="J53" s="30"/>
      <c r="K53" s="30"/>
    </row>
    <row r="54" spans="2:11" ht="15" x14ac:dyDescent="0.25">
      <c r="B54" s="75"/>
      <c r="C54" s="76"/>
      <c r="D54" s="77"/>
      <c r="E54" s="78"/>
      <c r="F54" s="42" t="s">
        <v>14</v>
      </c>
      <c r="G54" s="42"/>
      <c r="H54" s="62">
        <f>ROUND(SUM(H53:H53),0)</f>
        <v>0</v>
      </c>
      <c r="I54" s="85"/>
      <c r="K54" s="30"/>
    </row>
    <row r="55" spans="2:11" ht="15" x14ac:dyDescent="0.25">
      <c r="B55" s="673" t="s">
        <v>17</v>
      </c>
      <c r="C55" s="674"/>
      <c r="D55" s="674"/>
      <c r="E55" s="674"/>
      <c r="F55" s="674"/>
      <c r="G55" s="674"/>
      <c r="H55" s="675"/>
      <c r="I55" s="85"/>
      <c r="J55" s="30"/>
      <c r="K55" s="30"/>
    </row>
    <row r="56" spans="2:11" ht="15" customHeight="1" x14ac:dyDescent="0.25">
      <c r="B56" s="676" t="s">
        <v>8</v>
      </c>
      <c r="C56" s="677"/>
      <c r="D56" s="59" t="s">
        <v>3</v>
      </c>
      <c r="E56" s="59" t="s">
        <v>9</v>
      </c>
      <c r="F56" s="59" t="s">
        <v>10</v>
      </c>
      <c r="G56" s="59" t="s">
        <v>11</v>
      </c>
      <c r="H56" s="60" t="s">
        <v>12</v>
      </c>
      <c r="I56" s="85"/>
      <c r="K56" s="30"/>
    </row>
    <row r="57" spans="2:11" ht="14.25" x14ac:dyDescent="0.2">
      <c r="B57" s="588" t="s">
        <v>334</v>
      </c>
      <c r="C57" s="217" t="s">
        <v>335</v>
      </c>
      <c r="D57" s="583" t="s">
        <v>333</v>
      </c>
      <c r="E57" s="584">
        <v>42869</v>
      </c>
      <c r="F57" s="583">
        <v>96</v>
      </c>
      <c r="G57" s="43">
        <v>0</v>
      </c>
      <c r="H57" s="74">
        <f t="shared" ref="H57:H60" si="3">IF(E57="-","-",E57*F57*(1+G57))</f>
        <v>4115424</v>
      </c>
      <c r="I57" s="85"/>
      <c r="J57" s="30"/>
      <c r="K57" s="30"/>
    </row>
    <row r="58" spans="2:11" ht="14.25" x14ac:dyDescent="0.2">
      <c r="B58" s="589" t="s">
        <v>338</v>
      </c>
      <c r="C58" s="587" t="s">
        <v>337</v>
      </c>
      <c r="D58" s="583" t="s">
        <v>333</v>
      </c>
      <c r="E58" s="584">
        <v>32372</v>
      </c>
      <c r="F58" s="583">
        <v>96</v>
      </c>
      <c r="G58" s="43">
        <v>0</v>
      </c>
      <c r="H58" s="74">
        <f t="shared" ref="H58" si="4">IF(E58="-","-",E58*F58*(1+G58))</f>
        <v>3107712</v>
      </c>
      <c r="I58" s="85"/>
      <c r="K58" s="30"/>
    </row>
    <row r="59" spans="2:11" ht="14.25" x14ac:dyDescent="0.2">
      <c r="B59" s="590" t="s">
        <v>342</v>
      </c>
      <c r="C59" s="217" t="s">
        <v>341</v>
      </c>
      <c r="D59" s="583" t="s">
        <v>340</v>
      </c>
      <c r="E59" s="584">
        <v>10177242</v>
      </c>
      <c r="F59" s="583">
        <v>2</v>
      </c>
      <c r="G59" s="43">
        <v>0</v>
      </c>
      <c r="H59" s="74">
        <f t="shared" si="3"/>
        <v>20354484</v>
      </c>
      <c r="I59" s="85"/>
      <c r="K59" s="30"/>
    </row>
    <row r="60" spans="2:11" ht="14.25" x14ac:dyDescent="0.2">
      <c r="B60" s="80"/>
      <c r="C60" s="54" t="s">
        <v>19</v>
      </c>
      <c r="D60" s="42" t="s">
        <v>19</v>
      </c>
      <c r="E60" s="79" t="s">
        <v>19</v>
      </c>
      <c r="F60" s="42"/>
      <c r="G60" s="43"/>
      <c r="H60" s="74" t="str">
        <f t="shared" si="3"/>
        <v>-</v>
      </c>
      <c r="I60" s="85"/>
      <c r="K60" s="30"/>
    </row>
    <row r="61" spans="2:11" ht="15" x14ac:dyDescent="0.25">
      <c r="B61" s="682" t="s">
        <v>14</v>
      </c>
      <c r="C61" s="683"/>
      <c r="D61" s="683"/>
      <c r="E61" s="683"/>
      <c r="F61" s="684"/>
      <c r="G61" s="83"/>
      <c r="H61" s="62">
        <f>ROUND(SUM(H57:H60),0)</f>
        <v>27577620</v>
      </c>
      <c r="I61" s="85"/>
      <c r="J61" s="30"/>
      <c r="K61" s="30"/>
    </row>
    <row r="62" spans="2:11" ht="38.25" customHeight="1" x14ac:dyDescent="0.2">
      <c r="B62" s="13"/>
      <c r="C62" s="14"/>
      <c r="D62" s="15"/>
      <c r="E62" s="27"/>
      <c r="F62" s="15"/>
      <c r="G62" s="15"/>
      <c r="H62" s="16"/>
    </row>
    <row r="63" spans="2:11" x14ac:dyDescent="0.2">
      <c r="B63" s="13"/>
      <c r="C63" s="17"/>
      <c r="D63" s="15"/>
      <c r="E63" s="27"/>
      <c r="F63" s="2" t="s">
        <v>18</v>
      </c>
      <c r="G63" s="2"/>
      <c r="H63" s="18">
        <f>H9+H50+H54+H61</f>
        <v>110283421.40000001</v>
      </c>
      <c r="I63" s="32"/>
      <c r="J63" s="30"/>
      <c r="K63" s="30"/>
    </row>
    <row r="64" spans="2:11" x14ac:dyDescent="0.2">
      <c r="B64" s="13"/>
      <c r="C64" s="14"/>
      <c r="D64" s="15"/>
      <c r="E64" s="27"/>
      <c r="F64" s="15"/>
      <c r="G64" s="15"/>
      <c r="H64" s="16"/>
    </row>
    <row r="65" spans="2:9" ht="38.25" customHeight="1" x14ac:dyDescent="0.2">
      <c r="B65" s="13"/>
      <c r="C65" s="19"/>
      <c r="D65" s="15"/>
      <c r="E65" s="27"/>
      <c r="F65" s="15"/>
      <c r="G65" s="15"/>
      <c r="H65" s="16"/>
    </row>
    <row r="66" spans="2:9" x14ac:dyDescent="0.2">
      <c r="B66" s="13"/>
      <c r="D66" s="15"/>
      <c r="E66" s="27"/>
      <c r="F66" s="15"/>
      <c r="G66" s="15"/>
      <c r="H66" s="16"/>
    </row>
    <row r="67" spans="2:9" x14ac:dyDescent="0.2">
      <c r="B67" s="13"/>
      <c r="C67" s="14"/>
      <c r="D67" s="15"/>
      <c r="E67" s="27"/>
      <c r="F67" s="15"/>
      <c r="G67" s="15"/>
      <c r="H67" s="16"/>
      <c r="I67" s="14"/>
    </row>
    <row r="68" spans="2:9" x14ac:dyDescent="0.2">
      <c r="B68" s="20"/>
      <c r="C68" s="21"/>
      <c r="D68" s="22"/>
      <c r="E68" s="28"/>
      <c r="F68" s="22"/>
      <c r="G68" s="22"/>
      <c r="H68" s="23"/>
      <c r="I68" s="14"/>
    </row>
  </sheetData>
  <mergeCells count="9">
    <mergeCell ref="B55:H55"/>
    <mergeCell ref="B56:C56"/>
    <mergeCell ref="B61:F61"/>
    <mergeCell ref="B2:H2"/>
    <mergeCell ref="C3:G3"/>
    <mergeCell ref="B4:H4"/>
    <mergeCell ref="B9:E9"/>
    <mergeCell ref="B10:H10"/>
    <mergeCell ref="B51:H51"/>
  </mergeCells>
  <pageMargins left="0.7" right="0.7" top="0.75" bottom="0.75" header="0.3" footer="0.3"/>
  <pageSetup paperSize="9" scale="7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B961-594D-4E19-A9BA-99D8F8DDA3DF}">
  <sheetPr>
    <tabColor rgb="FFFF0000"/>
  </sheetPr>
  <dimension ref="B2:AA57"/>
  <sheetViews>
    <sheetView topLeftCell="A28" zoomScale="85" zoomScaleNormal="85" workbookViewId="0">
      <selection activeCell="F30" sqref="F30"/>
    </sheetView>
  </sheetViews>
  <sheetFormatPr baseColWidth="10" defaultColWidth="11.42578125" defaultRowHeight="12.75" x14ac:dyDescent="0.2"/>
  <cols>
    <col min="1" max="1" width="11.42578125" style="1"/>
    <col min="2" max="2" width="7.42578125" style="24" customWidth="1"/>
    <col min="3" max="3" width="68.85546875" style="1" customWidth="1"/>
    <col min="4" max="4" width="10.7109375" style="25" customWidth="1"/>
    <col min="5" max="5" width="19" style="24" customWidth="1"/>
    <col min="6" max="6" width="17.5703125" style="25" bestFit="1" customWidth="1"/>
    <col min="7" max="7" width="17" style="25" bestFit="1" customWidth="1"/>
    <col min="8" max="8" width="23.140625" style="1" customWidth="1"/>
    <col min="9" max="9" width="11.7109375" style="1" bestFit="1" customWidth="1"/>
    <col min="10" max="10" width="17.5703125" style="1" customWidth="1"/>
    <col min="11" max="11" width="11.42578125" style="1"/>
    <col min="12" max="12" width="18.28515625" style="1" customWidth="1"/>
    <col min="13" max="16384" width="11.42578125" style="1"/>
  </cols>
  <sheetData>
    <row r="2" spans="2:27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7" ht="126" customHeight="1" x14ac:dyDescent="0.2">
      <c r="B3" s="57" t="s">
        <v>1</v>
      </c>
      <c r="C3" s="678" t="s">
        <v>51</v>
      </c>
      <c r="D3" s="678"/>
      <c r="E3" s="678"/>
      <c r="F3" s="678"/>
      <c r="G3" s="678"/>
      <c r="H3" s="57">
        <v>21</v>
      </c>
      <c r="I3" s="85">
        <v>3</v>
      </c>
      <c r="AA3" s="1" t="s">
        <v>4</v>
      </c>
    </row>
    <row r="4" spans="2:27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AA4" s="1" t="s">
        <v>6</v>
      </c>
    </row>
    <row r="5" spans="2:27" ht="15" x14ac:dyDescent="0.25">
      <c r="B5" s="59" t="s">
        <v>7</v>
      </c>
      <c r="C5" s="60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  <c r="I5" s="85"/>
      <c r="AA5" s="1" t="s">
        <v>13</v>
      </c>
    </row>
    <row r="6" spans="2:27" ht="14.25" x14ac:dyDescent="0.2">
      <c r="B6" s="61"/>
      <c r="C6" s="86" t="s">
        <v>71</v>
      </c>
      <c r="D6" s="42" t="s">
        <v>46</v>
      </c>
      <c r="E6" s="53">
        <v>50000</v>
      </c>
      <c r="F6" s="42">
        <v>2.8029999999999999</v>
      </c>
      <c r="G6" s="43">
        <v>0</v>
      </c>
      <c r="H6" s="74">
        <f>+E6*F6*(1+G6)</f>
        <v>140150</v>
      </c>
      <c r="I6" s="85"/>
    </row>
    <row r="7" spans="2:27" ht="14.25" x14ac:dyDescent="0.2">
      <c r="B7" s="61"/>
      <c r="C7" s="58" t="s">
        <v>20</v>
      </c>
      <c r="D7" s="42" t="s">
        <v>72</v>
      </c>
      <c r="E7" s="53">
        <f>H50*0.05</f>
        <v>529081.30000000005</v>
      </c>
      <c r="F7" s="42">
        <v>1</v>
      </c>
      <c r="G7" s="43">
        <v>0</v>
      </c>
      <c r="H7" s="74">
        <f>+E7*F7*(1+G7)</f>
        <v>529081.30000000005</v>
      </c>
      <c r="I7" s="85"/>
    </row>
    <row r="8" spans="2:27" ht="14.25" x14ac:dyDescent="0.2">
      <c r="B8" s="61"/>
      <c r="C8" s="86" t="s">
        <v>54</v>
      </c>
      <c r="D8" s="42" t="s">
        <v>46</v>
      </c>
      <c r="E8" s="53">
        <v>10000</v>
      </c>
      <c r="F8" s="42">
        <f>F6</f>
        <v>2.8029999999999999</v>
      </c>
      <c r="G8" s="43">
        <v>0</v>
      </c>
      <c r="H8" s="74">
        <f t="shared" ref="H8" si="0">+E8*F8*(1+G8)</f>
        <v>28030</v>
      </c>
      <c r="I8" s="85"/>
    </row>
    <row r="9" spans="2:27" ht="15" x14ac:dyDescent="0.25">
      <c r="B9" s="670"/>
      <c r="C9" s="671"/>
      <c r="D9" s="671"/>
      <c r="E9" s="672"/>
      <c r="F9" s="59" t="s">
        <v>14</v>
      </c>
      <c r="G9" s="59"/>
      <c r="H9" s="62">
        <f>ROUND(SUM(H6:H8),0)</f>
        <v>697261</v>
      </c>
      <c r="I9" s="85"/>
    </row>
    <row r="10" spans="2:27" ht="15" x14ac:dyDescent="0.25">
      <c r="B10" s="669" t="s">
        <v>15</v>
      </c>
      <c r="C10" s="669"/>
      <c r="D10" s="669"/>
      <c r="E10" s="669"/>
      <c r="F10" s="669"/>
      <c r="G10" s="669"/>
      <c r="H10" s="669"/>
      <c r="I10" s="85"/>
    </row>
    <row r="11" spans="2:27" ht="15" x14ac:dyDescent="0.25">
      <c r="B11" s="59" t="s">
        <v>7</v>
      </c>
      <c r="C11" s="60" t="s">
        <v>8</v>
      </c>
      <c r="D11" s="59" t="s">
        <v>3</v>
      </c>
      <c r="E11" s="59" t="s">
        <v>9</v>
      </c>
      <c r="F11" s="59" t="s">
        <v>10</v>
      </c>
      <c r="G11" s="59" t="s">
        <v>11</v>
      </c>
      <c r="H11" s="60" t="s">
        <v>12</v>
      </c>
      <c r="I11" s="85"/>
    </row>
    <row r="12" spans="2:27" ht="44.25" customHeight="1" x14ac:dyDescent="0.2">
      <c r="B12" s="42"/>
      <c r="C12" s="220" t="s">
        <v>152</v>
      </c>
      <c r="D12" s="44" t="s">
        <v>25</v>
      </c>
      <c r="E12" s="215">
        <v>740300.00000000012</v>
      </c>
      <c r="F12" s="102">
        <v>2</v>
      </c>
      <c r="G12" s="43">
        <v>0</v>
      </c>
      <c r="H12" s="63">
        <f>+E12*F12</f>
        <v>1480600.0000000002</v>
      </c>
      <c r="I12" s="85"/>
    </row>
    <row r="13" spans="2:27" ht="44.25" customHeight="1" x14ac:dyDescent="0.2">
      <c r="B13" s="42"/>
      <c r="C13" s="596" t="s">
        <v>346</v>
      </c>
      <c r="D13" s="597" t="s">
        <v>25</v>
      </c>
      <c r="E13" s="214">
        <v>1315000</v>
      </c>
      <c r="F13" s="598">
        <v>1</v>
      </c>
      <c r="G13" s="43">
        <v>0</v>
      </c>
      <c r="H13" s="63">
        <f>+E13*F13</f>
        <v>1315000</v>
      </c>
      <c r="I13" s="85"/>
    </row>
    <row r="14" spans="2:27" ht="29.25" customHeight="1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2</v>
      </c>
      <c r="G14" s="43">
        <v>0</v>
      </c>
      <c r="H14" s="63">
        <f t="shared" ref="H14:H15" si="1">+E14*F14</f>
        <v>235200.00000000003</v>
      </c>
      <c r="I14" s="85"/>
    </row>
    <row r="15" spans="2:27" ht="21" customHeight="1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2</v>
      </c>
      <c r="G15" s="43">
        <v>0</v>
      </c>
      <c r="H15" s="63">
        <f t="shared" si="1"/>
        <v>33360</v>
      </c>
      <c r="I15" s="85"/>
    </row>
    <row r="16" spans="2:27" ht="14.25" x14ac:dyDescent="0.2">
      <c r="B16" s="42"/>
      <c r="C16" s="209" t="s">
        <v>148</v>
      </c>
      <c r="D16" s="44" t="s">
        <v>25</v>
      </c>
      <c r="E16" s="215">
        <v>512800</v>
      </c>
      <c r="F16" s="42">
        <v>6</v>
      </c>
      <c r="G16" s="43">
        <v>0</v>
      </c>
      <c r="H16" s="63">
        <f>+E16*F16</f>
        <v>3076800</v>
      </c>
      <c r="I16" s="85"/>
    </row>
    <row r="17" spans="2:11" ht="14.25" x14ac:dyDescent="0.2">
      <c r="B17" s="42"/>
      <c r="C17" s="603" t="s">
        <v>361</v>
      </c>
      <c r="D17" s="601" t="s">
        <v>25</v>
      </c>
      <c r="E17" s="216">
        <v>534000</v>
      </c>
      <c r="F17" s="583">
        <v>4</v>
      </c>
      <c r="G17" s="43">
        <v>0</v>
      </c>
      <c r="H17" s="63">
        <f t="shared" ref="H17:H37" si="2">+E17*F17</f>
        <v>2136000</v>
      </c>
      <c r="I17" s="85"/>
    </row>
    <row r="18" spans="2:11" ht="35.25" customHeight="1" x14ac:dyDescent="0.2">
      <c r="B18" s="42"/>
      <c r="C18" s="587" t="s">
        <v>182</v>
      </c>
      <c r="D18" s="601" t="s">
        <v>25</v>
      </c>
      <c r="E18" s="216">
        <v>535000</v>
      </c>
      <c r="F18" s="102">
        <v>3</v>
      </c>
      <c r="G18" s="43">
        <v>0</v>
      </c>
      <c r="H18" s="63">
        <f>+E18*F18</f>
        <v>1605000</v>
      </c>
      <c r="I18" s="85"/>
    </row>
    <row r="19" spans="2:11" ht="35.25" customHeight="1" x14ac:dyDescent="0.2">
      <c r="B19" s="42"/>
      <c r="C19" s="227" t="s">
        <v>180</v>
      </c>
      <c r="D19" s="222" t="s">
        <v>25</v>
      </c>
      <c r="E19" s="215">
        <v>39900</v>
      </c>
      <c r="F19" s="42">
        <v>1</v>
      </c>
      <c r="G19" s="43">
        <v>0</v>
      </c>
      <c r="H19" s="63">
        <f>+E19*F19</f>
        <v>39900</v>
      </c>
      <c r="I19" s="85"/>
    </row>
    <row r="20" spans="2:11" ht="35.25" customHeight="1" x14ac:dyDescent="0.2">
      <c r="B20" s="42"/>
      <c r="C20" s="227" t="s">
        <v>179</v>
      </c>
      <c r="D20" s="222" t="s">
        <v>25</v>
      </c>
      <c r="E20" s="215">
        <v>8690</v>
      </c>
      <c r="F20" s="42">
        <v>1</v>
      </c>
      <c r="G20" s="43">
        <v>0</v>
      </c>
      <c r="H20" s="63">
        <f>+E20*F20</f>
        <v>8690</v>
      </c>
      <c r="I20" s="85"/>
    </row>
    <row r="21" spans="2:11" ht="27" customHeight="1" x14ac:dyDescent="0.2">
      <c r="B21" s="42"/>
      <c r="C21" s="58" t="s">
        <v>66</v>
      </c>
      <c r="D21" s="44" t="s">
        <v>25</v>
      </c>
      <c r="E21" s="56">
        <v>42920</v>
      </c>
      <c r="F21" s="42">
        <v>1</v>
      </c>
      <c r="G21" s="43">
        <v>0</v>
      </c>
      <c r="H21" s="63">
        <f>+E21*F21</f>
        <v>42920</v>
      </c>
      <c r="I21" s="85"/>
    </row>
    <row r="22" spans="2:11" ht="27" customHeight="1" x14ac:dyDescent="0.2">
      <c r="B22" s="42"/>
      <c r="C22" s="65" t="s">
        <v>175</v>
      </c>
      <c r="D22" s="88" t="s">
        <v>96</v>
      </c>
      <c r="E22" s="223">
        <v>23880</v>
      </c>
      <c r="F22" s="42">
        <v>0.5</v>
      </c>
      <c r="G22" s="43">
        <v>0</v>
      </c>
      <c r="H22" s="63">
        <f>+E22*F22</f>
        <v>11940</v>
      </c>
      <c r="I22" s="85"/>
    </row>
    <row r="23" spans="2:11" ht="14.25" x14ac:dyDescent="0.2">
      <c r="B23" s="42"/>
      <c r="C23" s="64" t="s">
        <v>101</v>
      </c>
      <c r="D23" s="44" t="s">
        <v>25</v>
      </c>
      <c r="E23" s="215">
        <v>296000</v>
      </c>
      <c r="F23" s="42">
        <v>1</v>
      </c>
      <c r="G23" s="43">
        <v>0</v>
      </c>
      <c r="H23" s="63">
        <f t="shared" si="2"/>
        <v>296000</v>
      </c>
      <c r="I23" s="85"/>
    </row>
    <row r="24" spans="2:11" ht="14.25" x14ac:dyDescent="0.2">
      <c r="B24" s="42"/>
      <c r="C24" s="54" t="s">
        <v>28</v>
      </c>
      <c r="D24" s="44" t="s">
        <v>24</v>
      </c>
      <c r="E24" s="215">
        <v>3880</v>
      </c>
      <c r="F24" s="102">
        <v>370</v>
      </c>
      <c r="G24" s="43">
        <v>0</v>
      </c>
      <c r="H24" s="63">
        <f t="shared" si="2"/>
        <v>1435600</v>
      </c>
      <c r="I24" s="85"/>
    </row>
    <row r="25" spans="2:11" ht="14.25" x14ac:dyDescent="0.2">
      <c r="B25" s="42"/>
      <c r="C25" s="221" t="s">
        <v>173</v>
      </c>
      <c r="D25" s="44" t="s">
        <v>25</v>
      </c>
      <c r="E25" s="215">
        <v>16010.800000000001</v>
      </c>
      <c r="F25" s="84">
        <v>2</v>
      </c>
      <c r="G25" s="43">
        <v>0</v>
      </c>
      <c r="H25" s="63">
        <f t="shared" si="2"/>
        <v>32021.600000000002</v>
      </c>
      <c r="I25" s="85"/>
    </row>
    <row r="26" spans="2:11" ht="28.5" x14ac:dyDescent="0.2">
      <c r="B26" s="42"/>
      <c r="C26" s="217" t="s">
        <v>356</v>
      </c>
      <c r="D26" s="601" t="s">
        <v>25</v>
      </c>
      <c r="E26" s="625">
        <v>3432</v>
      </c>
      <c r="F26" s="42">
        <v>30</v>
      </c>
      <c r="G26" s="43">
        <v>0.1</v>
      </c>
      <c r="H26" s="74">
        <f>+E26*F26*(1+G26)</f>
        <v>113256.00000000001</v>
      </c>
      <c r="I26" s="85"/>
    </row>
    <row r="27" spans="2:11" ht="14.25" x14ac:dyDescent="0.2">
      <c r="B27" s="42"/>
      <c r="C27" s="217" t="s">
        <v>357</v>
      </c>
      <c r="D27" s="222" t="s">
        <v>25</v>
      </c>
      <c r="E27" s="215">
        <v>700</v>
      </c>
      <c r="F27" s="42">
        <v>30</v>
      </c>
      <c r="G27" s="43">
        <v>0</v>
      </c>
      <c r="H27" s="63">
        <f t="shared" si="2"/>
        <v>21000</v>
      </c>
      <c r="I27" s="85"/>
    </row>
    <row r="28" spans="2:11" ht="14.25" x14ac:dyDescent="0.2">
      <c r="B28" s="42"/>
      <c r="C28" s="54" t="s">
        <v>29</v>
      </c>
      <c r="D28" s="44" t="s">
        <v>24</v>
      </c>
      <c r="E28" s="215">
        <v>6870</v>
      </c>
      <c r="F28" s="42">
        <v>100</v>
      </c>
      <c r="G28" s="43">
        <v>0</v>
      </c>
      <c r="H28" s="63">
        <f t="shared" si="2"/>
        <v>687000</v>
      </c>
      <c r="I28" s="85"/>
    </row>
    <row r="29" spans="2:11" ht="14.25" x14ac:dyDescent="0.2">
      <c r="B29" s="42"/>
      <c r="C29" s="87" t="s">
        <v>104</v>
      </c>
      <c r="D29" s="103" t="s">
        <v>25</v>
      </c>
      <c r="E29" s="215">
        <v>271000</v>
      </c>
      <c r="F29" s="42">
        <v>1</v>
      </c>
      <c r="G29" s="43">
        <v>0</v>
      </c>
      <c r="H29" s="63">
        <f t="shared" si="2"/>
        <v>271000</v>
      </c>
      <c r="I29" s="85"/>
    </row>
    <row r="30" spans="2:11" ht="14.25" x14ac:dyDescent="0.2">
      <c r="B30" s="42"/>
      <c r="C30" s="54" t="s">
        <v>164</v>
      </c>
      <c r="D30" s="44" t="s">
        <v>25</v>
      </c>
      <c r="E30" s="215">
        <v>4150</v>
      </c>
      <c r="F30" s="42">
        <v>4</v>
      </c>
      <c r="G30" s="43">
        <v>0</v>
      </c>
      <c r="H30" s="63">
        <f t="shared" si="2"/>
        <v>16600</v>
      </c>
      <c r="I30" s="85"/>
    </row>
    <row r="31" spans="2:11" ht="14.25" x14ac:dyDescent="0.2">
      <c r="B31" s="42"/>
      <c r="C31" s="54" t="s">
        <v>374</v>
      </c>
      <c r="D31" s="44" t="s">
        <v>25</v>
      </c>
      <c r="E31" s="216">
        <v>3300</v>
      </c>
      <c r="F31" s="42">
        <v>4</v>
      </c>
      <c r="G31" s="43">
        <v>0</v>
      </c>
      <c r="H31" s="63">
        <f t="shared" si="2"/>
        <v>13200</v>
      </c>
      <c r="I31" s="85"/>
    </row>
    <row r="32" spans="2:11" ht="14.25" x14ac:dyDescent="0.2">
      <c r="B32" s="42"/>
      <c r="C32" s="54" t="s">
        <v>170</v>
      </c>
      <c r="D32" s="44" t="s">
        <v>24</v>
      </c>
      <c r="E32" s="215">
        <v>11000</v>
      </c>
      <c r="F32" s="42">
        <v>60</v>
      </c>
      <c r="G32" s="43">
        <v>0</v>
      </c>
      <c r="H32" s="63">
        <f t="shared" si="2"/>
        <v>660000</v>
      </c>
      <c r="I32" s="85"/>
      <c r="K32" s="32"/>
    </row>
    <row r="33" spans="2:12" ht="14.25" x14ac:dyDescent="0.2">
      <c r="B33" s="42"/>
      <c r="C33" s="65" t="s">
        <v>99</v>
      </c>
      <c r="D33" s="44" t="s">
        <v>25</v>
      </c>
      <c r="E33" s="56">
        <v>1000</v>
      </c>
      <c r="F33" s="84">
        <v>20</v>
      </c>
      <c r="G33" s="43">
        <v>0</v>
      </c>
      <c r="H33" s="63">
        <f t="shared" si="2"/>
        <v>20000</v>
      </c>
      <c r="I33" s="85"/>
      <c r="K33" s="32"/>
    </row>
    <row r="34" spans="2:12" ht="14.25" x14ac:dyDescent="0.2">
      <c r="B34" s="42"/>
      <c r="C34" s="54" t="s">
        <v>168</v>
      </c>
      <c r="D34" s="44" t="s">
        <v>25</v>
      </c>
      <c r="E34" s="215">
        <v>2600</v>
      </c>
      <c r="F34" s="42">
        <v>12</v>
      </c>
      <c r="G34" s="43">
        <v>0</v>
      </c>
      <c r="H34" s="63">
        <f t="shared" si="2"/>
        <v>31200</v>
      </c>
      <c r="I34" s="85"/>
      <c r="K34" s="32"/>
    </row>
    <row r="35" spans="2:12" ht="14.25" x14ac:dyDescent="0.2">
      <c r="B35" s="42"/>
      <c r="C35" s="64" t="s">
        <v>169</v>
      </c>
      <c r="D35" s="44" t="s">
        <v>25</v>
      </c>
      <c r="E35" s="215">
        <v>3150</v>
      </c>
      <c r="F35" s="42">
        <v>12</v>
      </c>
      <c r="G35" s="43">
        <v>0</v>
      </c>
      <c r="H35" s="63">
        <f t="shared" si="2"/>
        <v>37800</v>
      </c>
      <c r="I35" s="85"/>
      <c r="K35" s="32"/>
    </row>
    <row r="36" spans="2:12" ht="14.25" x14ac:dyDescent="0.2">
      <c r="B36" s="42"/>
      <c r="C36" s="54" t="s">
        <v>67</v>
      </c>
      <c r="D36" s="44" t="s">
        <v>25</v>
      </c>
      <c r="E36" s="215">
        <v>10890</v>
      </c>
      <c r="F36" s="42">
        <v>12</v>
      </c>
      <c r="G36" s="43">
        <v>0</v>
      </c>
      <c r="H36" s="63">
        <f t="shared" si="2"/>
        <v>130680</v>
      </c>
      <c r="I36" s="85"/>
      <c r="K36" s="32"/>
    </row>
    <row r="37" spans="2:12" ht="14.25" x14ac:dyDescent="0.2">
      <c r="B37" s="42"/>
      <c r="C37" s="54" t="s">
        <v>27</v>
      </c>
      <c r="D37" s="44" t="s">
        <v>25</v>
      </c>
      <c r="E37" s="56">
        <v>525308</v>
      </c>
      <c r="F37" s="42">
        <v>1</v>
      </c>
      <c r="G37" s="43">
        <v>0</v>
      </c>
      <c r="H37" s="63">
        <f t="shared" si="2"/>
        <v>525308</v>
      </c>
      <c r="I37" s="85"/>
    </row>
    <row r="38" spans="2:12" ht="15" x14ac:dyDescent="0.25">
      <c r="B38" s="66"/>
      <c r="C38" s="67"/>
      <c r="D38" s="68"/>
      <c r="E38" s="69"/>
      <c r="F38" s="70" t="s">
        <v>14</v>
      </c>
      <c r="G38" s="70"/>
      <c r="H38" s="226">
        <f>SUM(H12:H37)</f>
        <v>14276075.6</v>
      </c>
      <c r="I38" s="85"/>
      <c r="J38" s="30"/>
    </row>
    <row r="39" spans="2:12" ht="15" x14ac:dyDescent="0.25">
      <c r="B39" s="669" t="s">
        <v>16</v>
      </c>
      <c r="C39" s="669"/>
      <c r="D39" s="669"/>
      <c r="E39" s="669"/>
      <c r="F39" s="669"/>
      <c r="G39" s="669"/>
      <c r="H39" s="669"/>
      <c r="I39" s="85"/>
    </row>
    <row r="40" spans="2:12" ht="15" x14ac:dyDescent="0.25">
      <c r="B40" s="59" t="s">
        <v>7</v>
      </c>
      <c r="C40" s="60" t="s">
        <v>0</v>
      </c>
      <c r="D40" s="59" t="s">
        <v>3</v>
      </c>
      <c r="E40" s="59" t="s">
        <v>9</v>
      </c>
      <c r="F40" s="72" t="s">
        <v>10</v>
      </c>
      <c r="G40" s="73" t="s">
        <v>11</v>
      </c>
      <c r="H40" s="60" t="s">
        <v>12</v>
      </c>
      <c r="I40" s="85"/>
    </row>
    <row r="41" spans="2:12" ht="14.25" x14ac:dyDescent="0.2">
      <c r="B41" s="61"/>
      <c r="C41" s="81"/>
      <c r="D41" s="42"/>
      <c r="E41" s="574"/>
      <c r="F41" s="42"/>
      <c r="G41" s="575"/>
      <c r="H41" s="576"/>
      <c r="I41" s="85"/>
      <c r="J41" s="30"/>
      <c r="L41" s="30"/>
    </row>
    <row r="42" spans="2:12" ht="15" x14ac:dyDescent="0.25">
      <c r="B42" s="39"/>
      <c r="C42" s="49"/>
      <c r="D42" s="40"/>
      <c r="E42" s="50"/>
      <c r="F42" s="36"/>
      <c r="G42" s="37"/>
      <c r="H42" s="38"/>
      <c r="J42" s="30"/>
      <c r="L42" s="30"/>
    </row>
    <row r="43" spans="2:12" ht="15" x14ac:dyDescent="0.25">
      <c r="B43" s="75"/>
      <c r="C43" s="76"/>
      <c r="D43" s="77"/>
      <c r="E43" s="78"/>
      <c r="F43" s="42" t="s">
        <v>14</v>
      </c>
      <c r="G43" s="42"/>
      <c r="H43" s="62">
        <f>ROUND(SUM(H41:H41),0)</f>
        <v>0</v>
      </c>
      <c r="L43" s="30"/>
    </row>
    <row r="44" spans="2:12" ht="15" x14ac:dyDescent="0.25">
      <c r="B44" s="669" t="s">
        <v>17</v>
      </c>
      <c r="C44" s="669"/>
      <c r="D44" s="669"/>
      <c r="E44" s="669"/>
      <c r="F44" s="669"/>
      <c r="G44" s="669"/>
      <c r="H44" s="669"/>
      <c r="J44" s="30"/>
      <c r="L44" s="30"/>
    </row>
    <row r="45" spans="2:12" ht="15" customHeight="1" x14ac:dyDescent="0.25">
      <c r="B45" s="676" t="s">
        <v>8</v>
      </c>
      <c r="C45" s="677"/>
      <c r="D45" s="59" t="s">
        <v>3</v>
      </c>
      <c r="E45" s="59" t="s">
        <v>9</v>
      </c>
      <c r="F45" s="59" t="s">
        <v>10</v>
      </c>
      <c r="G45" s="59" t="s">
        <v>11</v>
      </c>
      <c r="H45" s="60" t="s">
        <v>12</v>
      </c>
      <c r="L45" s="30"/>
    </row>
    <row r="46" spans="2:12" ht="14.25" x14ac:dyDescent="0.2">
      <c r="B46" s="588" t="s">
        <v>334</v>
      </c>
      <c r="C46" s="217" t="s">
        <v>335</v>
      </c>
      <c r="D46" s="583" t="s">
        <v>333</v>
      </c>
      <c r="E46" s="584">
        <v>42869</v>
      </c>
      <c r="F46" s="583">
        <v>96</v>
      </c>
      <c r="G46" s="43">
        <v>0</v>
      </c>
      <c r="H46" s="74">
        <f t="shared" ref="H46:H49" si="3">IF(E46="-","-",E46*F46*(1+G46))</f>
        <v>4115424</v>
      </c>
      <c r="J46" s="30"/>
      <c r="L46" s="30"/>
    </row>
    <row r="47" spans="2:12" ht="14.25" x14ac:dyDescent="0.2">
      <c r="B47" s="589" t="s">
        <v>338</v>
      </c>
      <c r="C47" s="587" t="s">
        <v>337</v>
      </c>
      <c r="D47" s="583" t="s">
        <v>333</v>
      </c>
      <c r="E47" s="584">
        <v>32372</v>
      </c>
      <c r="F47" s="583">
        <v>96</v>
      </c>
      <c r="G47" s="43">
        <v>0</v>
      </c>
      <c r="H47" s="74">
        <f t="shared" si="3"/>
        <v>3107712</v>
      </c>
      <c r="L47" s="30"/>
    </row>
    <row r="48" spans="2:12" ht="14.25" x14ac:dyDescent="0.2">
      <c r="B48" s="590" t="s">
        <v>342</v>
      </c>
      <c r="C48" s="217" t="s">
        <v>341</v>
      </c>
      <c r="D48" s="583" t="s">
        <v>340</v>
      </c>
      <c r="E48" s="584">
        <v>10177242</v>
      </c>
      <c r="F48" s="583">
        <v>0.33</v>
      </c>
      <c r="G48" s="43">
        <v>0</v>
      </c>
      <c r="H48" s="74">
        <f t="shared" si="3"/>
        <v>3358489.8600000003</v>
      </c>
      <c r="L48" s="30"/>
    </row>
    <row r="49" spans="2:12" ht="14.25" x14ac:dyDescent="0.2">
      <c r="B49" s="80"/>
      <c r="C49" s="54" t="s">
        <v>19</v>
      </c>
      <c r="D49" s="42" t="s">
        <v>19</v>
      </c>
      <c r="E49" s="79" t="s">
        <v>19</v>
      </c>
      <c r="F49" s="42"/>
      <c r="G49" s="43"/>
      <c r="H49" s="74" t="str">
        <f t="shared" si="3"/>
        <v>-</v>
      </c>
      <c r="L49" s="30"/>
    </row>
    <row r="50" spans="2:12" ht="15" x14ac:dyDescent="0.25">
      <c r="B50" s="682" t="s">
        <v>14</v>
      </c>
      <c r="C50" s="683"/>
      <c r="D50" s="683"/>
      <c r="E50" s="683"/>
      <c r="F50" s="684"/>
      <c r="G50" s="83"/>
      <c r="H50" s="62">
        <f>ROUND(SUM(H46:H49),0)</f>
        <v>10581626</v>
      </c>
      <c r="J50" s="30"/>
      <c r="L50" s="30"/>
    </row>
    <row r="51" spans="2:12" ht="38.25" customHeight="1" x14ac:dyDescent="0.2">
      <c r="B51" s="13"/>
      <c r="C51" s="14"/>
      <c r="D51" s="15"/>
      <c r="E51" s="27"/>
      <c r="F51" s="15"/>
      <c r="G51" s="15"/>
      <c r="H51" s="16"/>
    </row>
    <row r="52" spans="2:12" x14ac:dyDescent="0.2">
      <c r="B52" s="13"/>
      <c r="C52" s="17"/>
      <c r="D52" s="15"/>
      <c r="E52" s="27"/>
      <c r="F52" s="2" t="s">
        <v>18</v>
      </c>
      <c r="G52" s="2"/>
      <c r="H52" s="18">
        <f>H9+H38+H43+H50</f>
        <v>25554962.600000001</v>
      </c>
      <c r="J52" s="30"/>
    </row>
    <row r="53" spans="2:12" x14ac:dyDescent="0.2">
      <c r="B53" s="13"/>
      <c r="C53" s="14"/>
      <c r="D53" s="15"/>
      <c r="E53" s="27"/>
      <c r="F53" s="15"/>
      <c r="G53" s="15"/>
      <c r="H53" s="16"/>
    </row>
    <row r="54" spans="2:12" ht="38.25" customHeight="1" x14ac:dyDescent="0.2">
      <c r="B54" s="13"/>
      <c r="C54" s="19"/>
      <c r="D54" s="15"/>
      <c r="E54" s="27"/>
      <c r="F54" s="15"/>
      <c r="G54" s="15"/>
      <c r="H54" s="16"/>
    </row>
    <row r="55" spans="2:12" x14ac:dyDescent="0.2">
      <c r="B55" s="13"/>
      <c r="D55" s="15"/>
      <c r="E55" s="27"/>
      <c r="F55" s="15"/>
      <c r="G55" s="15"/>
      <c r="H55" s="16"/>
    </row>
    <row r="56" spans="2:12" x14ac:dyDescent="0.2">
      <c r="B56" s="13"/>
      <c r="C56" s="14"/>
      <c r="D56" s="15"/>
      <c r="E56" s="27"/>
      <c r="F56" s="15"/>
      <c r="G56" s="15"/>
      <c r="H56" s="16"/>
      <c r="I56" s="14"/>
    </row>
    <row r="57" spans="2:12" x14ac:dyDescent="0.2">
      <c r="B57" s="20"/>
      <c r="C57" s="21"/>
      <c r="D57" s="22"/>
      <c r="E57" s="28"/>
      <c r="F57" s="22"/>
      <c r="G57" s="22"/>
      <c r="H57" s="23"/>
      <c r="I57" s="14"/>
    </row>
  </sheetData>
  <mergeCells count="9">
    <mergeCell ref="B44:H44"/>
    <mergeCell ref="B45:C45"/>
    <mergeCell ref="B50:F50"/>
    <mergeCell ref="B2:H2"/>
    <mergeCell ref="C3:G3"/>
    <mergeCell ref="B4:H4"/>
    <mergeCell ref="B9:E9"/>
    <mergeCell ref="B10:H10"/>
    <mergeCell ref="B39:H39"/>
  </mergeCells>
  <pageMargins left="0.7" right="0.7" top="0.75" bottom="0.75" header="0.3" footer="0.3"/>
  <pageSetup paperSize="9"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F6B9-60C0-4435-95A1-A993BED7C511}">
  <sheetPr>
    <tabColor rgb="FFFFFF00"/>
  </sheetPr>
  <dimension ref="B2:H21"/>
  <sheetViews>
    <sheetView topLeftCell="A10" workbookViewId="0">
      <selection activeCell="I22" sqref="I22"/>
    </sheetView>
  </sheetViews>
  <sheetFormatPr baseColWidth="10" defaultRowHeight="15" x14ac:dyDescent="0.25"/>
  <cols>
    <col min="3" max="3" width="31.28515625" customWidth="1"/>
    <col min="5" max="5" width="14.140625" customWidth="1"/>
    <col min="7" max="7" width="25.85546875" customWidth="1"/>
    <col min="8" max="8" width="15.5703125" customWidth="1"/>
  </cols>
  <sheetData>
    <row r="2" spans="2:8" x14ac:dyDescent="0.25">
      <c r="B2" s="667" t="s">
        <v>2</v>
      </c>
      <c r="C2" s="667"/>
      <c r="D2" s="667"/>
      <c r="E2" s="667"/>
      <c r="F2" s="667"/>
      <c r="G2" s="667"/>
      <c r="H2" s="667"/>
    </row>
    <row r="3" spans="2:8" ht="48" customHeight="1" x14ac:dyDescent="0.25">
      <c r="B3" s="57" t="s">
        <v>1</v>
      </c>
      <c r="C3" s="678" t="s">
        <v>350</v>
      </c>
      <c r="D3" s="678"/>
      <c r="E3" s="678"/>
      <c r="F3" s="678"/>
      <c r="G3" s="678"/>
      <c r="H3" s="57">
        <v>23</v>
      </c>
    </row>
    <row r="4" spans="2:8" x14ac:dyDescent="0.25">
      <c r="B4" s="669" t="s">
        <v>5</v>
      </c>
      <c r="C4" s="669"/>
      <c r="D4" s="669"/>
      <c r="E4" s="669"/>
      <c r="F4" s="669"/>
      <c r="G4" s="669"/>
      <c r="H4" s="669"/>
    </row>
    <row r="5" spans="2:8" x14ac:dyDescent="0.25">
      <c r="B5" s="59" t="s">
        <v>7</v>
      </c>
      <c r="C5" s="59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</row>
    <row r="6" spans="2:8" ht="28.5" customHeight="1" x14ac:dyDescent="0.25">
      <c r="B6" s="61"/>
      <c r="C6" s="58" t="s">
        <v>20</v>
      </c>
      <c r="D6" s="42" t="s">
        <v>72</v>
      </c>
      <c r="E6" s="53">
        <v>4217</v>
      </c>
      <c r="F6" s="42">
        <v>0.5</v>
      </c>
      <c r="G6" s="43">
        <v>0</v>
      </c>
      <c r="H6" s="74">
        <f>+E6*F6*(1+G6)</f>
        <v>2108.5</v>
      </c>
    </row>
    <row r="7" spans="2:8" x14ac:dyDescent="0.25">
      <c r="B7" s="670"/>
      <c r="C7" s="671"/>
      <c r="D7" s="671"/>
      <c r="E7" s="672"/>
      <c r="F7" s="59" t="s">
        <v>14</v>
      </c>
      <c r="G7" s="59"/>
      <c r="H7" s="62">
        <f>ROUND(SUM(H6:H6),0)</f>
        <v>2109</v>
      </c>
    </row>
    <row r="8" spans="2:8" x14ac:dyDescent="0.25">
      <c r="B8" s="669" t="s">
        <v>15</v>
      </c>
      <c r="C8" s="669"/>
      <c r="D8" s="669"/>
      <c r="E8" s="669"/>
      <c r="F8" s="669"/>
      <c r="G8" s="669"/>
      <c r="H8" s="669"/>
    </row>
    <row r="9" spans="2:8" x14ac:dyDescent="0.25">
      <c r="B9" s="59" t="s">
        <v>7</v>
      </c>
      <c r="C9" s="59" t="s">
        <v>8</v>
      </c>
      <c r="D9" s="59" t="s">
        <v>3</v>
      </c>
      <c r="E9" s="59" t="s">
        <v>9</v>
      </c>
      <c r="F9" s="59" t="s">
        <v>10</v>
      </c>
      <c r="G9" s="59" t="s">
        <v>11</v>
      </c>
      <c r="H9" s="60" t="s">
        <v>12</v>
      </c>
    </row>
    <row r="10" spans="2:8" ht="43.5" customHeight="1" x14ac:dyDescent="0.25">
      <c r="B10" s="42"/>
      <c r="C10" s="81" t="s">
        <v>351</v>
      </c>
      <c r="D10" s="44" t="s">
        <v>24</v>
      </c>
      <c r="E10" s="215">
        <v>4630</v>
      </c>
      <c r="F10" s="42">
        <v>1</v>
      </c>
      <c r="G10" s="43">
        <v>0.05</v>
      </c>
      <c r="H10" s="63">
        <f>+E10*F10+E10*G10</f>
        <v>4861.5</v>
      </c>
    </row>
    <row r="11" spans="2:8" ht="29.25" customHeight="1" x14ac:dyDescent="0.25">
      <c r="B11" s="42"/>
      <c r="C11" s="81" t="s">
        <v>352</v>
      </c>
      <c r="D11" s="44" t="s">
        <v>353</v>
      </c>
      <c r="E11" s="215">
        <v>250</v>
      </c>
      <c r="F11" s="42">
        <v>0.25</v>
      </c>
      <c r="G11" s="43">
        <v>0</v>
      </c>
      <c r="H11" s="63">
        <f t="shared" ref="H11:H13" si="0">+E11*F11+E11*G11</f>
        <v>62.5</v>
      </c>
    </row>
    <row r="12" spans="2:8" ht="26.25" customHeight="1" x14ac:dyDescent="0.25">
      <c r="B12" s="42"/>
      <c r="C12" s="81" t="s">
        <v>354</v>
      </c>
      <c r="D12" s="44" t="s">
        <v>353</v>
      </c>
      <c r="E12" s="215">
        <v>750</v>
      </c>
      <c r="F12" s="42">
        <v>0.25</v>
      </c>
      <c r="G12" s="43">
        <v>0</v>
      </c>
      <c r="H12" s="63">
        <f t="shared" si="0"/>
        <v>187.5</v>
      </c>
    </row>
    <row r="13" spans="2:8" ht="21.75" customHeight="1" x14ac:dyDescent="0.25">
      <c r="B13" s="42"/>
      <c r="C13" s="81" t="s">
        <v>355</v>
      </c>
      <c r="D13" s="44" t="s">
        <v>353</v>
      </c>
      <c r="E13" s="215">
        <v>55900</v>
      </c>
      <c r="F13" s="42">
        <f>0.001</f>
        <v>1E-3</v>
      </c>
      <c r="G13" s="43">
        <v>0.05</v>
      </c>
      <c r="H13" s="63">
        <f t="shared" si="0"/>
        <v>2850.9</v>
      </c>
    </row>
    <row r="14" spans="2:8" x14ac:dyDescent="0.25">
      <c r="B14" s="66"/>
      <c r="C14" s="67"/>
      <c r="D14" s="68"/>
      <c r="E14" s="69"/>
      <c r="F14" s="70" t="s">
        <v>14</v>
      </c>
      <c r="G14" s="70"/>
      <c r="H14" s="71">
        <f>SUM(H10:H13)</f>
        <v>7962.4</v>
      </c>
    </row>
    <row r="15" spans="2:8" x14ac:dyDescent="0.25">
      <c r="B15" s="669" t="s">
        <v>17</v>
      </c>
      <c r="C15" s="669"/>
      <c r="D15" s="669"/>
      <c r="E15" s="669"/>
      <c r="F15" s="669"/>
      <c r="G15" s="669"/>
      <c r="H15" s="669"/>
    </row>
    <row r="16" spans="2:8" x14ac:dyDescent="0.25">
      <c r="B16" s="676" t="s">
        <v>8</v>
      </c>
      <c r="C16" s="677"/>
      <c r="D16" s="59" t="s">
        <v>3</v>
      </c>
      <c r="E16" s="59" t="s">
        <v>9</v>
      </c>
      <c r="F16" s="59" t="s">
        <v>10</v>
      </c>
      <c r="G16" s="59" t="s">
        <v>11</v>
      </c>
      <c r="H16" s="60" t="s">
        <v>12</v>
      </c>
    </row>
    <row r="17" spans="2:8" ht="51" customHeight="1" x14ac:dyDescent="0.25">
      <c r="B17" s="582" t="s">
        <v>334</v>
      </c>
      <c r="C17" s="217" t="s">
        <v>336</v>
      </c>
      <c r="D17" s="583" t="s">
        <v>333</v>
      </c>
      <c r="E17" s="584">
        <v>42869</v>
      </c>
      <c r="F17" s="583">
        <v>0.1</v>
      </c>
      <c r="G17" s="43">
        <v>0</v>
      </c>
      <c r="H17" s="74">
        <f>IF(E17="-","-",E17*F17*(1+G17))</f>
        <v>4286.9000000000005</v>
      </c>
    </row>
    <row r="18" spans="2:8" x14ac:dyDescent="0.25">
      <c r="B18" s="80"/>
      <c r="C18" s="81" t="s">
        <v>19</v>
      </c>
      <c r="D18" s="42" t="s">
        <v>19</v>
      </c>
      <c r="E18" s="79" t="s">
        <v>19</v>
      </c>
      <c r="F18" s="42"/>
      <c r="G18" s="43"/>
      <c r="H18" s="74" t="str">
        <f>IF(E18="-","-",E18*F18*(1+G18))</f>
        <v>-</v>
      </c>
    </row>
    <row r="19" spans="2:8" x14ac:dyDescent="0.25">
      <c r="B19" s="668" t="s">
        <v>14</v>
      </c>
      <c r="C19" s="668"/>
      <c r="D19" s="668"/>
      <c r="E19" s="668"/>
      <c r="F19" s="668"/>
      <c r="G19" s="59"/>
      <c r="H19" s="62">
        <f>ROUND(SUM(H17:H18),0)</f>
        <v>4287</v>
      </c>
    </row>
    <row r="20" spans="2:8" x14ac:dyDescent="0.25">
      <c r="B20" s="579"/>
      <c r="C20" s="579"/>
      <c r="D20" s="581"/>
      <c r="E20" s="579"/>
      <c r="F20" s="581"/>
      <c r="G20" s="580"/>
      <c r="H20" s="213"/>
    </row>
    <row r="21" spans="2:8" x14ac:dyDescent="0.25">
      <c r="B21" s="577"/>
      <c r="C21" s="9"/>
      <c r="D21" s="578"/>
      <c r="E21" s="577"/>
      <c r="F21" s="2" t="s">
        <v>18</v>
      </c>
      <c r="G21" s="2"/>
      <c r="H21" s="18">
        <f>H7+H14++H19</f>
        <v>14358.4</v>
      </c>
    </row>
  </sheetData>
  <mergeCells count="8">
    <mergeCell ref="B16:C16"/>
    <mergeCell ref="B19:F19"/>
    <mergeCell ref="B2:H2"/>
    <mergeCell ref="C3:G3"/>
    <mergeCell ref="B4:H4"/>
    <mergeCell ref="B7:E7"/>
    <mergeCell ref="B8:H8"/>
    <mergeCell ref="B15:H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97FF-9EC8-4157-9DC6-8AF72EB59854}">
  <sheetPr>
    <tabColor rgb="FFFFFF00"/>
  </sheetPr>
  <dimension ref="B2:H23"/>
  <sheetViews>
    <sheetView topLeftCell="A10" workbookViewId="0">
      <selection activeCell="C705" sqref="C705"/>
    </sheetView>
  </sheetViews>
  <sheetFormatPr baseColWidth="10" defaultRowHeight="15" x14ac:dyDescent="0.25"/>
  <cols>
    <col min="3" max="3" width="58" customWidth="1"/>
    <col min="5" max="5" width="18.140625" customWidth="1"/>
    <col min="7" max="7" width="35.7109375" customWidth="1"/>
    <col min="8" max="8" width="23" customWidth="1"/>
  </cols>
  <sheetData>
    <row r="2" spans="2:8" x14ac:dyDescent="0.25">
      <c r="B2" s="667" t="s">
        <v>2</v>
      </c>
      <c r="C2" s="667"/>
      <c r="D2" s="667"/>
      <c r="E2" s="667"/>
      <c r="F2" s="667"/>
      <c r="G2" s="667"/>
      <c r="H2" s="667"/>
    </row>
    <row r="3" spans="2:8" ht="56.25" customHeight="1" x14ac:dyDescent="0.25">
      <c r="B3" s="57" t="s">
        <v>1</v>
      </c>
      <c r="C3" s="688" t="s">
        <v>362</v>
      </c>
      <c r="D3" s="688"/>
      <c r="E3" s="688"/>
      <c r="F3" s="688"/>
      <c r="G3" s="688"/>
      <c r="H3" s="57">
        <v>24</v>
      </c>
    </row>
    <row r="4" spans="2:8" x14ac:dyDescent="0.25">
      <c r="B4" s="669" t="s">
        <v>5</v>
      </c>
      <c r="C4" s="669"/>
      <c r="D4" s="669"/>
      <c r="E4" s="669"/>
      <c r="F4" s="669"/>
      <c r="G4" s="669"/>
      <c r="H4" s="669"/>
    </row>
    <row r="5" spans="2:8" x14ac:dyDescent="0.25">
      <c r="B5" s="59" t="s">
        <v>7</v>
      </c>
      <c r="C5" s="59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</row>
    <row r="6" spans="2:8" ht="39.75" customHeight="1" x14ac:dyDescent="0.25">
      <c r="B6" s="61"/>
      <c r="C6" s="58" t="s">
        <v>71</v>
      </c>
      <c r="D6" s="42" t="s">
        <v>46</v>
      </c>
      <c r="E6" s="53">
        <v>50000</v>
      </c>
      <c r="F6" s="42">
        <v>0.5</v>
      </c>
      <c r="G6" s="43">
        <v>0</v>
      </c>
      <c r="H6" s="74">
        <f>+E6*F6*(1+G6)</f>
        <v>25000</v>
      </c>
    </row>
    <row r="7" spans="2:8" x14ac:dyDescent="0.25">
      <c r="B7" s="61"/>
      <c r="C7" s="58" t="s">
        <v>20</v>
      </c>
      <c r="D7" s="42" t="s">
        <v>72</v>
      </c>
      <c r="E7" s="53">
        <f>+H21*0.05</f>
        <v>17071.8</v>
      </c>
      <c r="F7" s="42">
        <v>1</v>
      </c>
      <c r="G7" s="43">
        <v>0</v>
      </c>
      <c r="H7" s="74">
        <f>+E7*F7*(1+G7)</f>
        <v>17071.8</v>
      </c>
    </row>
    <row r="8" spans="2:8" x14ac:dyDescent="0.25">
      <c r="B8" s="61"/>
      <c r="C8" s="86"/>
      <c r="D8" s="42"/>
      <c r="E8" s="53"/>
      <c r="F8" s="42" t="s">
        <v>14</v>
      </c>
      <c r="G8" s="43"/>
      <c r="H8" s="622">
        <f>+SUM(H6:H7)</f>
        <v>42071.8</v>
      </c>
    </row>
    <row r="9" spans="2:8" x14ac:dyDescent="0.25">
      <c r="B9" s="673" t="s">
        <v>15</v>
      </c>
      <c r="C9" s="674"/>
      <c r="D9" s="674"/>
      <c r="E9" s="674"/>
      <c r="F9" s="674"/>
      <c r="G9" s="674"/>
      <c r="H9" s="675"/>
    </row>
    <row r="10" spans="2:8" x14ac:dyDescent="0.25">
      <c r="B10" s="59" t="s">
        <v>7</v>
      </c>
      <c r="C10" s="59" t="s">
        <v>8</v>
      </c>
      <c r="D10" s="59" t="s">
        <v>3</v>
      </c>
      <c r="E10" s="59" t="s">
        <v>9</v>
      </c>
      <c r="F10" s="59" t="s">
        <v>10</v>
      </c>
      <c r="G10" s="59" t="s">
        <v>11</v>
      </c>
      <c r="H10" s="60" t="s">
        <v>12</v>
      </c>
    </row>
    <row r="11" spans="2:8" ht="47.25" customHeight="1" x14ac:dyDescent="0.25">
      <c r="B11" s="42"/>
      <c r="C11" s="81" t="s">
        <v>363</v>
      </c>
      <c r="D11" s="44" t="s">
        <v>25</v>
      </c>
      <c r="E11" s="215">
        <v>30696</v>
      </c>
      <c r="F11" s="42">
        <v>1</v>
      </c>
      <c r="G11" s="43">
        <v>0</v>
      </c>
      <c r="H11" s="63">
        <f>+E11*F11+E11*G11</f>
        <v>30696</v>
      </c>
    </row>
    <row r="12" spans="2:8" ht="50.25" customHeight="1" x14ac:dyDescent="0.25">
      <c r="B12" s="42"/>
      <c r="C12" s="81" t="s">
        <v>364</v>
      </c>
      <c r="D12" s="44" t="s">
        <v>353</v>
      </c>
      <c r="E12" s="215">
        <v>16986</v>
      </c>
      <c r="F12" s="42">
        <v>1</v>
      </c>
      <c r="G12" s="43">
        <v>0</v>
      </c>
      <c r="H12" s="63">
        <f t="shared" ref="H12:H14" si="0">+E12*F12+E12*G12</f>
        <v>16986</v>
      </c>
    </row>
    <row r="13" spans="2:8" x14ac:dyDescent="0.25">
      <c r="B13" s="42"/>
      <c r="C13" s="81" t="s">
        <v>372</v>
      </c>
      <c r="D13" s="44" t="s">
        <v>353</v>
      </c>
      <c r="E13" s="215">
        <v>9817</v>
      </c>
      <c r="F13" s="42">
        <v>1</v>
      </c>
      <c r="G13" s="43">
        <v>0</v>
      </c>
      <c r="H13" s="63">
        <f>+E13*F13+E13*G13</f>
        <v>9817</v>
      </c>
    </row>
    <row r="14" spans="2:8" x14ac:dyDescent="0.25">
      <c r="B14" s="42"/>
      <c r="C14" s="81" t="s">
        <v>365</v>
      </c>
      <c r="D14" s="44" t="s">
        <v>24</v>
      </c>
      <c r="E14" s="215">
        <v>2618</v>
      </c>
      <c r="F14" s="42">
        <v>9</v>
      </c>
      <c r="G14" s="43">
        <v>0.05</v>
      </c>
      <c r="H14" s="63">
        <f t="shared" si="0"/>
        <v>23692.9</v>
      </c>
    </row>
    <row r="15" spans="2:8" ht="43.5" customHeight="1" x14ac:dyDescent="0.25">
      <c r="B15" s="42"/>
      <c r="C15" s="81" t="s">
        <v>366</v>
      </c>
      <c r="D15" s="44" t="s">
        <v>367</v>
      </c>
      <c r="E15" s="215">
        <v>293870</v>
      </c>
      <c r="F15" s="42">
        <v>1</v>
      </c>
      <c r="G15" s="43">
        <v>0</v>
      </c>
      <c r="H15" s="63">
        <f>+E15*F15</f>
        <v>293870</v>
      </c>
    </row>
    <row r="16" spans="2:8" x14ac:dyDescent="0.25">
      <c r="B16" s="66"/>
      <c r="C16" s="67"/>
      <c r="D16" s="68"/>
      <c r="E16" s="69"/>
      <c r="F16" s="70" t="s">
        <v>14</v>
      </c>
      <c r="G16" s="70"/>
      <c r="H16" s="71">
        <f>SUM(H11:H15)</f>
        <v>375061.9</v>
      </c>
    </row>
    <row r="17" spans="2:8" x14ac:dyDescent="0.25">
      <c r="B17" s="669" t="s">
        <v>17</v>
      </c>
      <c r="C17" s="669"/>
      <c r="D17" s="669"/>
      <c r="E17" s="669"/>
      <c r="F17" s="669"/>
      <c r="G17" s="669"/>
      <c r="H17" s="669"/>
    </row>
    <row r="18" spans="2:8" x14ac:dyDescent="0.25">
      <c r="B18" s="676" t="s">
        <v>8</v>
      </c>
      <c r="C18" s="677"/>
      <c r="D18" s="59" t="s">
        <v>3</v>
      </c>
      <c r="E18" s="59" t="s">
        <v>9</v>
      </c>
      <c r="F18" s="59" t="s">
        <v>10</v>
      </c>
      <c r="G18" s="59" t="s">
        <v>11</v>
      </c>
      <c r="H18" s="60" t="s">
        <v>12</v>
      </c>
    </row>
    <row r="19" spans="2:8" ht="51.75" customHeight="1" x14ac:dyDescent="0.25">
      <c r="B19" s="582" t="s">
        <v>334</v>
      </c>
      <c r="C19" s="217" t="s">
        <v>336</v>
      </c>
      <c r="D19" s="583" t="s">
        <v>333</v>
      </c>
      <c r="E19" s="584">
        <v>42869</v>
      </c>
      <c r="F19" s="583">
        <v>4</v>
      </c>
      <c r="G19" s="43">
        <v>0</v>
      </c>
      <c r="H19" s="612">
        <f>IF(E19="-","-",E19*F19*(1+G19))</f>
        <v>171476</v>
      </c>
    </row>
    <row r="20" spans="2:8" x14ac:dyDescent="0.25">
      <c r="B20" s="623" t="s">
        <v>342</v>
      </c>
      <c r="C20" s="217" t="s">
        <v>341</v>
      </c>
      <c r="D20" s="583" t="s">
        <v>340</v>
      </c>
      <c r="E20" s="584">
        <v>10177242</v>
      </c>
      <c r="F20" s="583">
        <v>1.67E-2</v>
      </c>
      <c r="G20" s="43">
        <v>0</v>
      </c>
      <c r="H20" s="74">
        <f>IF(E20="-","-",E20*F20*(1+G20))</f>
        <v>169959.94139999998</v>
      </c>
    </row>
    <row r="21" spans="2:8" x14ac:dyDescent="0.25">
      <c r="B21" s="668" t="s">
        <v>14</v>
      </c>
      <c r="C21" s="668"/>
      <c r="D21" s="668"/>
      <c r="E21" s="668"/>
      <c r="F21" s="668"/>
      <c r="G21" s="59"/>
      <c r="H21" s="62">
        <f>ROUND(SUM(H19:H20),0)</f>
        <v>341436</v>
      </c>
    </row>
    <row r="22" spans="2:8" x14ac:dyDescent="0.25">
      <c r="B22" s="579"/>
      <c r="C22" s="579"/>
      <c r="D22" s="581"/>
      <c r="E22" s="579"/>
      <c r="F22" s="581"/>
      <c r="G22" s="580"/>
      <c r="H22" s="213"/>
    </row>
    <row r="23" spans="2:8" x14ac:dyDescent="0.25">
      <c r="B23" s="577"/>
      <c r="C23" s="9"/>
      <c r="D23" s="578"/>
      <c r="E23" s="577"/>
      <c r="F23" s="2" t="s">
        <v>18</v>
      </c>
      <c r="G23" s="2"/>
      <c r="H23" s="624">
        <f>H8+H16++H21</f>
        <v>758569.7</v>
      </c>
    </row>
  </sheetData>
  <mergeCells count="7">
    <mergeCell ref="B21:F21"/>
    <mergeCell ref="B2:H2"/>
    <mergeCell ref="C3:G3"/>
    <mergeCell ref="B4:H4"/>
    <mergeCell ref="B9:H9"/>
    <mergeCell ref="B17:H17"/>
    <mergeCell ref="B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E2DE-3E07-4EC2-875C-83C7E2D33443}">
  <dimension ref="A1:I561"/>
  <sheetViews>
    <sheetView topLeftCell="A114" workbookViewId="0">
      <selection activeCell="C36" sqref="C36"/>
    </sheetView>
  </sheetViews>
  <sheetFormatPr baseColWidth="10" defaultColWidth="9" defaultRowHeight="15" x14ac:dyDescent="0.25"/>
  <cols>
    <col min="1" max="1" width="9.140625" style="232" bestFit="1" customWidth="1"/>
    <col min="2" max="2" width="5.42578125" style="232" bestFit="1" customWidth="1"/>
    <col min="3" max="3" width="49.5703125" style="232" customWidth="1"/>
    <col min="4" max="4" width="8.140625" style="232" bestFit="1" customWidth="1"/>
    <col min="5" max="5" width="15" style="232" bestFit="1" customWidth="1"/>
    <col min="6" max="6" width="11.140625" style="232" bestFit="1" customWidth="1"/>
    <col min="7" max="7" width="14" style="232" bestFit="1" customWidth="1"/>
    <col min="8" max="8" width="16" style="232" bestFit="1" customWidth="1"/>
    <col min="9" max="9" width="9.140625" style="232" bestFit="1" customWidth="1"/>
    <col min="10" max="16384" width="9" style="232"/>
  </cols>
  <sheetData>
    <row r="1" spans="1:9" x14ac:dyDescent="0.25">
      <c r="A1" s="232">
        <v>1</v>
      </c>
      <c r="B1" s="339" t="s">
        <v>2</v>
      </c>
      <c r="C1" s="339"/>
      <c r="D1" s="339"/>
      <c r="E1" s="339"/>
      <c r="F1" s="339"/>
      <c r="G1" s="339"/>
      <c r="H1" s="339"/>
    </row>
    <row r="2" spans="1:9" ht="48" customHeight="1" x14ac:dyDescent="0.25">
      <c r="A2" s="232">
        <v>2</v>
      </c>
      <c r="B2" s="233" t="s">
        <v>1</v>
      </c>
      <c r="C2" s="250" t="s">
        <v>200</v>
      </c>
      <c r="D2" s="250"/>
      <c r="E2" s="250"/>
      <c r="F2" s="250"/>
      <c r="G2" s="250"/>
      <c r="H2" s="233">
        <v>1</v>
      </c>
      <c r="I2" s="232">
        <v>3</v>
      </c>
    </row>
    <row r="3" spans="1:9" x14ac:dyDescent="0.25">
      <c r="A3" s="232">
        <v>3</v>
      </c>
      <c r="B3" s="339" t="s">
        <v>5</v>
      </c>
      <c r="C3" s="339"/>
      <c r="D3" s="339"/>
      <c r="E3" s="339"/>
      <c r="F3" s="339"/>
      <c r="G3" s="339"/>
      <c r="H3" s="339"/>
    </row>
    <row r="4" spans="1:9" x14ac:dyDescent="0.25">
      <c r="A4" s="232">
        <v>4</v>
      </c>
      <c r="B4" s="234" t="s">
        <v>7</v>
      </c>
      <c r="C4" s="234" t="s">
        <v>8</v>
      </c>
      <c r="D4" s="234" t="s">
        <v>3</v>
      </c>
      <c r="E4" s="234" t="s">
        <v>9</v>
      </c>
      <c r="F4" s="234" t="s">
        <v>10</v>
      </c>
      <c r="G4" s="234" t="s">
        <v>11</v>
      </c>
      <c r="H4" s="235" t="s">
        <v>12</v>
      </c>
    </row>
    <row r="5" spans="1:9" x14ac:dyDescent="0.25">
      <c r="A5" s="232">
        <v>5</v>
      </c>
      <c r="B5" s="236"/>
      <c r="C5" s="237" t="s">
        <v>71</v>
      </c>
      <c r="D5" s="238" t="s">
        <v>46</v>
      </c>
      <c r="E5" s="239">
        <v>50000</v>
      </c>
      <c r="F5" s="238">
        <v>0.79500000000000004</v>
      </c>
      <c r="G5" s="240">
        <v>0</v>
      </c>
      <c r="H5" s="241">
        <f>+E5*F5*(1+G5)</f>
        <v>39750</v>
      </c>
    </row>
    <row r="6" spans="1:9" x14ac:dyDescent="0.25">
      <c r="A6" s="232">
        <v>6</v>
      </c>
      <c r="B6" s="236"/>
      <c r="C6" s="237" t="s">
        <v>20</v>
      </c>
      <c r="D6" s="238" t="s">
        <v>72</v>
      </c>
      <c r="E6" s="239">
        <f>H51*0.05</f>
        <v>33889.950000000004</v>
      </c>
      <c r="F6" s="238">
        <v>1</v>
      </c>
      <c r="G6" s="240">
        <v>0</v>
      </c>
      <c r="H6" s="241">
        <f t="shared" ref="H6:H8" si="0">+E6*F6*(1+G6)</f>
        <v>33889.950000000004</v>
      </c>
    </row>
    <row r="7" spans="1:9" x14ac:dyDescent="0.25">
      <c r="A7" s="232">
        <v>7</v>
      </c>
      <c r="B7" s="236"/>
      <c r="C7" s="237" t="s">
        <v>70</v>
      </c>
      <c r="D7" s="238" t="s">
        <v>46</v>
      </c>
      <c r="E7" s="239">
        <v>97038</v>
      </c>
      <c r="F7" s="238">
        <v>2</v>
      </c>
      <c r="G7" s="240">
        <v>0</v>
      </c>
      <c r="H7" s="241">
        <f t="shared" si="0"/>
        <v>194076</v>
      </c>
    </row>
    <row r="8" spans="1:9" x14ac:dyDescent="0.25">
      <c r="A8" s="232">
        <v>8</v>
      </c>
      <c r="B8" s="236"/>
      <c r="C8" s="237" t="s">
        <v>54</v>
      </c>
      <c r="D8" s="238" t="s">
        <v>46</v>
      </c>
      <c r="E8" s="239">
        <v>10000</v>
      </c>
      <c r="F8" s="238">
        <v>0.79500000000000004</v>
      </c>
      <c r="G8" s="240">
        <v>0</v>
      </c>
      <c r="H8" s="241">
        <f t="shared" si="0"/>
        <v>7950</v>
      </c>
    </row>
    <row r="9" spans="1:9" x14ac:dyDescent="0.25">
      <c r="A9" s="232">
        <v>9</v>
      </c>
      <c r="B9" s="279"/>
      <c r="C9" s="345"/>
      <c r="D9" s="345"/>
      <c r="E9" s="346"/>
      <c r="F9" s="234" t="s">
        <v>14</v>
      </c>
      <c r="G9" s="234"/>
      <c r="H9" s="242">
        <f>ROUND(SUM(H5:H8),0)</f>
        <v>275666</v>
      </c>
    </row>
    <row r="10" spans="1:9" x14ac:dyDescent="0.25">
      <c r="A10" s="232">
        <v>10</v>
      </c>
      <c r="B10" s="339" t="s">
        <v>15</v>
      </c>
      <c r="C10" s="339"/>
      <c r="D10" s="339"/>
      <c r="E10" s="339"/>
      <c r="F10" s="339"/>
      <c r="G10" s="339"/>
      <c r="H10" s="339"/>
    </row>
    <row r="11" spans="1:9" x14ac:dyDescent="0.25">
      <c r="A11" s="232">
        <v>11</v>
      </c>
      <c r="B11" s="234" t="s">
        <v>7</v>
      </c>
      <c r="C11" s="234" t="s">
        <v>8</v>
      </c>
      <c r="D11" s="234" t="s">
        <v>3</v>
      </c>
      <c r="E11" s="234" t="s">
        <v>9</v>
      </c>
      <c r="F11" s="234" t="s">
        <v>10</v>
      </c>
      <c r="G11" s="234" t="s">
        <v>11</v>
      </c>
      <c r="H11" s="235" t="s">
        <v>12</v>
      </c>
    </row>
    <row r="12" spans="1:9" ht="45" x14ac:dyDescent="0.25">
      <c r="A12" s="232">
        <v>12</v>
      </c>
      <c r="B12" s="238"/>
      <c r="C12" s="243" t="s">
        <v>152</v>
      </c>
      <c r="D12" s="244" t="s">
        <v>25</v>
      </c>
      <c r="E12" s="245">
        <v>740300.00000000012</v>
      </c>
      <c r="F12" s="238">
        <v>1</v>
      </c>
      <c r="G12" s="240">
        <v>0</v>
      </c>
      <c r="H12" s="246">
        <f>+E12*F12</f>
        <v>740300.00000000012</v>
      </c>
    </row>
    <row r="13" spans="1:9" ht="30" x14ac:dyDescent="0.25">
      <c r="A13" s="232">
        <v>13</v>
      </c>
      <c r="B13" s="238"/>
      <c r="C13" s="247" t="s">
        <v>191</v>
      </c>
      <c r="D13" s="244" t="s">
        <v>25</v>
      </c>
      <c r="E13" s="248">
        <f>105000*1.12</f>
        <v>117600.00000000001</v>
      </c>
      <c r="F13" s="238">
        <v>1</v>
      </c>
      <c r="G13" s="240">
        <v>0</v>
      </c>
      <c r="H13" s="246">
        <f t="shared" ref="H13:H14" si="1">+E13*F13</f>
        <v>117600.00000000001</v>
      </c>
    </row>
    <row r="14" spans="1:9" x14ac:dyDescent="0.25">
      <c r="A14" s="232">
        <v>14</v>
      </c>
      <c r="B14" s="238"/>
      <c r="C14" s="247" t="s">
        <v>192</v>
      </c>
      <c r="D14" s="244" t="s">
        <v>25</v>
      </c>
      <c r="E14" s="248">
        <f>13900*1.2</f>
        <v>16680</v>
      </c>
      <c r="F14" s="238">
        <v>1</v>
      </c>
      <c r="G14" s="240">
        <v>0</v>
      </c>
      <c r="H14" s="246">
        <f t="shared" si="1"/>
        <v>16680</v>
      </c>
    </row>
    <row r="15" spans="1:9" ht="30" x14ac:dyDescent="0.25">
      <c r="A15" s="232">
        <v>15</v>
      </c>
      <c r="B15" s="238"/>
      <c r="C15" s="249" t="s">
        <v>148</v>
      </c>
      <c r="D15" s="244" t="s">
        <v>25</v>
      </c>
      <c r="E15" s="245">
        <v>512800</v>
      </c>
      <c r="F15" s="238">
        <v>2</v>
      </c>
      <c r="G15" s="240">
        <v>0</v>
      </c>
      <c r="H15" s="246">
        <f>+E15*F15</f>
        <v>1025600</v>
      </c>
    </row>
    <row r="16" spans="1:9" x14ac:dyDescent="0.25">
      <c r="A16" s="232">
        <v>16</v>
      </c>
      <c r="B16" s="238"/>
      <c r="C16" s="250" t="s">
        <v>181</v>
      </c>
      <c r="D16" s="244" t="s">
        <v>25</v>
      </c>
      <c r="E16" s="245">
        <v>451256.75840000005</v>
      </c>
      <c r="F16" s="238">
        <v>1</v>
      </c>
      <c r="G16" s="240">
        <v>0</v>
      </c>
      <c r="H16" s="246">
        <f t="shared" ref="H16:H37" si="2">+E16*F16</f>
        <v>451256.75840000005</v>
      </c>
    </row>
    <row r="17" spans="1:8" ht="30" x14ac:dyDescent="0.25">
      <c r="A17" s="232">
        <v>17</v>
      </c>
      <c r="B17" s="238"/>
      <c r="C17" s="243" t="s">
        <v>160</v>
      </c>
      <c r="D17" s="244" t="s">
        <v>25</v>
      </c>
      <c r="E17" s="245">
        <v>718000</v>
      </c>
      <c r="F17" s="238">
        <v>1</v>
      </c>
      <c r="G17" s="240">
        <v>0</v>
      </c>
      <c r="H17" s="246">
        <f>+E17*F17</f>
        <v>718000</v>
      </c>
    </row>
    <row r="18" spans="1:8" x14ac:dyDescent="0.25">
      <c r="A18" s="232">
        <v>18</v>
      </c>
      <c r="B18" s="238"/>
      <c r="C18" s="247" t="s">
        <v>58</v>
      </c>
      <c r="D18" s="244" t="s">
        <v>25</v>
      </c>
      <c r="E18" s="251">
        <v>42920</v>
      </c>
      <c r="F18" s="238">
        <v>1</v>
      </c>
      <c r="G18" s="240">
        <v>0</v>
      </c>
      <c r="H18" s="246">
        <f>+E18*F18</f>
        <v>42920</v>
      </c>
    </row>
    <row r="19" spans="1:8" x14ac:dyDescent="0.25">
      <c r="A19" s="232">
        <v>19</v>
      </c>
      <c r="B19" s="238"/>
      <c r="C19" s="252" t="s">
        <v>175</v>
      </c>
      <c r="D19" s="253" t="s">
        <v>96</v>
      </c>
      <c r="E19" s="254">
        <v>23880</v>
      </c>
      <c r="F19" s="238">
        <v>0.5</v>
      </c>
      <c r="G19" s="240">
        <v>0</v>
      </c>
      <c r="H19" s="246">
        <f>+E19*F19</f>
        <v>11940</v>
      </c>
    </row>
    <row r="20" spans="1:8" x14ac:dyDescent="0.25">
      <c r="A20" s="232">
        <v>20</v>
      </c>
      <c r="B20" s="238"/>
      <c r="C20" s="243" t="s">
        <v>159</v>
      </c>
      <c r="D20" s="244" t="s">
        <v>25</v>
      </c>
      <c r="E20" s="245">
        <v>114000</v>
      </c>
      <c r="F20" s="238">
        <v>1</v>
      </c>
      <c r="G20" s="240">
        <v>0</v>
      </c>
      <c r="H20" s="246">
        <f t="shared" si="2"/>
        <v>114000</v>
      </c>
    </row>
    <row r="21" spans="1:8" x14ac:dyDescent="0.25">
      <c r="A21" s="232">
        <v>21</v>
      </c>
      <c r="B21" s="238"/>
      <c r="C21" s="250" t="s">
        <v>23</v>
      </c>
      <c r="D21" s="244" t="s">
        <v>25</v>
      </c>
      <c r="E21" s="245">
        <v>1111200</v>
      </c>
      <c r="F21" s="238">
        <v>1</v>
      </c>
      <c r="G21" s="240">
        <v>0</v>
      </c>
      <c r="H21" s="246">
        <f t="shared" si="2"/>
        <v>1111200</v>
      </c>
    </row>
    <row r="22" spans="1:8" x14ac:dyDescent="0.25">
      <c r="A22" s="232">
        <v>22</v>
      </c>
      <c r="B22" s="238"/>
      <c r="C22" s="243" t="s">
        <v>161</v>
      </c>
      <c r="D22" s="244" t="s">
        <v>24</v>
      </c>
      <c r="E22" s="255">
        <v>5316</v>
      </c>
      <c r="F22" s="238">
        <v>4</v>
      </c>
      <c r="G22" s="240">
        <v>0</v>
      </c>
      <c r="H22" s="246">
        <f t="shared" si="2"/>
        <v>21264</v>
      </c>
    </row>
    <row r="23" spans="1:8" x14ac:dyDescent="0.25">
      <c r="A23" s="232">
        <v>23</v>
      </c>
      <c r="B23" s="238"/>
      <c r="C23" s="250" t="s">
        <v>162</v>
      </c>
      <c r="D23" s="244" t="s">
        <v>25</v>
      </c>
      <c r="E23" s="255">
        <f>1000*1.2</f>
        <v>1200</v>
      </c>
      <c r="F23" s="238">
        <v>12</v>
      </c>
      <c r="G23" s="240">
        <v>0</v>
      </c>
      <c r="H23" s="246">
        <f t="shared" si="2"/>
        <v>14400</v>
      </c>
    </row>
    <row r="24" spans="1:8" x14ac:dyDescent="0.25">
      <c r="A24" s="232">
        <v>24</v>
      </c>
      <c r="B24" s="238"/>
      <c r="C24" s="250" t="s">
        <v>110</v>
      </c>
      <c r="D24" s="244" t="s">
        <v>25</v>
      </c>
      <c r="E24" s="245">
        <v>10890</v>
      </c>
      <c r="F24" s="238">
        <v>2</v>
      </c>
      <c r="G24" s="240">
        <v>0</v>
      </c>
      <c r="H24" s="246">
        <f t="shared" si="2"/>
        <v>21780</v>
      </c>
    </row>
    <row r="25" spans="1:8" x14ac:dyDescent="0.25">
      <c r="A25" s="232">
        <v>25</v>
      </c>
      <c r="B25" s="238"/>
      <c r="C25" s="250" t="s">
        <v>31</v>
      </c>
      <c r="D25" s="244" t="s">
        <v>25</v>
      </c>
      <c r="E25" s="245">
        <v>78016.400000000009</v>
      </c>
      <c r="F25" s="238">
        <v>2</v>
      </c>
      <c r="G25" s="240">
        <v>0</v>
      </c>
      <c r="H25" s="246">
        <f t="shared" si="2"/>
        <v>156032.80000000002</v>
      </c>
    </row>
    <row r="26" spans="1:8" x14ac:dyDescent="0.25">
      <c r="A26" s="232">
        <v>26</v>
      </c>
      <c r="B26" s="238"/>
      <c r="C26" s="250" t="s">
        <v>22</v>
      </c>
      <c r="D26" s="244" t="s">
        <v>24</v>
      </c>
      <c r="E26" s="251">
        <v>7500</v>
      </c>
      <c r="F26" s="238">
        <v>8</v>
      </c>
      <c r="G26" s="240">
        <v>0</v>
      </c>
      <c r="H26" s="246">
        <f t="shared" si="2"/>
        <v>60000</v>
      </c>
    </row>
    <row r="27" spans="1:8" x14ac:dyDescent="0.25">
      <c r="A27" s="232">
        <v>27</v>
      </c>
      <c r="B27" s="238"/>
      <c r="C27" s="250" t="s">
        <v>95</v>
      </c>
      <c r="D27" s="244" t="s">
        <v>25</v>
      </c>
      <c r="E27" s="245">
        <v>8200</v>
      </c>
      <c r="F27" s="238">
        <v>10</v>
      </c>
      <c r="G27" s="240">
        <v>0</v>
      </c>
      <c r="H27" s="246">
        <f t="shared" si="2"/>
        <v>82000</v>
      </c>
    </row>
    <row r="28" spans="1:8" x14ac:dyDescent="0.25">
      <c r="A28" s="232">
        <v>28</v>
      </c>
      <c r="B28" s="238"/>
      <c r="C28" s="256" t="s">
        <v>28</v>
      </c>
      <c r="D28" s="257" t="s">
        <v>24</v>
      </c>
      <c r="E28" s="245">
        <v>3880</v>
      </c>
      <c r="F28" s="238">
        <v>15</v>
      </c>
      <c r="G28" s="240">
        <v>0</v>
      </c>
      <c r="H28" s="246">
        <f t="shared" si="2"/>
        <v>58200</v>
      </c>
    </row>
    <row r="29" spans="1:8" x14ac:dyDescent="0.25">
      <c r="A29" s="232">
        <v>29</v>
      </c>
      <c r="B29" s="238"/>
      <c r="C29" s="256" t="s">
        <v>63</v>
      </c>
      <c r="D29" s="257" t="s">
        <v>25</v>
      </c>
      <c r="E29" s="258">
        <v>20000</v>
      </c>
      <c r="F29" s="238">
        <v>6</v>
      </c>
      <c r="G29" s="240">
        <v>0.1</v>
      </c>
      <c r="H29" s="241">
        <f>+E29*F29*(1+G29)</f>
        <v>132000</v>
      </c>
    </row>
    <row r="30" spans="1:8" x14ac:dyDescent="0.25">
      <c r="A30" s="232">
        <v>30</v>
      </c>
      <c r="B30" s="238"/>
      <c r="C30" s="243" t="s">
        <v>174</v>
      </c>
      <c r="D30" s="259" t="s">
        <v>25</v>
      </c>
      <c r="E30" s="245">
        <v>700</v>
      </c>
      <c r="F30" s="238">
        <v>6</v>
      </c>
      <c r="G30" s="240">
        <v>0</v>
      </c>
      <c r="H30" s="246">
        <f t="shared" si="2"/>
        <v>4200</v>
      </c>
    </row>
    <row r="31" spans="1:8" x14ac:dyDescent="0.25">
      <c r="A31" s="232">
        <v>31</v>
      </c>
      <c r="B31" s="238"/>
      <c r="C31" s="250" t="s">
        <v>29</v>
      </c>
      <c r="D31" s="244" t="s">
        <v>24</v>
      </c>
      <c r="E31" s="251">
        <v>6870</v>
      </c>
      <c r="F31" s="238">
        <v>81</v>
      </c>
      <c r="G31" s="240">
        <v>0</v>
      </c>
      <c r="H31" s="246">
        <f t="shared" si="2"/>
        <v>556470</v>
      </c>
    </row>
    <row r="32" spans="1:8" x14ac:dyDescent="0.25">
      <c r="A32" s="232">
        <v>32</v>
      </c>
      <c r="B32" s="238"/>
      <c r="C32" s="260" t="s">
        <v>172</v>
      </c>
      <c r="D32" s="259" t="s">
        <v>24</v>
      </c>
      <c r="E32" s="245">
        <v>26307.5</v>
      </c>
      <c r="F32" s="238">
        <v>8</v>
      </c>
      <c r="G32" s="240">
        <v>0</v>
      </c>
      <c r="H32" s="246">
        <f t="shared" si="2"/>
        <v>210460</v>
      </c>
    </row>
    <row r="33" spans="1:8" x14ac:dyDescent="0.25">
      <c r="A33" s="232">
        <v>33</v>
      </c>
      <c r="B33" s="238"/>
      <c r="C33" s="260" t="s">
        <v>173</v>
      </c>
      <c r="D33" s="244" t="s">
        <v>25</v>
      </c>
      <c r="E33" s="245">
        <v>16010.800000000001</v>
      </c>
      <c r="F33" s="238">
        <v>1</v>
      </c>
      <c r="G33" s="240">
        <v>0</v>
      </c>
      <c r="H33" s="246">
        <f t="shared" si="2"/>
        <v>16010.800000000001</v>
      </c>
    </row>
    <row r="34" spans="1:8" x14ac:dyDescent="0.25">
      <c r="A34" s="232">
        <v>34</v>
      </c>
      <c r="B34" s="238"/>
      <c r="C34" s="261" t="s">
        <v>102</v>
      </c>
      <c r="D34" s="244" t="s">
        <v>25</v>
      </c>
      <c r="E34" s="245">
        <v>3740</v>
      </c>
      <c r="F34" s="238">
        <v>2</v>
      </c>
      <c r="G34" s="240">
        <v>0</v>
      </c>
      <c r="H34" s="246">
        <f t="shared" si="2"/>
        <v>7480</v>
      </c>
    </row>
    <row r="35" spans="1:8" x14ac:dyDescent="0.25">
      <c r="A35" s="232">
        <v>35</v>
      </c>
      <c r="B35" s="238"/>
      <c r="C35" s="250" t="s">
        <v>30</v>
      </c>
      <c r="D35" s="244" t="s">
        <v>24</v>
      </c>
      <c r="E35" s="245">
        <v>2000</v>
      </c>
      <c r="F35" s="238">
        <v>120</v>
      </c>
      <c r="G35" s="240">
        <v>0</v>
      </c>
      <c r="H35" s="246">
        <f t="shared" si="2"/>
        <v>240000</v>
      </c>
    </row>
    <row r="36" spans="1:8" x14ac:dyDescent="0.25">
      <c r="A36" s="232">
        <v>36</v>
      </c>
      <c r="B36" s="238"/>
      <c r="C36" s="262" t="s">
        <v>178</v>
      </c>
      <c r="D36" s="244" t="s">
        <v>24</v>
      </c>
      <c r="E36" s="251">
        <v>19900</v>
      </c>
      <c r="F36" s="263">
        <v>2</v>
      </c>
      <c r="G36" s="240">
        <v>0</v>
      </c>
      <c r="H36" s="246">
        <f t="shared" si="2"/>
        <v>39800</v>
      </c>
    </row>
    <row r="37" spans="1:8" x14ac:dyDescent="0.25">
      <c r="A37" s="232">
        <v>37</v>
      </c>
      <c r="B37" s="238"/>
      <c r="C37" s="250" t="s">
        <v>27</v>
      </c>
      <c r="D37" s="244" t="s">
        <v>25</v>
      </c>
      <c r="E37" s="251">
        <v>91620</v>
      </c>
      <c r="F37" s="238">
        <v>1</v>
      </c>
      <c r="G37" s="240">
        <v>0</v>
      </c>
      <c r="H37" s="246">
        <f t="shared" si="2"/>
        <v>91620</v>
      </c>
    </row>
    <row r="38" spans="1:8" x14ac:dyDescent="0.25">
      <c r="A38" s="232">
        <v>38</v>
      </c>
      <c r="B38" s="264"/>
      <c r="C38" s="265"/>
      <c r="D38" s="266"/>
      <c r="E38" s="267"/>
      <c r="F38" s="268" t="s">
        <v>14</v>
      </c>
      <c r="G38" s="268"/>
      <c r="H38" s="269">
        <f>SUM(H12:H37)</f>
        <v>6061214.3584000003</v>
      </c>
    </row>
    <row r="39" spans="1:8" x14ac:dyDescent="0.25">
      <c r="A39" s="232">
        <v>39</v>
      </c>
      <c r="B39" s="339" t="s">
        <v>16</v>
      </c>
      <c r="C39" s="339"/>
      <c r="D39" s="339"/>
      <c r="E39" s="339"/>
      <c r="F39" s="339"/>
      <c r="G39" s="339"/>
      <c r="H39" s="339"/>
    </row>
    <row r="40" spans="1:8" x14ac:dyDescent="0.25">
      <c r="A40" s="232">
        <v>40</v>
      </c>
      <c r="B40" s="234" t="s">
        <v>7</v>
      </c>
      <c r="C40" s="234" t="s">
        <v>0</v>
      </c>
      <c r="D40" s="234" t="s">
        <v>3</v>
      </c>
      <c r="E40" s="234" t="s">
        <v>9</v>
      </c>
      <c r="F40" s="270" t="s">
        <v>10</v>
      </c>
      <c r="G40" s="271" t="s">
        <v>11</v>
      </c>
      <c r="H40" s="235" t="s">
        <v>12</v>
      </c>
    </row>
    <row r="41" spans="1:8" x14ac:dyDescent="0.25">
      <c r="A41" s="232">
        <v>41</v>
      </c>
      <c r="B41" s="236"/>
      <c r="C41" s="250" t="s">
        <v>41</v>
      </c>
      <c r="D41" s="238" t="s">
        <v>46</v>
      </c>
      <c r="E41" s="272">
        <v>350000</v>
      </c>
      <c r="F41" s="238">
        <v>1</v>
      </c>
      <c r="G41" s="240">
        <v>0</v>
      </c>
      <c r="H41" s="241">
        <f>IF(E41="-","-",E41*F41*(1+G41))</f>
        <v>350000</v>
      </c>
    </row>
    <row r="42" spans="1:8" ht="30" x14ac:dyDescent="0.25">
      <c r="A42" s="232">
        <v>42</v>
      </c>
      <c r="B42" s="236"/>
      <c r="C42" s="273" t="s">
        <v>184</v>
      </c>
      <c r="D42" s="238" t="s">
        <v>46</v>
      </c>
      <c r="E42" s="274">
        <v>33333</v>
      </c>
      <c r="F42" s="238">
        <v>0.4</v>
      </c>
      <c r="G42" s="240">
        <v>0</v>
      </c>
      <c r="H42" s="241">
        <f>IF(E42="-","-",E42*F42*(1+G42))</f>
        <v>13333.2</v>
      </c>
    </row>
    <row r="43" spans="1:8" x14ac:dyDescent="0.25">
      <c r="A43" s="232">
        <v>43</v>
      </c>
      <c r="B43" s="236"/>
      <c r="C43" s="250" t="s">
        <v>73</v>
      </c>
      <c r="D43" s="238" t="s">
        <v>111</v>
      </c>
      <c r="E43" s="274">
        <v>121666</v>
      </c>
      <c r="F43" s="238">
        <v>9</v>
      </c>
      <c r="G43" s="240">
        <v>0</v>
      </c>
      <c r="H43" s="241">
        <f>IF(E43="-","-",E43*F43*(1+G43))</f>
        <v>1094994</v>
      </c>
    </row>
    <row r="44" spans="1:8" x14ac:dyDescent="0.25">
      <c r="A44" s="232">
        <v>44</v>
      </c>
      <c r="B44" s="275"/>
      <c r="C44" s="276"/>
      <c r="D44" s="277"/>
      <c r="E44" s="278"/>
      <c r="F44" s="238" t="s">
        <v>14</v>
      </c>
      <c r="G44" s="238"/>
      <c r="H44" s="242">
        <f>ROUND(SUM(H41:H43),0)</f>
        <v>1458327</v>
      </c>
    </row>
    <row r="45" spans="1:8" x14ac:dyDescent="0.25">
      <c r="A45" s="232">
        <v>45</v>
      </c>
      <c r="B45" s="339" t="s">
        <v>17</v>
      </c>
      <c r="C45" s="339"/>
      <c r="D45" s="339"/>
      <c r="E45" s="339"/>
      <c r="F45" s="339"/>
      <c r="G45" s="339"/>
      <c r="H45" s="339"/>
    </row>
    <row r="46" spans="1:8" x14ac:dyDescent="0.25">
      <c r="A46" s="232">
        <v>46</v>
      </c>
      <c r="B46" s="340" t="s">
        <v>8</v>
      </c>
      <c r="C46" s="341"/>
      <c r="D46" s="234" t="s">
        <v>3</v>
      </c>
      <c r="E46" s="234" t="s">
        <v>9</v>
      </c>
      <c r="F46" s="234" t="s">
        <v>10</v>
      </c>
      <c r="G46" s="234" t="s">
        <v>11</v>
      </c>
      <c r="H46" s="235" t="s">
        <v>12</v>
      </c>
    </row>
    <row r="47" spans="1:8" x14ac:dyDescent="0.25">
      <c r="A47" s="232">
        <v>47</v>
      </c>
      <c r="B47" s="236"/>
      <c r="C47" s="250" t="s">
        <v>33</v>
      </c>
      <c r="D47" s="238" t="s">
        <v>59</v>
      </c>
      <c r="E47" s="272">
        <v>140000</v>
      </c>
      <c r="F47" s="238">
        <v>2</v>
      </c>
      <c r="G47" s="240">
        <v>0</v>
      </c>
      <c r="H47" s="241">
        <f>IF(E47="-","-",E47*F47*(1+G47))</f>
        <v>280000</v>
      </c>
    </row>
    <row r="48" spans="1:8" ht="30" x14ac:dyDescent="0.25">
      <c r="A48" s="232">
        <v>48</v>
      </c>
      <c r="B48" s="279"/>
      <c r="C48" s="250" t="s">
        <v>32</v>
      </c>
      <c r="D48" s="238" t="s">
        <v>59</v>
      </c>
      <c r="E48" s="272">
        <v>97799</v>
      </c>
      <c r="F48" s="238">
        <v>1</v>
      </c>
      <c r="G48" s="240">
        <v>0</v>
      </c>
      <c r="H48" s="241">
        <f>IF(E48="-","-",E48*F48*(1+G48))</f>
        <v>97799</v>
      </c>
    </row>
    <row r="49" spans="1:9" x14ac:dyDescent="0.25">
      <c r="A49" s="232">
        <v>49</v>
      </c>
      <c r="B49" s="279"/>
      <c r="C49" s="250" t="s">
        <v>64</v>
      </c>
      <c r="D49" s="238" t="s">
        <v>59</v>
      </c>
      <c r="E49" s="272">
        <v>150000</v>
      </c>
      <c r="F49" s="238">
        <v>2</v>
      </c>
      <c r="G49" s="240">
        <v>0</v>
      </c>
      <c r="H49" s="241">
        <f>IF(E49="-","-",E49*F49*(1+G49))</f>
        <v>300000</v>
      </c>
    </row>
    <row r="50" spans="1:9" x14ac:dyDescent="0.25">
      <c r="A50" s="232">
        <v>50</v>
      </c>
      <c r="B50" s="279"/>
      <c r="C50" s="250" t="s">
        <v>19</v>
      </c>
      <c r="D50" s="238" t="s">
        <v>19</v>
      </c>
      <c r="E50" s="272" t="s">
        <v>19</v>
      </c>
      <c r="F50" s="238"/>
      <c r="G50" s="240"/>
      <c r="H50" s="241" t="str">
        <f>IF(E50="-","-",E50*F50*(1+G50))</f>
        <v>-</v>
      </c>
    </row>
    <row r="51" spans="1:9" x14ac:dyDescent="0.25">
      <c r="A51" s="232">
        <v>51</v>
      </c>
      <c r="B51" s="342" t="s">
        <v>14</v>
      </c>
      <c r="C51" s="343"/>
      <c r="D51" s="343"/>
      <c r="E51" s="343"/>
      <c r="F51" s="344"/>
      <c r="G51" s="280"/>
      <c r="H51" s="242">
        <f>ROUND(SUM(H47:H50),0)</f>
        <v>677799</v>
      </c>
    </row>
    <row r="52" spans="1:9" x14ac:dyDescent="0.25">
      <c r="A52" s="232">
        <v>52</v>
      </c>
      <c r="B52" s="320"/>
      <c r="C52" s="321"/>
      <c r="D52" s="322"/>
      <c r="E52" s="321"/>
      <c r="F52" s="322"/>
      <c r="G52" s="293"/>
      <c r="H52" s="323"/>
    </row>
    <row r="53" spans="1:9" x14ac:dyDescent="0.25">
      <c r="A53" s="232">
        <v>53</v>
      </c>
      <c r="B53" s="320"/>
      <c r="C53" s="324"/>
      <c r="D53" s="322"/>
      <c r="E53" s="321"/>
      <c r="F53" s="233" t="s">
        <v>18</v>
      </c>
      <c r="G53" s="233"/>
      <c r="H53" s="325">
        <f>H9+H38+H44+H51</f>
        <v>8473006.3584000003</v>
      </c>
    </row>
    <row r="54" spans="1:9" x14ac:dyDescent="0.25">
      <c r="A54" s="232">
        <v>54</v>
      </c>
      <c r="B54" s="320"/>
      <c r="C54" s="321"/>
      <c r="D54" s="322"/>
      <c r="E54" s="321"/>
      <c r="F54" s="350"/>
      <c r="G54" s="351"/>
      <c r="H54" s="326"/>
    </row>
    <row r="55" spans="1:9" x14ac:dyDescent="0.25">
      <c r="A55" s="232">
        <v>55</v>
      </c>
      <c r="B55" s="320"/>
      <c r="C55" s="322"/>
      <c r="D55" s="322"/>
      <c r="E55" s="321"/>
      <c r="F55" s="322"/>
      <c r="G55" s="322"/>
      <c r="H55" s="327"/>
    </row>
    <row r="56" spans="1:9" x14ac:dyDescent="0.25">
      <c r="A56" s="232">
        <v>56</v>
      </c>
      <c r="B56" s="320"/>
      <c r="C56" s="267"/>
      <c r="D56" s="322"/>
      <c r="E56" s="321"/>
      <c r="F56" s="322"/>
      <c r="G56" s="322"/>
      <c r="H56" s="323"/>
    </row>
    <row r="57" spans="1:9" x14ac:dyDescent="0.25">
      <c r="A57" s="232">
        <v>57</v>
      </c>
      <c r="B57" s="320"/>
      <c r="C57" s="321"/>
      <c r="D57" s="322"/>
      <c r="E57" s="321"/>
      <c r="F57" s="322"/>
      <c r="G57" s="322"/>
      <c r="H57" s="323"/>
    </row>
    <row r="58" spans="1:9" x14ac:dyDescent="0.25">
      <c r="A58" s="232">
        <v>58</v>
      </c>
      <c r="B58" s="328"/>
      <c r="C58" s="329"/>
      <c r="D58" s="266"/>
      <c r="E58" s="329"/>
      <c r="F58" s="266"/>
      <c r="G58" s="266"/>
      <c r="H58" s="330"/>
    </row>
    <row r="59" spans="1:9" x14ac:dyDescent="0.25">
      <c r="A59" s="232">
        <v>59</v>
      </c>
      <c r="B59" s="339" t="s">
        <v>2</v>
      </c>
      <c r="C59" s="339"/>
      <c r="D59" s="339"/>
      <c r="E59" s="339"/>
      <c r="F59" s="339"/>
      <c r="G59" s="339"/>
      <c r="H59" s="339"/>
    </row>
    <row r="60" spans="1:9" ht="14.25" customHeight="1" x14ac:dyDescent="0.25">
      <c r="A60" s="232">
        <v>60</v>
      </c>
      <c r="B60" s="233" t="s">
        <v>1</v>
      </c>
      <c r="C60" s="250" t="s">
        <v>201</v>
      </c>
      <c r="D60" s="250"/>
      <c r="E60" s="250"/>
      <c r="F60" s="250"/>
      <c r="G60" s="250"/>
      <c r="H60" s="233">
        <v>2</v>
      </c>
      <c r="I60" s="232">
        <v>6</v>
      </c>
    </row>
    <row r="61" spans="1:9" x14ac:dyDescent="0.25">
      <c r="A61" s="232">
        <v>61</v>
      </c>
      <c r="B61" s="339" t="s">
        <v>5</v>
      </c>
      <c r="C61" s="339"/>
      <c r="D61" s="339"/>
      <c r="E61" s="339"/>
      <c r="F61" s="339"/>
      <c r="G61" s="339"/>
      <c r="H61" s="339"/>
    </row>
    <row r="62" spans="1:9" x14ac:dyDescent="0.25">
      <c r="A62" s="232">
        <v>62</v>
      </c>
      <c r="B62" s="234" t="s">
        <v>7</v>
      </c>
      <c r="C62" s="235" t="s">
        <v>8</v>
      </c>
      <c r="D62" s="234" t="s">
        <v>3</v>
      </c>
      <c r="E62" s="234" t="s">
        <v>9</v>
      </c>
      <c r="F62" s="234" t="s">
        <v>10</v>
      </c>
      <c r="G62" s="234" t="s">
        <v>11</v>
      </c>
      <c r="H62" s="235" t="s">
        <v>12</v>
      </c>
    </row>
    <row r="63" spans="1:9" x14ac:dyDescent="0.25">
      <c r="A63" s="232">
        <v>63</v>
      </c>
      <c r="B63" s="236"/>
      <c r="C63" s="281" t="s">
        <v>71</v>
      </c>
      <c r="D63" s="238" t="s">
        <v>46</v>
      </c>
      <c r="E63" s="239">
        <v>50000</v>
      </c>
      <c r="F63" s="238">
        <v>0.71599999999999997</v>
      </c>
      <c r="G63" s="240">
        <v>0</v>
      </c>
      <c r="H63" s="241">
        <f>+E63*F63*(1+G63)</f>
        <v>35800</v>
      </c>
    </row>
    <row r="64" spans="1:9" x14ac:dyDescent="0.25">
      <c r="A64" s="232">
        <v>64</v>
      </c>
      <c r="B64" s="236"/>
      <c r="C64" s="237" t="s">
        <v>20</v>
      </c>
      <c r="D64" s="238" t="s">
        <v>72</v>
      </c>
      <c r="E64" s="239">
        <f>H110*0.05</f>
        <v>33889.950000000004</v>
      </c>
      <c r="F64" s="238">
        <v>1</v>
      </c>
      <c r="G64" s="240">
        <v>0</v>
      </c>
      <c r="H64" s="241">
        <f t="shared" ref="H64:H66" si="3">+E64*F64*(1+G64)</f>
        <v>33889.950000000004</v>
      </c>
    </row>
    <row r="65" spans="1:8" x14ac:dyDescent="0.25">
      <c r="A65" s="232">
        <v>65</v>
      </c>
      <c r="B65" s="236"/>
      <c r="C65" s="281" t="s">
        <v>70</v>
      </c>
      <c r="D65" s="238" t="s">
        <v>46</v>
      </c>
      <c r="E65" s="239">
        <v>97038</v>
      </c>
      <c r="F65" s="238">
        <v>2</v>
      </c>
      <c r="G65" s="240">
        <v>0</v>
      </c>
      <c r="H65" s="241">
        <f t="shared" si="3"/>
        <v>194076</v>
      </c>
    </row>
    <row r="66" spans="1:8" x14ac:dyDescent="0.25">
      <c r="A66" s="232">
        <v>66</v>
      </c>
      <c r="B66" s="236"/>
      <c r="C66" s="281" t="s">
        <v>54</v>
      </c>
      <c r="D66" s="238" t="s">
        <v>46</v>
      </c>
      <c r="E66" s="239">
        <v>10000</v>
      </c>
      <c r="F66" s="238">
        <v>0.71599999999999997</v>
      </c>
      <c r="G66" s="240">
        <v>0</v>
      </c>
      <c r="H66" s="241">
        <f t="shared" si="3"/>
        <v>7160</v>
      </c>
    </row>
    <row r="67" spans="1:8" x14ac:dyDescent="0.25">
      <c r="A67" s="232">
        <v>67</v>
      </c>
      <c r="B67" s="279"/>
      <c r="C67" s="345"/>
      <c r="D67" s="345"/>
      <c r="E67" s="346"/>
      <c r="F67" s="234" t="s">
        <v>14</v>
      </c>
      <c r="G67" s="234"/>
      <c r="H67" s="242">
        <f>ROUND(SUM(H63:H66),0)</f>
        <v>270926</v>
      </c>
    </row>
    <row r="68" spans="1:8" x14ac:dyDescent="0.25">
      <c r="A68" s="232">
        <v>68</v>
      </c>
      <c r="B68" s="339" t="s">
        <v>15</v>
      </c>
      <c r="C68" s="339"/>
      <c r="D68" s="339"/>
      <c r="E68" s="339"/>
      <c r="F68" s="339"/>
      <c r="G68" s="339"/>
      <c r="H68" s="339"/>
    </row>
    <row r="69" spans="1:8" x14ac:dyDescent="0.25">
      <c r="A69" s="232">
        <v>69</v>
      </c>
      <c r="B69" s="234" t="s">
        <v>7</v>
      </c>
      <c r="C69" s="235" t="s">
        <v>8</v>
      </c>
      <c r="D69" s="234" t="s">
        <v>3</v>
      </c>
      <c r="E69" s="234" t="s">
        <v>9</v>
      </c>
      <c r="F69" s="234" t="s">
        <v>10</v>
      </c>
      <c r="G69" s="234" t="s">
        <v>11</v>
      </c>
      <c r="H69" s="235" t="s">
        <v>12</v>
      </c>
    </row>
    <row r="70" spans="1:8" ht="45" x14ac:dyDescent="0.25">
      <c r="A70" s="232">
        <v>70</v>
      </c>
      <c r="B70" s="238"/>
      <c r="C70" s="243" t="s">
        <v>152</v>
      </c>
      <c r="D70" s="244" t="s">
        <v>25</v>
      </c>
      <c r="E70" s="245">
        <v>740300.00000000012</v>
      </c>
      <c r="F70" s="238">
        <v>1</v>
      </c>
      <c r="G70" s="240">
        <v>0</v>
      </c>
      <c r="H70" s="246">
        <f>+E70*F70</f>
        <v>740300.00000000012</v>
      </c>
    </row>
    <row r="71" spans="1:8" ht="30" x14ac:dyDescent="0.25">
      <c r="A71" s="232">
        <v>71</v>
      </c>
      <c r="B71" s="238"/>
      <c r="C71" s="247" t="s">
        <v>191</v>
      </c>
      <c r="D71" s="244" t="s">
        <v>25</v>
      </c>
      <c r="E71" s="248">
        <f>105000*1.12</f>
        <v>117600.00000000001</v>
      </c>
      <c r="F71" s="238">
        <v>1</v>
      </c>
      <c r="G71" s="240">
        <v>0</v>
      </c>
      <c r="H71" s="246">
        <f t="shared" ref="H71:H72" si="4">+E71*F71</f>
        <v>117600.00000000001</v>
      </c>
    </row>
    <row r="72" spans="1:8" x14ac:dyDescent="0.25">
      <c r="A72" s="232">
        <v>72</v>
      </c>
      <c r="B72" s="238"/>
      <c r="C72" s="247" t="s">
        <v>192</v>
      </c>
      <c r="D72" s="244" t="s">
        <v>25</v>
      </c>
      <c r="E72" s="248">
        <f>13900*1.2</f>
        <v>16680</v>
      </c>
      <c r="F72" s="238">
        <v>1</v>
      </c>
      <c r="G72" s="240">
        <v>0</v>
      </c>
      <c r="H72" s="246">
        <f t="shared" si="4"/>
        <v>16680</v>
      </c>
    </row>
    <row r="73" spans="1:8" ht="30" x14ac:dyDescent="0.25">
      <c r="A73" s="232">
        <v>73</v>
      </c>
      <c r="B73" s="238"/>
      <c r="C73" s="249" t="s">
        <v>148</v>
      </c>
      <c r="D73" s="244" t="s">
        <v>25</v>
      </c>
      <c r="E73" s="245">
        <v>512800</v>
      </c>
      <c r="F73" s="238">
        <v>1</v>
      </c>
      <c r="G73" s="240">
        <v>0</v>
      </c>
      <c r="H73" s="246">
        <f>+E73*F73</f>
        <v>512800</v>
      </c>
    </row>
    <row r="74" spans="1:8" x14ac:dyDescent="0.25">
      <c r="A74" s="232">
        <v>74</v>
      </c>
      <c r="B74" s="238"/>
      <c r="C74" s="247" t="s">
        <v>181</v>
      </c>
      <c r="D74" s="244" t="s">
        <v>25</v>
      </c>
      <c r="E74" s="245">
        <v>451256.75840000005</v>
      </c>
      <c r="F74" s="238">
        <v>1</v>
      </c>
      <c r="G74" s="240">
        <v>0</v>
      </c>
      <c r="H74" s="246">
        <f t="shared" ref="H74:H95" si="5">+E74*F74</f>
        <v>451256.75840000005</v>
      </c>
    </row>
    <row r="75" spans="1:8" ht="30" x14ac:dyDescent="0.25">
      <c r="A75" s="232">
        <v>75</v>
      </c>
      <c r="B75" s="238"/>
      <c r="C75" s="243" t="s">
        <v>160</v>
      </c>
      <c r="D75" s="244" t="s">
        <v>25</v>
      </c>
      <c r="E75" s="245">
        <v>718000</v>
      </c>
      <c r="F75" s="238">
        <v>1</v>
      </c>
      <c r="G75" s="240">
        <v>0</v>
      </c>
      <c r="H75" s="246">
        <f>+E75*F75</f>
        <v>718000</v>
      </c>
    </row>
    <row r="76" spans="1:8" x14ac:dyDescent="0.25">
      <c r="A76" s="232">
        <v>76</v>
      </c>
      <c r="B76" s="238"/>
      <c r="C76" s="247" t="s">
        <v>58</v>
      </c>
      <c r="D76" s="244" t="s">
        <v>25</v>
      </c>
      <c r="E76" s="251">
        <v>42920</v>
      </c>
      <c r="F76" s="238">
        <v>1</v>
      </c>
      <c r="G76" s="240">
        <v>0</v>
      </c>
      <c r="H76" s="246">
        <f>+E76*F76</f>
        <v>42920</v>
      </c>
    </row>
    <row r="77" spans="1:8" x14ac:dyDescent="0.25">
      <c r="A77" s="232">
        <v>77</v>
      </c>
      <c r="B77" s="238"/>
      <c r="C77" s="252" t="s">
        <v>175</v>
      </c>
      <c r="D77" s="253" t="s">
        <v>96</v>
      </c>
      <c r="E77" s="254">
        <v>23880</v>
      </c>
      <c r="F77" s="238">
        <v>0.5</v>
      </c>
      <c r="G77" s="240">
        <v>0</v>
      </c>
      <c r="H77" s="246">
        <f>+E77*F77</f>
        <v>11940</v>
      </c>
    </row>
    <row r="78" spans="1:8" x14ac:dyDescent="0.25">
      <c r="A78" s="232">
        <v>78</v>
      </c>
      <c r="B78" s="238"/>
      <c r="C78" s="243" t="s">
        <v>159</v>
      </c>
      <c r="D78" s="244" t="s">
        <v>25</v>
      </c>
      <c r="E78" s="245">
        <v>114000</v>
      </c>
      <c r="F78" s="238">
        <v>1</v>
      </c>
      <c r="G78" s="240">
        <v>0</v>
      </c>
      <c r="H78" s="246">
        <f t="shared" si="5"/>
        <v>114000</v>
      </c>
    </row>
    <row r="79" spans="1:8" x14ac:dyDescent="0.25">
      <c r="A79" s="232">
        <v>79</v>
      </c>
      <c r="B79" s="238"/>
      <c r="C79" s="247" t="s">
        <v>23</v>
      </c>
      <c r="D79" s="244" t="s">
        <v>25</v>
      </c>
      <c r="E79" s="245">
        <v>1111210</v>
      </c>
      <c r="F79" s="238">
        <v>1</v>
      </c>
      <c r="G79" s="240">
        <v>0</v>
      </c>
      <c r="H79" s="246">
        <f t="shared" si="5"/>
        <v>1111210</v>
      </c>
    </row>
    <row r="80" spans="1:8" x14ac:dyDescent="0.25">
      <c r="A80" s="232">
        <v>80</v>
      </c>
      <c r="B80" s="238"/>
      <c r="C80" s="243" t="s">
        <v>161</v>
      </c>
      <c r="D80" s="244" t="s">
        <v>24</v>
      </c>
      <c r="E80" s="255">
        <v>5316</v>
      </c>
      <c r="F80" s="238">
        <v>4</v>
      </c>
      <c r="G80" s="240">
        <v>0</v>
      </c>
      <c r="H80" s="246">
        <f t="shared" si="5"/>
        <v>21264</v>
      </c>
    </row>
    <row r="81" spans="1:8" x14ac:dyDescent="0.25">
      <c r="A81" s="232">
        <v>81</v>
      </c>
      <c r="B81" s="238"/>
      <c r="C81" s="250" t="s">
        <v>162</v>
      </c>
      <c r="D81" s="244" t="s">
        <v>25</v>
      </c>
      <c r="E81" s="255">
        <f>1000*1.2</f>
        <v>1200</v>
      </c>
      <c r="F81" s="238">
        <v>12</v>
      </c>
      <c r="G81" s="240">
        <v>0</v>
      </c>
      <c r="H81" s="246">
        <f t="shared" si="5"/>
        <v>14400</v>
      </c>
    </row>
    <row r="82" spans="1:8" x14ac:dyDescent="0.25">
      <c r="A82" s="232">
        <v>82</v>
      </c>
      <c r="B82" s="238"/>
      <c r="C82" s="247" t="s">
        <v>21</v>
      </c>
      <c r="D82" s="244" t="s">
        <v>25</v>
      </c>
      <c r="E82" s="245">
        <v>10890</v>
      </c>
      <c r="F82" s="238">
        <v>1</v>
      </c>
      <c r="G82" s="240">
        <v>0</v>
      </c>
      <c r="H82" s="246">
        <f t="shared" si="5"/>
        <v>10890</v>
      </c>
    </row>
    <row r="83" spans="1:8" x14ac:dyDescent="0.25">
      <c r="A83" s="232">
        <v>83</v>
      </c>
      <c r="B83" s="238"/>
      <c r="C83" s="247" t="s">
        <v>31</v>
      </c>
      <c r="D83" s="244" t="s">
        <v>25</v>
      </c>
      <c r="E83" s="245">
        <v>78016.400000000009</v>
      </c>
      <c r="F83" s="238">
        <v>1</v>
      </c>
      <c r="G83" s="240">
        <v>0</v>
      </c>
      <c r="H83" s="246">
        <f t="shared" si="5"/>
        <v>78016.400000000009</v>
      </c>
    </row>
    <row r="84" spans="1:8" x14ac:dyDescent="0.25">
      <c r="A84" s="232">
        <v>84</v>
      </c>
      <c r="B84" s="238"/>
      <c r="C84" s="247" t="s">
        <v>22</v>
      </c>
      <c r="D84" s="244" t="s">
        <v>24</v>
      </c>
      <c r="E84" s="251">
        <v>7500</v>
      </c>
      <c r="F84" s="238">
        <v>6</v>
      </c>
      <c r="G84" s="240">
        <v>0</v>
      </c>
      <c r="H84" s="246">
        <f t="shared" si="5"/>
        <v>45000</v>
      </c>
    </row>
    <row r="85" spans="1:8" x14ac:dyDescent="0.25">
      <c r="A85" s="232">
        <v>85</v>
      </c>
      <c r="B85" s="238"/>
      <c r="C85" s="247" t="s">
        <v>95</v>
      </c>
      <c r="D85" s="244" t="s">
        <v>25</v>
      </c>
      <c r="E85" s="245">
        <v>8200</v>
      </c>
      <c r="F85" s="238">
        <v>6</v>
      </c>
      <c r="G85" s="240">
        <v>0</v>
      </c>
      <c r="H85" s="246">
        <f t="shared" si="5"/>
        <v>49200</v>
      </c>
    </row>
    <row r="86" spans="1:8" x14ac:dyDescent="0.25">
      <c r="A86" s="232">
        <v>86</v>
      </c>
      <c r="B86" s="238"/>
      <c r="C86" s="282" t="s">
        <v>28</v>
      </c>
      <c r="D86" s="257" t="s">
        <v>24</v>
      </c>
      <c r="E86" s="245">
        <v>3880</v>
      </c>
      <c r="F86" s="238">
        <v>15</v>
      </c>
      <c r="G86" s="240">
        <v>0</v>
      </c>
      <c r="H86" s="246">
        <f t="shared" si="5"/>
        <v>58200</v>
      </c>
    </row>
    <row r="87" spans="1:8" x14ac:dyDescent="0.25">
      <c r="A87" s="232">
        <v>87</v>
      </c>
      <c r="B87" s="238"/>
      <c r="C87" s="256" t="s">
        <v>63</v>
      </c>
      <c r="D87" s="257" t="s">
        <v>25</v>
      </c>
      <c r="E87" s="258">
        <v>20000</v>
      </c>
      <c r="F87" s="238">
        <v>6</v>
      </c>
      <c r="G87" s="240">
        <v>0.1</v>
      </c>
      <c r="H87" s="241">
        <f>+E87*F87*(1+G87)</f>
        <v>132000</v>
      </c>
    </row>
    <row r="88" spans="1:8" x14ac:dyDescent="0.25">
      <c r="A88" s="232">
        <v>88</v>
      </c>
      <c r="B88" s="238"/>
      <c r="C88" s="243" t="s">
        <v>174</v>
      </c>
      <c r="D88" s="259" t="s">
        <v>25</v>
      </c>
      <c r="E88" s="245">
        <v>700</v>
      </c>
      <c r="F88" s="238">
        <v>6</v>
      </c>
      <c r="G88" s="240">
        <v>0</v>
      </c>
      <c r="H88" s="246">
        <f t="shared" si="5"/>
        <v>4200</v>
      </c>
    </row>
    <row r="89" spans="1:8" x14ac:dyDescent="0.25">
      <c r="A89" s="232">
        <v>89</v>
      </c>
      <c r="B89" s="238"/>
      <c r="C89" s="247" t="s">
        <v>29</v>
      </c>
      <c r="D89" s="244" t="s">
        <v>24</v>
      </c>
      <c r="E89" s="245">
        <v>6870</v>
      </c>
      <c r="F89" s="238">
        <v>73</v>
      </c>
      <c r="G89" s="240">
        <v>0</v>
      </c>
      <c r="H89" s="246">
        <f t="shared" si="5"/>
        <v>501510</v>
      </c>
    </row>
    <row r="90" spans="1:8" x14ac:dyDescent="0.25">
      <c r="A90" s="232">
        <v>90</v>
      </c>
      <c r="B90" s="238"/>
      <c r="C90" s="260" t="s">
        <v>172</v>
      </c>
      <c r="D90" s="259" t="s">
        <v>24</v>
      </c>
      <c r="E90" s="245">
        <v>26307.5</v>
      </c>
      <c r="F90" s="238">
        <v>4</v>
      </c>
      <c r="G90" s="240">
        <v>0</v>
      </c>
      <c r="H90" s="246">
        <f t="shared" si="5"/>
        <v>105230</v>
      </c>
    </row>
    <row r="91" spans="1:8" x14ac:dyDescent="0.25">
      <c r="A91" s="232">
        <v>91</v>
      </c>
      <c r="B91" s="238"/>
      <c r="C91" s="260" t="s">
        <v>173</v>
      </c>
      <c r="D91" s="244" t="s">
        <v>25</v>
      </c>
      <c r="E91" s="245">
        <v>16010.800000000001</v>
      </c>
      <c r="F91" s="238">
        <v>1</v>
      </c>
      <c r="G91" s="240">
        <v>0</v>
      </c>
      <c r="H91" s="246">
        <f t="shared" si="5"/>
        <v>16010.800000000001</v>
      </c>
    </row>
    <row r="92" spans="1:8" x14ac:dyDescent="0.25">
      <c r="A92" s="232">
        <v>92</v>
      </c>
      <c r="B92" s="238"/>
      <c r="C92" s="261" t="s">
        <v>102</v>
      </c>
      <c r="D92" s="244" t="s">
        <v>25</v>
      </c>
      <c r="E92" s="245">
        <v>3740</v>
      </c>
      <c r="F92" s="238">
        <v>2</v>
      </c>
      <c r="G92" s="240">
        <v>0</v>
      </c>
      <c r="H92" s="246">
        <f t="shared" si="5"/>
        <v>7480</v>
      </c>
    </row>
    <row r="93" spans="1:8" x14ac:dyDescent="0.25">
      <c r="A93" s="232">
        <v>93</v>
      </c>
      <c r="B93" s="238"/>
      <c r="C93" s="247" t="s">
        <v>30</v>
      </c>
      <c r="D93" s="244" t="s">
        <v>24</v>
      </c>
      <c r="E93" s="245">
        <v>2000</v>
      </c>
      <c r="F93" s="238">
        <v>120</v>
      </c>
      <c r="G93" s="240">
        <v>0</v>
      </c>
      <c r="H93" s="246">
        <f t="shared" si="5"/>
        <v>240000</v>
      </c>
    </row>
    <row r="94" spans="1:8" x14ac:dyDescent="0.25">
      <c r="A94" s="232">
        <v>94</v>
      </c>
      <c r="B94" s="238"/>
      <c r="C94" s="262" t="s">
        <v>178</v>
      </c>
      <c r="D94" s="244" t="s">
        <v>24</v>
      </c>
      <c r="E94" s="251">
        <v>19900</v>
      </c>
      <c r="F94" s="263">
        <v>2</v>
      </c>
      <c r="G94" s="240">
        <v>0</v>
      </c>
      <c r="H94" s="246">
        <f t="shared" si="5"/>
        <v>39800</v>
      </c>
    </row>
    <row r="95" spans="1:8" x14ac:dyDescent="0.25">
      <c r="A95" s="232">
        <v>95</v>
      </c>
      <c r="B95" s="238"/>
      <c r="C95" s="247" t="s">
        <v>27</v>
      </c>
      <c r="D95" s="244" t="s">
        <v>25</v>
      </c>
      <c r="E95" s="251">
        <v>89180</v>
      </c>
      <c r="F95" s="238">
        <v>1</v>
      </c>
      <c r="G95" s="240">
        <v>0</v>
      </c>
      <c r="H95" s="246">
        <f t="shared" si="5"/>
        <v>89180</v>
      </c>
    </row>
    <row r="96" spans="1:8" x14ac:dyDescent="0.25">
      <c r="A96" s="232">
        <v>96</v>
      </c>
      <c r="B96" s="264"/>
      <c r="C96" s="265"/>
      <c r="D96" s="266"/>
      <c r="E96" s="267"/>
      <c r="F96" s="268" t="s">
        <v>14</v>
      </c>
      <c r="G96" s="268"/>
      <c r="H96" s="269">
        <f>SUM(H70:H95)</f>
        <v>5249087.9583999999</v>
      </c>
    </row>
    <row r="97" spans="1:8" x14ac:dyDescent="0.25">
      <c r="A97" s="232">
        <v>97</v>
      </c>
      <c r="B97" s="339" t="s">
        <v>16</v>
      </c>
      <c r="C97" s="339"/>
      <c r="D97" s="339"/>
      <c r="E97" s="339"/>
      <c r="F97" s="339"/>
      <c r="G97" s="339"/>
      <c r="H97" s="339"/>
    </row>
    <row r="98" spans="1:8" x14ac:dyDescent="0.25">
      <c r="A98" s="232">
        <v>98</v>
      </c>
      <c r="B98" s="234" t="s">
        <v>7</v>
      </c>
      <c r="C98" s="235" t="s">
        <v>0</v>
      </c>
      <c r="D98" s="234" t="s">
        <v>3</v>
      </c>
      <c r="E98" s="234" t="s">
        <v>9</v>
      </c>
      <c r="F98" s="270" t="s">
        <v>10</v>
      </c>
      <c r="G98" s="271" t="s">
        <v>11</v>
      </c>
      <c r="H98" s="235" t="s">
        <v>12</v>
      </c>
    </row>
    <row r="99" spans="1:8" x14ac:dyDescent="0.25">
      <c r="A99" s="232">
        <v>99</v>
      </c>
      <c r="B99" s="236"/>
      <c r="C99" s="247" t="s">
        <v>41</v>
      </c>
      <c r="D99" s="238" t="s">
        <v>46</v>
      </c>
      <c r="E99" s="272">
        <v>350000</v>
      </c>
      <c r="F99" s="238">
        <v>1</v>
      </c>
      <c r="G99" s="240">
        <v>0</v>
      </c>
      <c r="H99" s="241">
        <f>IF(E99="-","-",E99*F99*(1+G99))</f>
        <v>350000</v>
      </c>
    </row>
    <row r="100" spans="1:8" ht="30" x14ac:dyDescent="0.25">
      <c r="A100" s="232">
        <v>100</v>
      </c>
      <c r="B100" s="236"/>
      <c r="C100" s="273" t="s">
        <v>184</v>
      </c>
      <c r="D100" s="238" t="s">
        <v>46</v>
      </c>
      <c r="E100" s="274">
        <v>33333</v>
      </c>
      <c r="F100" s="238">
        <v>0.36</v>
      </c>
      <c r="G100" s="240">
        <v>0</v>
      </c>
      <c r="H100" s="241">
        <f>IF(E100="-","-",E100*F100*(1+G100))</f>
        <v>11999.88</v>
      </c>
    </row>
    <row r="101" spans="1:8" x14ac:dyDescent="0.25">
      <c r="A101" s="232">
        <v>101</v>
      </c>
      <c r="B101" s="236"/>
      <c r="C101" s="247" t="s">
        <v>73</v>
      </c>
      <c r="D101" s="238" t="s">
        <v>111</v>
      </c>
      <c r="E101" s="274">
        <v>121666</v>
      </c>
      <c r="F101" s="238">
        <v>10</v>
      </c>
      <c r="G101" s="240">
        <v>0</v>
      </c>
      <c r="H101" s="241">
        <f>IF(E101="-","-",E101*F101*(1+G101))</f>
        <v>1216660</v>
      </c>
    </row>
    <row r="102" spans="1:8" x14ac:dyDescent="0.25">
      <c r="A102" s="232">
        <v>102</v>
      </c>
      <c r="B102" s="275"/>
      <c r="C102" s="276"/>
      <c r="D102" s="277"/>
      <c r="E102" s="278"/>
      <c r="F102" s="238" t="s">
        <v>14</v>
      </c>
      <c r="G102" s="238"/>
      <c r="H102" s="242">
        <f>ROUND(SUM(H99:H101),0)</f>
        <v>1578660</v>
      </c>
    </row>
    <row r="103" spans="1:8" x14ac:dyDescent="0.25">
      <c r="A103" s="232">
        <v>103</v>
      </c>
      <c r="B103" s="339" t="s">
        <v>17</v>
      </c>
      <c r="C103" s="339"/>
      <c r="D103" s="339"/>
      <c r="E103" s="339"/>
      <c r="F103" s="339"/>
      <c r="G103" s="339"/>
      <c r="H103" s="339"/>
    </row>
    <row r="104" spans="1:8" x14ac:dyDescent="0.25">
      <c r="A104" s="232">
        <v>104</v>
      </c>
      <c r="B104" s="340" t="s">
        <v>8</v>
      </c>
      <c r="C104" s="341"/>
      <c r="D104" s="234" t="s">
        <v>3</v>
      </c>
      <c r="E104" s="234" t="s">
        <v>9</v>
      </c>
      <c r="F104" s="234" t="s">
        <v>10</v>
      </c>
      <c r="G104" s="234" t="s">
        <v>11</v>
      </c>
      <c r="H104" s="235" t="s">
        <v>12</v>
      </c>
    </row>
    <row r="105" spans="1:8" x14ac:dyDescent="0.25">
      <c r="A105" s="232">
        <v>105</v>
      </c>
      <c r="B105" s="236"/>
      <c r="C105" s="247" t="s">
        <v>33</v>
      </c>
      <c r="D105" s="238" t="s">
        <v>59</v>
      </c>
      <c r="E105" s="272">
        <v>140000</v>
      </c>
      <c r="F105" s="238">
        <v>2</v>
      </c>
      <c r="G105" s="240">
        <v>0</v>
      </c>
      <c r="H105" s="241">
        <f>IF(E105="-","-",E105*F105*(1+G105))</f>
        <v>280000</v>
      </c>
    </row>
    <row r="106" spans="1:8" ht="30" x14ac:dyDescent="0.25">
      <c r="A106" s="232">
        <v>106</v>
      </c>
      <c r="B106" s="279"/>
      <c r="C106" s="247" t="s">
        <v>32</v>
      </c>
      <c r="D106" s="238" t="s">
        <v>59</v>
      </c>
      <c r="E106" s="272">
        <v>97799</v>
      </c>
      <c r="F106" s="238">
        <v>1</v>
      </c>
      <c r="G106" s="240">
        <v>0</v>
      </c>
      <c r="H106" s="241">
        <f>IF(E106="-","-",E106*F106*(1+G106))</f>
        <v>97799</v>
      </c>
    </row>
    <row r="107" spans="1:8" x14ac:dyDescent="0.25">
      <c r="A107" s="232">
        <v>107</v>
      </c>
      <c r="B107" s="279"/>
      <c r="C107" s="247" t="s">
        <v>64</v>
      </c>
      <c r="D107" s="238" t="s">
        <v>59</v>
      </c>
      <c r="E107" s="272">
        <v>150000</v>
      </c>
      <c r="F107" s="238">
        <v>2</v>
      </c>
      <c r="G107" s="240">
        <v>0</v>
      </c>
      <c r="H107" s="241">
        <f>IF(E107="-","-",E107*F107*(1+G107))</f>
        <v>300000</v>
      </c>
    </row>
    <row r="108" spans="1:8" x14ac:dyDescent="0.25">
      <c r="A108" s="232">
        <v>108</v>
      </c>
      <c r="B108" s="279"/>
      <c r="C108" s="247"/>
      <c r="D108" s="238"/>
      <c r="E108" s="272"/>
      <c r="F108" s="238"/>
      <c r="G108" s="240"/>
      <c r="H108" s="241"/>
    </row>
    <row r="109" spans="1:8" x14ac:dyDescent="0.25">
      <c r="A109" s="232">
        <v>109</v>
      </c>
      <c r="B109" s="279"/>
      <c r="C109" s="247" t="s">
        <v>19</v>
      </c>
      <c r="D109" s="238" t="s">
        <v>19</v>
      </c>
      <c r="E109" s="272" t="s">
        <v>19</v>
      </c>
      <c r="F109" s="238"/>
      <c r="G109" s="240"/>
      <c r="H109" s="241" t="str">
        <f>IF(E109="-","-",E109*F109*(1+G109))</f>
        <v>-</v>
      </c>
    </row>
    <row r="110" spans="1:8" x14ac:dyDescent="0.25">
      <c r="A110" s="232">
        <v>110</v>
      </c>
      <c r="B110" s="342" t="s">
        <v>14</v>
      </c>
      <c r="C110" s="343"/>
      <c r="D110" s="343"/>
      <c r="E110" s="343"/>
      <c r="F110" s="344"/>
      <c r="G110" s="280"/>
      <c r="H110" s="242">
        <f>ROUND(SUM(H105:H109),0)</f>
        <v>677799</v>
      </c>
    </row>
    <row r="111" spans="1:8" x14ac:dyDescent="0.25">
      <c r="A111" s="232">
        <v>111</v>
      </c>
      <c r="B111" s="320"/>
      <c r="C111" s="327"/>
      <c r="D111" s="322"/>
      <c r="E111" s="321"/>
      <c r="F111" s="322"/>
      <c r="G111" s="322"/>
      <c r="H111" s="323"/>
    </row>
    <row r="112" spans="1:8" x14ac:dyDescent="0.25">
      <c r="A112" s="232">
        <v>112</v>
      </c>
      <c r="B112" s="320"/>
      <c r="C112" s="331"/>
      <c r="D112" s="322"/>
      <c r="E112" s="321"/>
      <c r="F112" s="233" t="s">
        <v>18</v>
      </c>
      <c r="G112" s="233"/>
      <c r="H112" s="325">
        <f>H67+H96+H102+H110</f>
        <v>7776472.9583999999</v>
      </c>
    </row>
    <row r="113" spans="1:9" x14ac:dyDescent="0.25">
      <c r="A113" s="232">
        <v>113</v>
      </c>
      <c r="B113" s="320"/>
      <c r="C113" s="327"/>
      <c r="D113" s="322"/>
      <c r="E113" s="321"/>
      <c r="F113" s="322"/>
      <c r="G113" s="322"/>
      <c r="H113" s="323"/>
    </row>
    <row r="114" spans="1:9" x14ac:dyDescent="0.25">
      <c r="A114" s="232">
        <v>114</v>
      </c>
      <c r="B114" s="320"/>
      <c r="C114" s="332"/>
      <c r="D114" s="322"/>
      <c r="E114" s="321"/>
      <c r="F114" s="322"/>
      <c r="G114" s="322"/>
      <c r="H114" s="323"/>
    </row>
    <row r="115" spans="1:9" x14ac:dyDescent="0.25">
      <c r="A115" s="232">
        <v>115</v>
      </c>
      <c r="B115" s="320"/>
      <c r="D115" s="322"/>
      <c r="E115" s="321"/>
      <c r="F115" s="322"/>
      <c r="G115" s="322"/>
      <c r="H115" s="323"/>
    </row>
    <row r="116" spans="1:9" x14ac:dyDescent="0.25">
      <c r="A116" s="232">
        <v>116</v>
      </c>
      <c r="B116" s="320"/>
      <c r="C116" s="327"/>
      <c r="D116" s="322"/>
      <c r="E116" s="321"/>
      <c r="F116" s="322"/>
      <c r="G116" s="322"/>
      <c r="H116" s="323"/>
    </row>
    <row r="117" spans="1:9" x14ac:dyDescent="0.25">
      <c r="A117" s="232">
        <v>117</v>
      </c>
      <c r="B117" s="328"/>
      <c r="C117" s="333"/>
      <c r="D117" s="266"/>
      <c r="E117" s="329"/>
      <c r="F117" s="266"/>
      <c r="G117" s="266"/>
      <c r="H117" s="330"/>
    </row>
    <row r="118" spans="1:9" x14ac:dyDescent="0.25">
      <c r="A118" s="232">
        <v>118</v>
      </c>
      <c r="B118" s="339" t="s">
        <v>2</v>
      </c>
      <c r="C118" s="339"/>
      <c r="D118" s="339"/>
      <c r="E118" s="339"/>
      <c r="F118" s="339"/>
      <c r="G118" s="339"/>
      <c r="H118" s="339"/>
    </row>
    <row r="119" spans="1:9" ht="14.25" customHeight="1" x14ac:dyDescent="0.25">
      <c r="A119" s="232">
        <v>119</v>
      </c>
      <c r="B119" s="233" t="s">
        <v>1</v>
      </c>
      <c r="C119" s="250" t="s">
        <v>195</v>
      </c>
      <c r="D119" s="250"/>
      <c r="E119" s="250"/>
      <c r="F119" s="250"/>
      <c r="G119" s="250"/>
      <c r="H119" s="233">
        <v>3</v>
      </c>
      <c r="I119" s="283">
        <v>5</v>
      </c>
    </row>
    <row r="120" spans="1:9" x14ac:dyDescent="0.25">
      <c r="A120" s="232">
        <v>120</v>
      </c>
      <c r="B120" s="339" t="s">
        <v>5</v>
      </c>
      <c r="C120" s="339"/>
      <c r="D120" s="339"/>
      <c r="E120" s="339"/>
      <c r="F120" s="339"/>
      <c r="G120" s="339"/>
      <c r="H120" s="339"/>
    </row>
    <row r="121" spans="1:9" x14ac:dyDescent="0.25">
      <c r="A121" s="232">
        <v>121</v>
      </c>
      <c r="B121" s="234" t="s">
        <v>7</v>
      </c>
      <c r="C121" s="235" t="s">
        <v>8</v>
      </c>
      <c r="D121" s="235" t="s">
        <v>3</v>
      </c>
      <c r="E121" s="234" t="s">
        <v>9</v>
      </c>
      <c r="F121" s="284" t="s">
        <v>10</v>
      </c>
      <c r="G121" s="285" t="s">
        <v>11</v>
      </c>
      <c r="H121" s="235" t="s">
        <v>12</v>
      </c>
    </row>
    <row r="122" spans="1:9" x14ac:dyDescent="0.25">
      <c r="A122" s="232">
        <v>122</v>
      </c>
      <c r="B122" s="236"/>
      <c r="C122" s="281" t="s">
        <v>71</v>
      </c>
      <c r="D122" s="238" t="s">
        <v>46</v>
      </c>
      <c r="E122" s="239">
        <v>50000</v>
      </c>
      <c r="F122" s="238">
        <v>1.698</v>
      </c>
      <c r="G122" s="240">
        <v>0</v>
      </c>
      <c r="H122" s="241">
        <f>+E122*F122*(1+G122)</f>
        <v>84900</v>
      </c>
    </row>
    <row r="123" spans="1:9" x14ac:dyDescent="0.25">
      <c r="A123" s="232">
        <v>123</v>
      </c>
      <c r="B123" s="236"/>
      <c r="C123" s="237" t="s">
        <v>20</v>
      </c>
      <c r="D123" s="238" t="s">
        <v>72</v>
      </c>
      <c r="E123" s="239">
        <f>H174*0.05</f>
        <v>90170.8</v>
      </c>
      <c r="F123" s="238">
        <v>1</v>
      </c>
      <c r="G123" s="240">
        <v>0</v>
      </c>
      <c r="H123" s="241">
        <f t="shared" ref="H123:H125" si="6">+E123*F123*(1+G123)</f>
        <v>90170.8</v>
      </c>
    </row>
    <row r="124" spans="1:9" x14ac:dyDescent="0.25">
      <c r="A124" s="232">
        <v>124</v>
      </c>
      <c r="B124" s="236"/>
      <c r="C124" s="281" t="s">
        <v>70</v>
      </c>
      <c r="D124" s="238" t="s">
        <v>46</v>
      </c>
      <c r="E124" s="239">
        <v>97038</v>
      </c>
      <c r="F124" s="238">
        <v>2</v>
      </c>
      <c r="G124" s="240">
        <v>0</v>
      </c>
      <c r="H124" s="241">
        <f t="shared" si="6"/>
        <v>194076</v>
      </c>
    </row>
    <row r="125" spans="1:9" x14ac:dyDescent="0.25">
      <c r="A125" s="232">
        <v>125</v>
      </c>
      <c r="B125" s="236"/>
      <c r="C125" s="281" t="s">
        <v>54</v>
      </c>
      <c r="D125" s="238" t="s">
        <v>46</v>
      </c>
      <c r="E125" s="239">
        <v>10000</v>
      </c>
      <c r="F125" s="238">
        <v>1.698</v>
      </c>
      <c r="G125" s="240">
        <v>0</v>
      </c>
      <c r="H125" s="241">
        <f t="shared" si="6"/>
        <v>16980</v>
      </c>
    </row>
    <row r="126" spans="1:9" x14ac:dyDescent="0.25">
      <c r="A126" s="232">
        <v>126</v>
      </c>
      <c r="B126" s="279"/>
      <c r="C126" s="345"/>
      <c r="D126" s="345"/>
      <c r="E126" s="346"/>
      <c r="F126" s="284" t="s">
        <v>14</v>
      </c>
      <c r="G126" s="285"/>
      <c r="H126" s="242">
        <f>ROUND(SUM(H122:H125),0)</f>
        <v>386127</v>
      </c>
    </row>
    <row r="127" spans="1:9" x14ac:dyDescent="0.25">
      <c r="A127" s="232">
        <v>127</v>
      </c>
      <c r="B127" s="339" t="s">
        <v>15</v>
      </c>
      <c r="C127" s="339"/>
      <c r="D127" s="339"/>
      <c r="E127" s="339"/>
      <c r="F127" s="339"/>
      <c r="G127" s="339"/>
      <c r="H127" s="339"/>
    </row>
    <row r="128" spans="1:9" x14ac:dyDescent="0.25">
      <c r="A128" s="232">
        <v>128</v>
      </c>
      <c r="B128" s="234" t="s">
        <v>7</v>
      </c>
      <c r="C128" s="235" t="s">
        <v>8</v>
      </c>
      <c r="D128" s="235" t="s">
        <v>3</v>
      </c>
      <c r="E128" s="234" t="s">
        <v>9</v>
      </c>
      <c r="F128" s="284" t="s">
        <v>10</v>
      </c>
      <c r="G128" s="234" t="s">
        <v>11</v>
      </c>
      <c r="H128" s="235" t="s">
        <v>12</v>
      </c>
    </row>
    <row r="129" spans="1:8" ht="45" x14ac:dyDescent="0.25">
      <c r="A129" s="232">
        <v>129</v>
      </c>
      <c r="B129" s="238"/>
      <c r="C129" s="243" t="s">
        <v>152</v>
      </c>
      <c r="D129" s="244" t="s">
        <v>25</v>
      </c>
      <c r="E129" s="245">
        <v>740300.00000000012</v>
      </c>
      <c r="F129" s="263">
        <v>1</v>
      </c>
      <c r="G129" s="240">
        <v>0</v>
      </c>
      <c r="H129" s="246">
        <f>+E129*F129</f>
        <v>740300.00000000012</v>
      </c>
    </row>
    <row r="130" spans="1:8" x14ac:dyDescent="0.25">
      <c r="A130" s="232">
        <v>130</v>
      </c>
      <c r="B130" s="238"/>
      <c r="C130" s="247" t="s">
        <v>191</v>
      </c>
      <c r="D130" s="244" t="s">
        <v>25</v>
      </c>
      <c r="E130" s="248">
        <f>105000*1.12</f>
        <v>117600.00000000001</v>
      </c>
      <c r="F130" s="238">
        <v>1</v>
      </c>
      <c r="G130" s="240">
        <v>0</v>
      </c>
      <c r="H130" s="246">
        <f t="shared" ref="H130:H131" si="7">+E130*F130</f>
        <v>117600.00000000001</v>
      </c>
    </row>
    <row r="131" spans="1:8" x14ac:dyDescent="0.25">
      <c r="A131" s="232">
        <v>131</v>
      </c>
      <c r="B131" s="238"/>
      <c r="C131" s="247" t="s">
        <v>192</v>
      </c>
      <c r="D131" s="244" t="s">
        <v>25</v>
      </c>
      <c r="E131" s="248">
        <f>13900*1.2</f>
        <v>16680</v>
      </c>
      <c r="F131" s="238">
        <v>1</v>
      </c>
      <c r="G131" s="240">
        <v>0</v>
      </c>
      <c r="H131" s="246">
        <f t="shared" si="7"/>
        <v>16680</v>
      </c>
    </row>
    <row r="132" spans="1:8" x14ac:dyDescent="0.25">
      <c r="A132" s="232">
        <v>132</v>
      </c>
      <c r="B132" s="238"/>
      <c r="C132" s="252" t="s">
        <v>40</v>
      </c>
      <c r="D132" s="244" t="s">
        <v>25</v>
      </c>
      <c r="E132" s="245">
        <v>3199000</v>
      </c>
      <c r="F132" s="263">
        <v>1</v>
      </c>
      <c r="G132" s="240">
        <v>0</v>
      </c>
      <c r="H132" s="246">
        <f>+E132*F132</f>
        <v>3199000</v>
      </c>
    </row>
    <row r="133" spans="1:8" x14ac:dyDescent="0.25">
      <c r="A133" s="232">
        <v>133</v>
      </c>
      <c r="B133" s="238"/>
      <c r="C133" s="286" t="s">
        <v>189</v>
      </c>
      <c r="D133" s="259" t="s">
        <v>25</v>
      </c>
      <c r="E133" s="245">
        <v>282625</v>
      </c>
      <c r="F133" s="263">
        <v>1</v>
      </c>
      <c r="G133" s="240">
        <v>0</v>
      </c>
      <c r="H133" s="246">
        <f>+E133*F133</f>
        <v>282625</v>
      </c>
    </row>
    <row r="134" spans="1:8" x14ac:dyDescent="0.25">
      <c r="A134" s="232">
        <v>134</v>
      </c>
      <c r="B134" s="238"/>
      <c r="C134" s="247" t="s">
        <v>37</v>
      </c>
      <c r="D134" s="244" t="s">
        <v>25</v>
      </c>
      <c r="E134" s="251">
        <v>864900</v>
      </c>
      <c r="F134" s="263">
        <v>1</v>
      </c>
      <c r="G134" s="240">
        <v>0</v>
      </c>
      <c r="H134" s="246">
        <f>+E134*F134</f>
        <v>864900</v>
      </c>
    </row>
    <row r="135" spans="1:8" x14ac:dyDescent="0.25">
      <c r="A135" s="232">
        <v>135</v>
      </c>
      <c r="B135" s="238"/>
      <c r="C135" s="247" t="s">
        <v>35</v>
      </c>
      <c r="D135" s="244" t="s">
        <v>25</v>
      </c>
      <c r="E135" s="251">
        <v>322000</v>
      </c>
      <c r="F135" s="263">
        <v>1</v>
      </c>
      <c r="G135" s="240">
        <v>0</v>
      </c>
      <c r="H135" s="246">
        <f t="shared" ref="H135:H161" si="8">+E135*F135</f>
        <v>322000</v>
      </c>
    </row>
    <row r="136" spans="1:8" x14ac:dyDescent="0.25">
      <c r="A136" s="232">
        <v>136</v>
      </c>
      <c r="B136" s="238"/>
      <c r="C136" s="247" t="s">
        <v>181</v>
      </c>
      <c r="D136" s="244" t="s">
        <v>25</v>
      </c>
      <c r="E136" s="245">
        <v>451256.75840000005</v>
      </c>
      <c r="F136" s="263">
        <v>1</v>
      </c>
      <c r="G136" s="240">
        <v>0</v>
      </c>
      <c r="H136" s="246">
        <f t="shared" si="8"/>
        <v>451256.75840000005</v>
      </c>
    </row>
    <row r="137" spans="1:8" ht="30" x14ac:dyDescent="0.25">
      <c r="A137" s="232">
        <v>137</v>
      </c>
      <c r="B137" s="238"/>
      <c r="C137" s="247" t="s">
        <v>100</v>
      </c>
      <c r="D137" s="244" t="s">
        <v>25</v>
      </c>
      <c r="E137" s="245">
        <v>1105000</v>
      </c>
      <c r="F137" s="263">
        <v>1</v>
      </c>
      <c r="G137" s="240">
        <v>0</v>
      </c>
      <c r="H137" s="246">
        <f>+E137*F137</f>
        <v>1105000</v>
      </c>
    </row>
    <row r="138" spans="1:8" ht="30" x14ac:dyDescent="0.25">
      <c r="A138" s="232">
        <v>138</v>
      </c>
      <c r="B138" s="238"/>
      <c r="C138" s="247" t="s">
        <v>185</v>
      </c>
      <c r="D138" s="244" t="s">
        <v>25</v>
      </c>
      <c r="E138" s="251">
        <v>457000</v>
      </c>
      <c r="F138" s="263">
        <v>1</v>
      </c>
      <c r="G138" s="240">
        <v>0</v>
      </c>
      <c r="H138" s="246">
        <f t="shared" si="8"/>
        <v>457000</v>
      </c>
    </row>
    <row r="139" spans="1:8" x14ac:dyDescent="0.25">
      <c r="A139" s="232">
        <v>139</v>
      </c>
      <c r="B139" s="238"/>
      <c r="C139" s="282" t="s">
        <v>104</v>
      </c>
      <c r="D139" s="257" t="s">
        <v>25</v>
      </c>
      <c r="E139" s="245">
        <v>271000</v>
      </c>
      <c r="F139" s="263">
        <v>1</v>
      </c>
      <c r="G139" s="240">
        <v>0</v>
      </c>
      <c r="H139" s="246">
        <f t="shared" si="8"/>
        <v>271000</v>
      </c>
    </row>
    <row r="140" spans="1:8" x14ac:dyDescent="0.25">
      <c r="A140" s="232">
        <v>140</v>
      </c>
      <c r="B140" s="238"/>
      <c r="C140" s="247" t="s">
        <v>38</v>
      </c>
      <c r="D140" s="244" t="s">
        <v>25</v>
      </c>
      <c r="E140" s="251">
        <v>1340971</v>
      </c>
      <c r="F140" s="263">
        <v>1</v>
      </c>
      <c r="G140" s="240">
        <v>0</v>
      </c>
      <c r="H140" s="246">
        <f t="shared" si="8"/>
        <v>1340971</v>
      </c>
    </row>
    <row r="141" spans="1:8" x14ac:dyDescent="0.25">
      <c r="A141" s="232">
        <v>141</v>
      </c>
      <c r="B141" s="238"/>
      <c r="C141" s="247" t="s">
        <v>39</v>
      </c>
      <c r="D141" s="244" t="s">
        <v>25</v>
      </c>
      <c r="E141" s="251">
        <v>476645</v>
      </c>
      <c r="F141" s="263">
        <v>1</v>
      </c>
      <c r="G141" s="240">
        <v>0</v>
      </c>
      <c r="H141" s="246">
        <f t="shared" si="8"/>
        <v>476645</v>
      </c>
    </row>
    <row r="142" spans="1:8" x14ac:dyDescent="0.25">
      <c r="A142" s="232">
        <v>142</v>
      </c>
      <c r="B142" s="238"/>
      <c r="C142" s="247" t="s">
        <v>26</v>
      </c>
      <c r="D142" s="244" t="s">
        <v>25</v>
      </c>
      <c r="E142" s="251">
        <v>1094800</v>
      </c>
      <c r="F142" s="263">
        <v>2</v>
      </c>
      <c r="G142" s="240">
        <v>0</v>
      </c>
      <c r="H142" s="246">
        <f t="shared" si="8"/>
        <v>2189600</v>
      </c>
    </row>
    <row r="143" spans="1:8" x14ac:dyDescent="0.25">
      <c r="A143" s="232">
        <v>143</v>
      </c>
      <c r="B143" s="238"/>
      <c r="C143" s="247" t="s">
        <v>42</v>
      </c>
      <c r="D143" s="244" t="s">
        <v>25</v>
      </c>
      <c r="E143" s="245">
        <v>2923520</v>
      </c>
      <c r="F143" s="263">
        <v>1</v>
      </c>
      <c r="G143" s="240">
        <v>0</v>
      </c>
      <c r="H143" s="246">
        <f t="shared" si="8"/>
        <v>2923520</v>
      </c>
    </row>
    <row r="144" spans="1:8" x14ac:dyDescent="0.25">
      <c r="A144" s="232">
        <v>144</v>
      </c>
      <c r="B144" s="238"/>
      <c r="C144" s="243" t="s">
        <v>161</v>
      </c>
      <c r="D144" s="244" t="s">
        <v>24</v>
      </c>
      <c r="E144" s="255">
        <v>5316</v>
      </c>
      <c r="F144" s="238">
        <v>4</v>
      </c>
      <c r="G144" s="240">
        <v>0</v>
      </c>
      <c r="H144" s="246">
        <f t="shared" si="8"/>
        <v>21264</v>
      </c>
    </row>
    <row r="145" spans="1:8" x14ac:dyDescent="0.25">
      <c r="A145" s="232">
        <v>145</v>
      </c>
      <c r="B145" s="238"/>
      <c r="C145" s="250" t="s">
        <v>162</v>
      </c>
      <c r="D145" s="244" t="s">
        <v>25</v>
      </c>
      <c r="E145" s="255">
        <f>1000*1.2</f>
        <v>1200</v>
      </c>
      <c r="F145" s="238">
        <v>12</v>
      </c>
      <c r="G145" s="240">
        <v>0</v>
      </c>
      <c r="H145" s="246">
        <f t="shared" si="8"/>
        <v>14400</v>
      </c>
    </row>
    <row r="146" spans="1:8" x14ac:dyDescent="0.25">
      <c r="A146" s="232">
        <v>146</v>
      </c>
      <c r="B146" s="238"/>
      <c r="C146" s="247" t="s">
        <v>21</v>
      </c>
      <c r="D146" s="244" t="s">
        <v>25</v>
      </c>
      <c r="E146" s="245">
        <v>10890</v>
      </c>
      <c r="F146" s="263">
        <v>1</v>
      </c>
      <c r="G146" s="240">
        <v>0</v>
      </c>
      <c r="H146" s="246">
        <f t="shared" si="8"/>
        <v>10890</v>
      </c>
    </row>
    <row r="147" spans="1:8" x14ac:dyDescent="0.25">
      <c r="A147" s="232">
        <v>147</v>
      </c>
      <c r="B147" s="238"/>
      <c r="C147" s="247" t="s">
        <v>22</v>
      </c>
      <c r="D147" s="244" t="s">
        <v>24</v>
      </c>
      <c r="E147" s="251">
        <v>7500</v>
      </c>
      <c r="F147" s="263">
        <v>16</v>
      </c>
      <c r="G147" s="240">
        <v>0</v>
      </c>
      <c r="H147" s="246">
        <f t="shared" si="8"/>
        <v>120000</v>
      </c>
    </row>
    <row r="148" spans="1:8" x14ac:dyDescent="0.25">
      <c r="A148" s="232">
        <v>148</v>
      </c>
      <c r="B148" s="238"/>
      <c r="C148" s="247" t="s">
        <v>95</v>
      </c>
      <c r="D148" s="244" t="s">
        <v>25</v>
      </c>
      <c r="E148" s="245">
        <v>8200</v>
      </c>
      <c r="F148" s="238">
        <v>4</v>
      </c>
      <c r="G148" s="240">
        <v>0</v>
      </c>
      <c r="H148" s="246">
        <f t="shared" si="8"/>
        <v>32800</v>
      </c>
    </row>
    <row r="149" spans="1:8" x14ac:dyDescent="0.25">
      <c r="A149" s="232">
        <v>149</v>
      </c>
      <c r="B149" s="238"/>
      <c r="C149" s="256" t="s">
        <v>63</v>
      </c>
      <c r="D149" s="257" t="s">
        <v>25</v>
      </c>
      <c r="E149" s="258">
        <v>20000</v>
      </c>
      <c r="F149" s="238">
        <v>6</v>
      </c>
      <c r="G149" s="240">
        <v>0.1</v>
      </c>
      <c r="H149" s="241">
        <f>+E149*F149*(1+G149)</f>
        <v>132000</v>
      </c>
    </row>
    <row r="150" spans="1:8" x14ac:dyDescent="0.25">
      <c r="A150" s="232">
        <v>150</v>
      </c>
      <c r="B150" s="238"/>
      <c r="C150" s="243" t="s">
        <v>174</v>
      </c>
      <c r="D150" s="259" t="s">
        <v>25</v>
      </c>
      <c r="E150" s="245">
        <v>700</v>
      </c>
      <c r="F150" s="238">
        <v>6</v>
      </c>
      <c r="G150" s="240">
        <v>0</v>
      </c>
      <c r="H150" s="246">
        <f t="shared" si="8"/>
        <v>4200</v>
      </c>
    </row>
    <row r="151" spans="1:8" x14ac:dyDescent="0.25">
      <c r="A151" s="232">
        <v>151</v>
      </c>
      <c r="B151" s="238"/>
      <c r="C151" s="282" t="s">
        <v>28</v>
      </c>
      <c r="D151" s="244" t="s">
        <v>24</v>
      </c>
      <c r="E151" s="245">
        <v>3880</v>
      </c>
      <c r="F151" s="263">
        <v>9</v>
      </c>
      <c r="G151" s="240">
        <v>0</v>
      </c>
      <c r="H151" s="246">
        <f t="shared" si="8"/>
        <v>34920</v>
      </c>
    </row>
    <row r="152" spans="1:8" x14ac:dyDescent="0.25">
      <c r="A152" s="232">
        <v>152</v>
      </c>
      <c r="B152" s="238"/>
      <c r="C152" s="260" t="s">
        <v>173</v>
      </c>
      <c r="D152" s="244" t="s">
        <v>25</v>
      </c>
      <c r="E152" s="245">
        <v>16010.800000000001</v>
      </c>
      <c r="F152" s="238">
        <v>1</v>
      </c>
      <c r="G152" s="240">
        <v>0</v>
      </c>
      <c r="H152" s="246">
        <f t="shared" si="8"/>
        <v>16010.800000000001</v>
      </c>
    </row>
    <row r="153" spans="1:8" x14ac:dyDescent="0.25">
      <c r="A153" s="232">
        <v>153</v>
      </c>
      <c r="B153" s="238"/>
      <c r="C153" s="247" t="s">
        <v>29</v>
      </c>
      <c r="D153" s="244" t="s">
        <v>24</v>
      </c>
      <c r="E153" s="245">
        <v>6870</v>
      </c>
      <c r="F153" s="263">
        <v>2</v>
      </c>
      <c r="G153" s="240">
        <v>0</v>
      </c>
      <c r="H153" s="246">
        <f t="shared" si="8"/>
        <v>13740</v>
      </c>
    </row>
    <row r="154" spans="1:8" x14ac:dyDescent="0.25">
      <c r="A154" s="232">
        <v>154</v>
      </c>
      <c r="B154" s="238"/>
      <c r="C154" s="247" t="s">
        <v>36</v>
      </c>
      <c r="D154" s="244" t="s">
        <v>24</v>
      </c>
      <c r="E154" s="251">
        <v>6000</v>
      </c>
      <c r="F154" s="263">
        <v>15</v>
      </c>
      <c r="G154" s="240">
        <v>0</v>
      </c>
      <c r="H154" s="246">
        <f t="shared" si="8"/>
        <v>90000</v>
      </c>
    </row>
    <row r="155" spans="1:8" x14ac:dyDescent="0.25">
      <c r="A155" s="232">
        <v>155</v>
      </c>
      <c r="B155" s="238"/>
      <c r="C155" s="247" t="s">
        <v>150</v>
      </c>
      <c r="D155" s="244" t="s">
        <v>25</v>
      </c>
      <c r="E155" s="251">
        <v>5500</v>
      </c>
      <c r="F155" s="263">
        <v>2</v>
      </c>
      <c r="G155" s="240">
        <v>0</v>
      </c>
      <c r="H155" s="246">
        <f t="shared" si="8"/>
        <v>11000</v>
      </c>
    </row>
    <row r="156" spans="1:8" x14ac:dyDescent="0.25">
      <c r="A156" s="232">
        <v>156</v>
      </c>
      <c r="B156" s="238"/>
      <c r="C156" s="247" t="s">
        <v>58</v>
      </c>
      <c r="D156" s="244" t="s">
        <v>25</v>
      </c>
      <c r="E156" s="251">
        <v>42920</v>
      </c>
      <c r="F156" s="263">
        <v>1</v>
      </c>
      <c r="G156" s="240">
        <v>0</v>
      </c>
      <c r="H156" s="246">
        <f t="shared" si="8"/>
        <v>42920</v>
      </c>
    </row>
    <row r="157" spans="1:8" x14ac:dyDescent="0.25">
      <c r="A157" s="232">
        <v>157</v>
      </c>
      <c r="B157" s="238"/>
      <c r="C157" s="247" t="s">
        <v>57</v>
      </c>
      <c r="D157" s="244" t="s">
        <v>25</v>
      </c>
      <c r="E157" s="251">
        <v>126303</v>
      </c>
      <c r="F157" s="263">
        <v>2</v>
      </c>
      <c r="G157" s="240">
        <v>0</v>
      </c>
      <c r="H157" s="246">
        <f t="shared" si="8"/>
        <v>252606</v>
      </c>
    </row>
    <row r="158" spans="1:8" x14ac:dyDescent="0.25">
      <c r="A158" s="232">
        <v>158</v>
      </c>
      <c r="B158" s="238"/>
      <c r="C158" s="252" t="s">
        <v>175</v>
      </c>
      <c r="D158" s="253" t="s">
        <v>96</v>
      </c>
      <c r="E158" s="254">
        <v>23880</v>
      </c>
      <c r="F158" s="238">
        <v>0.5</v>
      </c>
      <c r="G158" s="240">
        <v>0</v>
      </c>
      <c r="H158" s="246">
        <f t="shared" si="8"/>
        <v>11940</v>
      </c>
    </row>
    <row r="159" spans="1:8" x14ac:dyDescent="0.25">
      <c r="A159" s="232">
        <v>159</v>
      </c>
      <c r="B159" s="238"/>
      <c r="C159" s="262" t="s">
        <v>178</v>
      </c>
      <c r="D159" s="244" t="s">
        <v>24</v>
      </c>
      <c r="E159" s="251">
        <v>19900</v>
      </c>
      <c r="F159" s="263">
        <v>2</v>
      </c>
      <c r="G159" s="240">
        <v>0</v>
      </c>
      <c r="H159" s="246">
        <f t="shared" si="8"/>
        <v>39800</v>
      </c>
    </row>
    <row r="160" spans="1:8" x14ac:dyDescent="0.25">
      <c r="A160" s="232">
        <v>160</v>
      </c>
      <c r="B160" s="238"/>
      <c r="C160" s="247" t="s">
        <v>177</v>
      </c>
      <c r="D160" s="244" t="s">
        <v>24</v>
      </c>
      <c r="E160" s="251">
        <v>8000</v>
      </c>
      <c r="F160" s="263">
        <v>3</v>
      </c>
      <c r="G160" s="240">
        <v>0</v>
      </c>
      <c r="H160" s="246">
        <f t="shared" si="8"/>
        <v>24000</v>
      </c>
    </row>
    <row r="161" spans="1:8" x14ac:dyDescent="0.25">
      <c r="A161" s="232">
        <v>161</v>
      </c>
      <c r="B161" s="238"/>
      <c r="C161" s="247" t="s">
        <v>27</v>
      </c>
      <c r="D161" s="244" t="s">
        <v>25</v>
      </c>
      <c r="E161" s="251">
        <v>300000</v>
      </c>
      <c r="F161" s="263">
        <v>1</v>
      </c>
      <c r="G161" s="240">
        <v>0</v>
      </c>
      <c r="H161" s="246">
        <f t="shared" si="8"/>
        <v>300000</v>
      </c>
    </row>
    <row r="162" spans="1:8" x14ac:dyDescent="0.25">
      <c r="A162" s="232">
        <v>162</v>
      </c>
      <c r="B162" s="264"/>
      <c r="C162" s="265"/>
      <c r="D162" s="287"/>
      <c r="E162" s="267"/>
      <c r="F162" s="288" t="s">
        <v>14</v>
      </c>
      <c r="G162" s="289"/>
      <c r="H162" s="269">
        <f>SUM(H129:H161)</f>
        <v>15930588.558400001</v>
      </c>
    </row>
    <row r="163" spans="1:8" x14ac:dyDescent="0.25">
      <c r="A163" s="232">
        <v>163</v>
      </c>
      <c r="B163" s="339" t="s">
        <v>16</v>
      </c>
      <c r="C163" s="339"/>
      <c r="D163" s="339"/>
      <c r="E163" s="339"/>
      <c r="F163" s="339"/>
      <c r="G163" s="339"/>
      <c r="H163" s="339"/>
    </row>
    <row r="164" spans="1:8" x14ac:dyDescent="0.25">
      <c r="A164" s="232">
        <v>164</v>
      </c>
      <c r="B164" s="234" t="s">
        <v>7</v>
      </c>
      <c r="C164" s="235" t="s">
        <v>0</v>
      </c>
      <c r="D164" s="235" t="s">
        <v>3</v>
      </c>
      <c r="E164" s="234" t="s">
        <v>9</v>
      </c>
      <c r="F164" s="290" t="s">
        <v>10</v>
      </c>
      <c r="G164" s="291" t="s">
        <v>11</v>
      </c>
      <c r="H164" s="235" t="s">
        <v>12</v>
      </c>
    </row>
    <row r="165" spans="1:8" x14ac:dyDescent="0.25">
      <c r="A165" s="232">
        <v>165</v>
      </c>
      <c r="B165" s="236"/>
      <c r="C165" s="247" t="s">
        <v>41</v>
      </c>
      <c r="D165" s="238" t="s">
        <v>46</v>
      </c>
      <c r="E165" s="272">
        <v>350000</v>
      </c>
      <c r="F165" s="238">
        <v>1</v>
      </c>
      <c r="G165" s="240">
        <v>0</v>
      </c>
      <c r="H165" s="241">
        <f>IF(E165="-","-",E165*F165*(1+G165))</f>
        <v>350000</v>
      </c>
    </row>
    <row r="166" spans="1:8" ht="30" x14ac:dyDescent="0.25">
      <c r="A166" s="232">
        <v>166</v>
      </c>
      <c r="B166" s="236"/>
      <c r="C166" s="273" t="s">
        <v>184</v>
      </c>
      <c r="D166" s="238" t="s">
        <v>46</v>
      </c>
      <c r="E166" s="274">
        <v>33333</v>
      </c>
      <c r="F166" s="238">
        <v>0.85</v>
      </c>
      <c r="G166" s="240">
        <v>0</v>
      </c>
      <c r="H166" s="241">
        <f>IF(E166="-","-",E166*F166*(1+G166))</f>
        <v>28333.05</v>
      </c>
    </row>
    <row r="167" spans="1:8" x14ac:dyDescent="0.25">
      <c r="A167" s="232">
        <v>167</v>
      </c>
      <c r="B167" s="236"/>
      <c r="C167" s="247" t="s">
        <v>73</v>
      </c>
      <c r="D167" s="238" t="s">
        <v>111</v>
      </c>
      <c r="E167" s="274">
        <v>121666</v>
      </c>
      <c r="F167" s="238">
        <v>5</v>
      </c>
      <c r="G167" s="240">
        <v>0</v>
      </c>
      <c r="H167" s="241">
        <f>IF(E167="-","-",E167*F167*(1+G167))</f>
        <v>608330</v>
      </c>
    </row>
    <row r="168" spans="1:8" x14ac:dyDescent="0.25">
      <c r="A168" s="232">
        <v>168</v>
      </c>
      <c r="B168" s="275"/>
      <c r="C168" s="276"/>
      <c r="D168" s="276"/>
      <c r="E168" s="278"/>
      <c r="F168" s="263" t="s">
        <v>14</v>
      </c>
      <c r="G168" s="238"/>
      <c r="H168" s="242">
        <f>ROUND(SUM(H165:H167),0)</f>
        <v>986663</v>
      </c>
    </row>
    <row r="169" spans="1:8" x14ac:dyDescent="0.25">
      <c r="A169" s="232">
        <v>169</v>
      </c>
      <c r="B169" s="339" t="s">
        <v>17</v>
      </c>
      <c r="C169" s="339"/>
      <c r="D169" s="339"/>
      <c r="E169" s="339"/>
      <c r="F169" s="339"/>
      <c r="G169" s="339"/>
      <c r="H169" s="339"/>
    </row>
    <row r="170" spans="1:8" x14ac:dyDescent="0.25">
      <c r="A170" s="232">
        <v>170</v>
      </c>
      <c r="B170" s="340" t="s">
        <v>8</v>
      </c>
      <c r="C170" s="341"/>
      <c r="D170" s="235" t="s">
        <v>3</v>
      </c>
      <c r="E170" s="234" t="s">
        <v>9</v>
      </c>
      <c r="F170" s="284" t="s">
        <v>10</v>
      </c>
      <c r="G170" s="285" t="s">
        <v>11</v>
      </c>
      <c r="H170" s="235" t="s">
        <v>12</v>
      </c>
    </row>
    <row r="171" spans="1:8" x14ac:dyDescent="0.25">
      <c r="A171" s="232">
        <v>171</v>
      </c>
      <c r="B171" s="236"/>
      <c r="C171" s="247" t="s">
        <v>33</v>
      </c>
      <c r="D171" s="238" t="s">
        <v>59</v>
      </c>
      <c r="E171" s="272">
        <v>140000</v>
      </c>
      <c r="F171" s="263">
        <v>4</v>
      </c>
      <c r="G171" s="240">
        <v>0</v>
      </c>
      <c r="H171" s="241">
        <f>IF(E171="-","-",E171*F171*(1+G171))</f>
        <v>560000</v>
      </c>
    </row>
    <row r="172" spans="1:8" ht="30" x14ac:dyDescent="0.25">
      <c r="A172" s="232">
        <v>172</v>
      </c>
      <c r="B172" s="279"/>
      <c r="C172" s="247" t="s">
        <v>43</v>
      </c>
      <c r="D172" s="238" t="s">
        <v>59</v>
      </c>
      <c r="E172" s="272">
        <v>160854</v>
      </c>
      <c r="F172" s="263">
        <v>4</v>
      </c>
      <c r="G172" s="240">
        <v>0</v>
      </c>
      <c r="H172" s="241">
        <f>IF(E172="-","-",E172*F172*(1+G172))</f>
        <v>643416</v>
      </c>
    </row>
    <row r="173" spans="1:8" x14ac:dyDescent="0.25">
      <c r="A173" s="232">
        <v>173</v>
      </c>
      <c r="B173" s="279"/>
      <c r="C173" s="247" t="s">
        <v>64</v>
      </c>
      <c r="D173" s="238" t="s">
        <v>59</v>
      </c>
      <c r="E173" s="272">
        <v>150000</v>
      </c>
      <c r="F173" s="263">
        <v>4</v>
      </c>
      <c r="G173" s="240">
        <v>0</v>
      </c>
      <c r="H173" s="241">
        <f>IF(E173="-","-",E173*F173*(1+G173))</f>
        <v>600000</v>
      </c>
    </row>
    <row r="174" spans="1:8" x14ac:dyDescent="0.25">
      <c r="A174" s="232">
        <v>174</v>
      </c>
      <c r="B174" s="342" t="s">
        <v>14</v>
      </c>
      <c r="C174" s="343"/>
      <c r="D174" s="343"/>
      <c r="E174" s="343"/>
      <c r="F174" s="344"/>
      <c r="G174" s="292"/>
      <c r="H174" s="242">
        <f>ROUND(SUM(H171:H173),0)</f>
        <v>1803416</v>
      </c>
    </row>
    <row r="175" spans="1:8" x14ac:dyDescent="0.25">
      <c r="A175" s="232">
        <v>175</v>
      </c>
      <c r="B175" s="320"/>
      <c r="C175" s="327"/>
      <c r="D175" s="327"/>
      <c r="E175" s="321"/>
      <c r="F175" s="334"/>
      <c r="G175" s="322"/>
      <c r="H175" s="323"/>
    </row>
    <row r="176" spans="1:8" x14ac:dyDescent="0.25">
      <c r="A176" s="232">
        <v>176</v>
      </c>
      <c r="B176" s="320"/>
      <c r="C176" s="331"/>
      <c r="D176" s="327"/>
      <c r="E176" s="321"/>
      <c r="F176" s="335" t="s">
        <v>18</v>
      </c>
      <c r="G176" s="233"/>
      <c r="H176" s="325">
        <f>H126+H162+H168+H174</f>
        <v>19106794.558400001</v>
      </c>
    </row>
    <row r="177" spans="1:9" x14ac:dyDescent="0.25">
      <c r="A177" s="232">
        <v>177</v>
      </c>
      <c r="B177" s="320"/>
      <c r="C177" s="327"/>
      <c r="D177" s="327"/>
      <c r="E177" s="321"/>
      <c r="F177" s="334"/>
      <c r="G177" s="322"/>
      <c r="H177" s="323"/>
    </row>
    <row r="178" spans="1:9" x14ac:dyDescent="0.25">
      <c r="A178" s="232">
        <v>178</v>
      </c>
      <c r="B178" s="320"/>
      <c r="C178" s="332"/>
      <c r="D178" s="327"/>
      <c r="E178" s="321"/>
      <c r="F178" s="334"/>
      <c r="G178" s="322"/>
      <c r="H178" s="323"/>
    </row>
    <row r="179" spans="1:9" x14ac:dyDescent="0.25">
      <c r="A179" s="232">
        <v>179</v>
      </c>
      <c r="B179" s="320"/>
      <c r="D179" s="327"/>
      <c r="E179" s="321"/>
      <c r="F179" s="334"/>
      <c r="G179" s="322"/>
      <c r="H179" s="323"/>
    </row>
    <row r="180" spans="1:9" x14ac:dyDescent="0.25">
      <c r="A180" s="232">
        <v>180</v>
      </c>
      <c r="B180" s="320"/>
      <c r="C180" s="327"/>
      <c r="D180" s="327"/>
      <c r="E180" s="321"/>
      <c r="F180" s="334"/>
      <c r="G180" s="322"/>
      <c r="H180" s="323"/>
      <c r="I180" s="327"/>
    </row>
    <row r="181" spans="1:9" x14ac:dyDescent="0.25">
      <c r="A181" s="232">
        <v>181</v>
      </c>
      <c r="B181" s="328"/>
      <c r="C181" s="333"/>
      <c r="D181" s="333"/>
      <c r="E181" s="329"/>
      <c r="F181" s="336"/>
      <c r="G181" s="266"/>
      <c r="H181" s="330"/>
      <c r="I181" s="327"/>
    </row>
    <row r="182" spans="1:9" x14ac:dyDescent="0.25">
      <c r="A182" s="232">
        <v>182</v>
      </c>
      <c r="B182" s="339" t="s">
        <v>2</v>
      </c>
      <c r="C182" s="339"/>
      <c r="D182" s="339"/>
      <c r="E182" s="339"/>
      <c r="F182" s="339"/>
      <c r="G182" s="339"/>
      <c r="H182" s="339"/>
    </row>
    <row r="183" spans="1:9" ht="14.25" customHeight="1" x14ac:dyDescent="0.25">
      <c r="A183" s="232">
        <v>183</v>
      </c>
      <c r="B183" s="233" t="s">
        <v>1</v>
      </c>
      <c r="C183" s="250" t="s">
        <v>196</v>
      </c>
      <c r="D183" s="250"/>
      <c r="E183" s="250"/>
      <c r="F183" s="250"/>
      <c r="G183" s="250"/>
      <c r="H183" s="233">
        <v>4</v>
      </c>
      <c r="I183" s="293">
        <v>7</v>
      </c>
    </row>
    <row r="184" spans="1:9" x14ac:dyDescent="0.25">
      <c r="A184" s="232">
        <v>184</v>
      </c>
      <c r="B184" s="339" t="s">
        <v>5</v>
      </c>
      <c r="C184" s="339"/>
      <c r="D184" s="339"/>
      <c r="E184" s="339"/>
      <c r="F184" s="339"/>
      <c r="G184" s="339"/>
      <c r="H184" s="339"/>
    </row>
    <row r="185" spans="1:9" x14ac:dyDescent="0.25">
      <c r="A185" s="232">
        <v>185</v>
      </c>
      <c r="B185" s="234" t="s">
        <v>7</v>
      </c>
      <c r="C185" s="235" t="s">
        <v>8</v>
      </c>
      <c r="D185" s="234" t="s">
        <v>3</v>
      </c>
      <c r="E185" s="234" t="s">
        <v>9</v>
      </c>
      <c r="F185" s="234" t="s">
        <v>10</v>
      </c>
      <c r="G185" s="234" t="s">
        <v>11</v>
      </c>
      <c r="H185" s="235" t="s">
        <v>12</v>
      </c>
    </row>
    <row r="186" spans="1:9" x14ac:dyDescent="0.25">
      <c r="A186" s="232">
        <v>186</v>
      </c>
      <c r="B186" s="236"/>
      <c r="C186" s="281" t="s">
        <v>71</v>
      </c>
      <c r="D186" s="238" t="s">
        <v>46</v>
      </c>
      <c r="E186" s="239">
        <v>50000</v>
      </c>
      <c r="F186" s="238">
        <v>1.0349999999999999</v>
      </c>
      <c r="G186" s="240">
        <v>0</v>
      </c>
      <c r="H186" s="241">
        <f>+E186*F186*(1+G186)</f>
        <v>51749.999999999993</v>
      </c>
    </row>
    <row r="187" spans="1:9" x14ac:dyDescent="0.25">
      <c r="A187" s="232">
        <v>187</v>
      </c>
      <c r="B187" s="236"/>
      <c r="C187" s="237" t="s">
        <v>20</v>
      </c>
      <c r="D187" s="238" t="s">
        <v>72</v>
      </c>
      <c r="E187" s="239">
        <f>H233*0.05</f>
        <v>46279.9</v>
      </c>
      <c r="F187" s="238">
        <v>1</v>
      </c>
      <c r="G187" s="240">
        <v>0</v>
      </c>
      <c r="H187" s="241">
        <f t="shared" ref="H187:H189" si="9">+E187*F187*(1+G187)</f>
        <v>46279.9</v>
      </c>
    </row>
    <row r="188" spans="1:9" x14ac:dyDescent="0.25">
      <c r="A188" s="232">
        <v>188</v>
      </c>
      <c r="B188" s="236"/>
      <c r="C188" s="281" t="s">
        <v>70</v>
      </c>
      <c r="D188" s="238" t="s">
        <v>46</v>
      </c>
      <c r="E188" s="239">
        <v>97038</v>
      </c>
      <c r="F188" s="238">
        <v>2</v>
      </c>
      <c r="G188" s="240">
        <v>0</v>
      </c>
      <c r="H188" s="241">
        <f t="shared" si="9"/>
        <v>194076</v>
      </c>
    </row>
    <row r="189" spans="1:9" x14ac:dyDescent="0.25">
      <c r="A189" s="232">
        <v>189</v>
      </c>
      <c r="B189" s="236"/>
      <c r="C189" s="281" t="s">
        <v>54</v>
      </c>
      <c r="D189" s="238" t="s">
        <v>46</v>
      </c>
      <c r="E189" s="239">
        <v>10000</v>
      </c>
      <c r="F189" s="238">
        <f>F186</f>
        <v>1.0349999999999999</v>
      </c>
      <c r="G189" s="240">
        <v>0</v>
      </c>
      <c r="H189" s="241">
        <f t="shared" si="9"/>
        <v>10350</v>
      </c>
    </row>
    <row r="190" spans="1:9" x14ac:dyDescent="0.25">
      <c r="A190" s="232">
        <v>190</v>
      </c>
      <c r="B190" s="279"/>
      <c r="C190" s="345"/>
      <c r="D190" s="345"/>
      <c r="E190" s="346"/>
      <c r="F190" s="234" t="s">
        <v>14</v>
      </c>
      <c r="G190" s="234"/>
      <c r="H190" s="242">
        <f>ROUND(SUM(H186:H189),0)</f>
        <v>302456</v>
      </c>
    </row>
    <row r="191" spans="1:9" x14ac:dyDescent="0.25">
      <c r="A191" s="232">
        <v>191</v>
      </c>
      <c r="B191" s="339" t="s">
        <v>15</v>
      </c>
      <c r="C191" s="339"/>
      <c r="D191" s="339"/>
      <c r="E191" s="339"/>
      <c r="F191" s="339"/>
      <c r="G191" s="339"/>
      <c r="H191" s="339"/>
    </row>
    <row r="192" spans="1:9" x14ac:dyDescent="0.25">
      <c r="A192" s="232">
        <v>192</v>
      </c>
      <c r="B192" s="234" t="s">
        <v>7</v>
      </c>
      <c r="C192" s="235" t="s">
        <v>8</v>
      </c>
      <c r="D192" s="234" t="s">
        <v>3</v>
      </c>
      <c r="E192" s="234" t="s">
        <v>9</v>
      </c>
      <c r="F192" s="234" t="s">
        <v>10</v>
      </c>
      <c r="G192" s="234" t="s">
        <v>11</v>
      </c>
      <c r="H192" s="235" t="s">
        <v>12</v>
      </c>
    </row>
    <row r="193" spans="1:8" ht="45" x14ac:dyDescent="0.25">
      <c r="A193" s="232">
        <v>193</v>
      </c>
      <c r="B193" s="238"/>
      <c r="C193" s="243" t="s">
        <v>152</v>
      </c>
      <c r="D193" s="244" t="s">
        <v>25</v>
      </c>
      <c r="E193" s="245">
        <v>740300.00000000012</v>
      </c>
      <c r="F193" s="238">
        <v>1</v>
      </c>
      <c r="G193" s="240">
        <v>0</v>
      </c>
      <c r="H193" s="246">
        <f>+E193*F193</f>
        <v>740300.00000000012</v>
      </c>
    </row>
    <row r="194" spans="1:8" x14ac:dyDescent="0.25">
      <c r="A194" s="232">
        <v>194</v>
      </c>
      <c r="B194" s="238"/>
      <c r="C194" s="247" t="s">
        <v>191</v>
      </c>
      <c r="D194" s="244" t="s">
        <v>25</v>
      </c>
      <c r="E194" s="248">
        <f>105000*1.12</f>
        <v>117600.00000000001</v>
      </c>
      <c r="F194" s="238">
        <v>1</v>
      </c>
      <c r="G194" s="240">
        <v>0</v>
      </c>
      <c r="H194" s="246">
        <f t="shared" ref="H194:H195" si="10">+E194*F194</f>
        <v>117600.00000000001</v>
      </c>
    </row>
    <row r="195" spans="1:8" x14ac:dyDescent="0.25">
      <c r="A195" s="232">
        <v>195</v>
      </c>
      <c r="B195" s="238"/>
      <c r="C195" s="247" t="s">
        <v>192</v>
      </c>
      <c r="D195" s="244" t="s">
        <v>25</v>
      </c>
      <c r="E195" s="248">
        <f>13900*1.2</f>
        <v>16680</v>
      </c>
      <c r="F195" s="238">
        <v>1</v>
      </c>
      <c r="G195" s="240">
        <v>0</v>
      </c>
      <c r="H195" s="246">
        <f t="shared" si="10"/>
        <v>16680</v>
      </c>
    </row>
    <row r="196" spans="1:8" x14ac:dyDescent="0.25">
      <c r="A196" s="232">
        <v>196</v>
      </c>
      <c r="B196" s="238"/>
      <c r="C196" s="252" t="s">
        <v>40</v>
      </c>
      <c r="D196" s="244" t="s">
        <v>25</v>
      </c>
      <c r="E196" s="245">
        <v>3199000</v>
      </c>
      <c r="F196" s="238">
        <v>1</v>
      </c>
      <c r="G196" s="240">
        <v>0</v>
      </c>
      <c r="H196" s="246">
        <f>+E196*F196</f>
        <v>3199000</v>
      </c>
    </row>
    <row r="197" spans="1:8" x14ac:dyDescent="0.25">
      <c r="A197" s="232">
        <v>197</v>
      </c>
      <c r="B197" s="238"/>
      <c r="C197" s="286" t="s">
        <v>189</v>
      </c>
      <c r="D197" s="259" t="s">
        <v>25</v>
      </c>
      <c r="E197" s="245">
        <v>282625</v>
      </c>
      <c r="F197" s="238">
        <v>1</v>
      </c>
      <c r="G197" s="240">
        <v>0</v>
      </c>
      <c r="H197" s="246">
        <f>+E197*F197</f>
        <v>282625</v>
      </c>
    </row>
    <row r="198" spans="1:8" x14ac:dyDescent="0.25">
      <c r="A198" s="232">
        <v>198</v>
      </c>
      <c r="B198" s="238"/>
      <c r="C198" s="247" t="s">
        <v>181</v>
      </c>
      <c r="D198" s="244" t="s">
        <v>25</v>
      </c>
      <c r="E198" s="245">
        <v>451256.75840000005</v>
      </c>
      <c r="F198" s="238">
        <v>1</v>
      </c>
      <c r="G198" s="240">
        <v>0</v>
      </c>
      <c r="H198" s="246">
        <f t="shared" ref="H198:H218" si="11">+E198*F198</f>
        <v>451256.75840000005</v>
      </c>
    </row>
    <row r="199" spans="1:8" ht="30" x14ac:dyDescent="0.25">
      <c r="A199" s="232">
        <v>199</v>
      </c>
      <c r="B199" s="238"/>
      <c r="C199" s="243" t="s">
        <v>160</v>
      </c>
      <c r="D199" s="244" t="s">
        <v>25</v>
      </c>
      <c r="E199" s="245">
        <v>718000</v>
      </c>
      <c r="F199" s="238">
        <v>1</v>
      </c>
      <c r="G199" s="240">
        <v>0</v>
      </c>
      <c r="H199" s="246">
        <f>+E199*F199</f>
        <v>718000</v>
      </c>
    </row>
    <row r="200" spans="1:8" x14ac:dyDescent="0.25">
      <c r="A200" s="232">
        <v>200</v>
      </c>
      <c r="B200" s="238"/>
      <c r="C200" s="247" t="s">
        <v>58</v>
      </c>
      <c r="D200" s="244" t="s">
        <v>25</v>
      </c>
      <c r="E200" s="251">
        <v>42920</v>
      </c>
      <c r="F200" s="238">
        <v>1</v>
      </c>
      <c r="G200" s="240">
        <v>0</v>
      </c>
      <c r="H200" s="246">
        <f>+E200*F200</f>
        <v>42920</v>
      </c>
    </row>
    <row r="201" spans="1:8" x14ac:dyDescent="0.25">
      <c r="A201" s="232">
        <v>201</v>
      </c>
      <c r="B201" s="238"/>
      <c r="C201" s="252" t="s">
        <v>175</v>
      </c>
      <c r="D201" s="253" t="s">
        <v>96</v>
      </c>
      <c r="E201" s="254">
        <v>23880</v>
      </c>
      <c r="F201" s="238">
        <v>0.5</v>
      </c>
      <c r="G201" s="240">
        <v>0</v>
      </c>
      <c r="H201" s="246">
        <f>+E201*F201</f>
        <v>11940</v>
      </c>
    </row>
    <row r="202" spans="1:8" x14ac:dyDescent="0.25">
      <c r="A202" s="232">
        <v>202</v>
      </c>
      <c r="B202" s="238"/>
      <c r="C202" s="243" t="s">
        <v>159</v>
      </c>
      <c r="D202" s="244" t="s">
        <v>25</v>
      </c>
      <c r="E202" s="245">
        <v>114000</v>
      </c>
      <c r="F202" s="238">
        <v>1</v>
      </c>
      <c r="G202" s="240">
        <v>0</v>
      </c>
      <c r="H202" s="246">
        <f t="shared" si="11"/>
        <v>114000</v>
      </c>
    </row>
    <row r="203" spans="1:8" x14ac:dyDescent="0.25">
      <c r="A203" s="232">
        <v>203</v>
      </c>
      <c r="B203" s="238"/>
      <c r="C203" s="247" t="s">
        <v>42</v>
      </c>
      <c r="D203" s="244" t="s">
        <v>25</v>
      </c>
      <c r="E203" s="245">
        <v>2923520</v>
      </c>
      <c r="F203" s="238">
        <v>1</v>
      </c>
      <c r="G203" s="240">
        <v>0</v>
      </c>
      <c r="H203" s="246">
        <f t="shared" si="11"/>
        <v>2923520</v>
      </c>
    </row>
    <row r="204" spans="1:8" x14ac:dyDescent="0.25">
      <c r="A204" s="232">
        <v>204</v>
      </c>
      <c r="B204" s="238"/>
      <c r="C204" s="243" t="s">
        <v>161</v>
      </c>
      <c r="D204" s="244" t="s">
        <v>24</v>
      </c>
      <c r="E204" s="255">
        <v>5316</v>
      </c>
      <c r="F204" s="238">
        <v>4</v>
      </c>
      <c r="G204" s="240">
        <v>0</v>
      </c>
      <c r="H204" s="246">
        <f t="shared" si="11"/>
        <v>21264</v>
      </c>
    </row>
    <row r="205" spans="1:8" x14ac:dyDescent="0.25">
      <c r="A205" s="232">
        <v>205</v>
      </c>
      <c r="B205" s="238"/>
      <c r="C205" s="250" t="s">
        <v>162</v>
      </c>
      <c r="D205" s="244" t="s">
        <v>25</v>
      </c>
      <c r="E205" s="255">
        <f>1000*1.2</f>
        <v>1200</v>
      </c>
      <c r="F205" s="238">
        <v>12</v>
      </c>
      <c r="G205" s="240">
        <v>0</v>
      </c>
      <c r="H205" s="246">
        <f t="shared" si="11"/>
        <v>14400</v>
      </c>
    </row>
    <row r="206" spans="1:8" x14ac:dyDescent="0.25">
      <c r="A206" s="232">
        <v>206</v>
      </c>
      <c r="B206" s="238"/>
      <c r="C206" s="247" t="s">
        <v>21</v>
      </c>
      <c r="D206" s="244" t="s">
        <v>25</v>
      </c>
      <c r="E206" s="245">
        <v>10890</v>
      </c>
      <c r="F206" s="238">
        <v>1</v>
      </c>
      <c r="G206" s="240">
        <v>0</v>
      </c>
      <c r="H206" s="246">
        <f t="shared" si="11"/>
        <v>10890</v>
      </c>
    </row>
    <row r="207" spans="1:8" x14ac:dyDescent="0.25">
      <c r="A207" s="232">
        <v>207</v>
      </c>
      <c r="B207" s="238"/>
      <c r="C207" s="247" t="s">
        <v>95</v>
      </c>
      <c r="D207" s="244" t="s">
        <v>25</v>
      </c>
      <c r="E207" s="245">
        <v>8200</v>
      </c>
      <c r="F207" s="238">
        <v>4</v>
      </c>
      <c r="G207" s="240">
        <v>0</v>
      </c>
      <c r="H207" s="246">
        <f t="shared" si="11"/>
        <v>32800</v>
      </c>
    </row>
    <row r="208" spans="1:8" x14ac:dyDescent="0.25">
      <c r="A208" s="232">
        <v>208</v>
      </c>
      <c r="B208" s="238"/>
      <c r="C208" s="247" t="s">
        <v>22</v>
      </c>
      <c r="D208" s="244" t="s">
        <v>24</v>
      </c>
      <c r="E208" s="251">
        <v>7500</v>
      </c>
      <c r="F208" s="238">
        <v>4</v>
      </c>
      <c r="G208" s="240">
        <v>0</v>
      </c>
      <c r="H208" s="246">
        <f t="shared" si="11"/>
        <v>30000</v>
      </c>
    </row>
    <row r="209" spans="1:8" x14ac:dyDescent="0.25">
      <c r="A209" s="232">
        <v>209</v>
      </c>
      <c r="B209" s="238"/>
      <c r="C209" s="260" t="s">
        <v>173</v>
      </c>
      <c r="D209" s="244" t="s">
        <v>25</v>
      </c>
      <c r="E209" s="245">
        <v>16010.800000000001</v>
      </c>
      <c r="F209" s="238">
        <v>1</v>
      </c>
      <c r="G209" s="240">
        <v>0</v>
      </c>
      <c r="H209" s="246">
        <f t="shared" si="11"/>
        <v>16010.800000000001</v>
      </c>
    </row>
    <row r="210" spans="1:8" x14ac:dyDescent="0.25">
      <c r="A210" s="232">
        <v>210</v>
      </c>
      <c r="B210" s="238"/>
      <c r="C210" s="282" t="s">
        <v>28</v>
      </c>
      <c r="D210" s="244" t="s">
        <v>24</v>
      </c>
      <c r="E210" s="245">
        <v>3880</v>
      </c>
      <c r="F210" s="238">
        <v>9</v>
      </c>
      <c r="G210" s="240">
        <v>0</v>
      </c>
      <c r="H210" s="246">
        <f t="shared" si="11"/>
        <v>34920</v>
      </c>
    </row>
    <row r="211" spans="1:8" x14ac:dyDescent="0.25">
      <c r="A211" s="232">
        <v>211</v>
      </c>
      <c r="B211" s="238"/>
      <c r="C211" s="256" t="s">
        <v>63</v>
      </c>
      <c r="D211" s="257" t="s">
        <v>25</v>
      </c>
      <c r="E211" s="258">
        <v>20000</v>
      </c>
      <c r="F211" s="238">
        <v>6</v>
      </c>
      <c r="G211" s="240">
        <v>0.1</v>
      </c>
      <c r="H211" s="241">
        <f>+E211*F211*(1+G211)</f>
        <v>132000</v>
      </c>
    </row>
    <row r="212" spans="1:8" x14ac:dyDescent="0.25">
      <c r="A212" s="232">
        <v>212</v>
      </c>
      <c r="B212" s="238"/>
      <c r="C212" s="243" t="s">
        <v>174</v>
      </c>
      <c r="D212" s="259" t="s">
        <v>25</v>
      </c>
      <c r="E212" s="245">
        <v>700</v>
      </c>
      <c r="F212" s="238">
        <v>6</v>
      </c>
      <c r="G212" s="240">
        <v>0</v>
      </c>
      <c r="H212" s="246">
        <f t="shared" si="11"/>
        <v>4200</v>
      </c>
    </row>
    <row r="213" spans="1:8" x14ac:dyDescent="0.25">
      <c r="A213" s="232">
        <v>213</v>
      </c>
      <c r="B213" s="238"/>
      <c r="C213" s="247" t="s">
        <v>29</v>
      </c>
      <c r="D213" s="244" t="s">
        <v>24</v>
      </c>
      <c r="E213" s="245">
        <v>6870</v>
      </c>
      <c r="F213" s="238">
        <v>50</v>
      </c>
      <c r="G213" s="240">
        <v>0</v>
      </c>
      <c r="H213" s="246">
        <f t="shared" si="11"/>
        <v>343500</v>
      </c>
    </row>
    <row r="214" spans="1:8" x14ac:dyDescent="0.25">
      <c r="A214" s="232">
        <v>214</v>
      </c>
      <c r="B214" s="238"/>
      <c r="C214" s="261" t="s">
        <v>102</v>
      </c>
      <c r="D214" s="244" t="s">
        <v>25</v>
      </c>
      <c r="E214" s="245">
        <v>3740</v>
      </c>
      <c r="F214" s="238">
        <v>2</v>
      </c>
      <c r="G214" s="240">
        <v>0</v>
      </c>
      <c r="H214" s="246">
        <f t="shared" si="11"/>
        <v>7480</v>
      </c>
    </row>
    <row r="215" spans="1:8" x14ac:dyDescent="0.25">
      <c r="A215" s="232">
        <v>215</v>
      </c>
      <c r="B215" s="238"/>
      <c r="C215" s="260" t="s">
        <v>172</v>
      </c>
      <c r="D215" s="259" t="s">
        <v>24</v>
      </c>
      <c r="E215" s="245">
        <v>26307.5</v>
      </c>
      <c r="F215" s="238">
        <v>10</v>
      </c>
      <c r="G215" s="240">
        <v>0</v>
      </c>
      <c r="H215" s="246">
        <f t="shared" si="11"/>
        <v>263075</v>
      </c>
    </row>
    <row r="216" spans="1:8" x14ac:dyDescent="0.25">
      <c r="A216" s="232">
        <v>216</v>
      </c>
      <c r="B216" s="238"/>
      <c r="C216" s="247" t="s">
        <v>30</v>
      </c>
      <c r="D216" s="244" t="s">
        <v>24</v>
      </c>
      <c r="E216" s="245">
        <v>2000</v>
      </c>
      <c r="F216" s="238">
        <v>100</v>
      </c>
      <c r="G216" s="240">
        <v>0</v>
      </c>
      <c r="H216" s="246">
        <f t="shared" si="11"/>
        <v>200000</v>
      </c>
    </row>
    <row r="217" spans="1:8" x14ac:dyDescent="0.25">
      <c r="A217" s="232">
        <v>217</v>
      </c>
      <c r="B217" s="238"/>
      <c r="C217" s="262" t="s">
        <v>178</v>
      </c>
      <c r="D217" s="244" t="s">
        <v>24</v>
      </c>
      <c r="E217" s="251">
        <v>19900</v>
      </c>
      <c r="F217" s="263">
        <v>2</v>
      </c>
      <c r="G217" s="240">
        <v>0</v>
      </c>
      <c r="H217" s="246">
        <f t="shared" si="11"/>
        <v>39800</v>
      </c>
    </row>
    <row r="218" spans="1:8" x14ac:dyDescent="0.25">
      <c r="A218" s="232">
        <v>218</v>
      </c>
      <c r="B218" s="238"/>
      <c r="C218" s="247" t="s">
        <v>27</v>
      </c>
      <c r="D218" s="244" t="s">
        <v>25</v>
      </c>
      <c r="E218" s="251">
        <v>143884</v>
      </c>
      <c r="F218" s="238">
        <v>1</v>
      </c>
      <c r="G218" s="240">
        <v>0</v>
      </c>
      <c r="H218" s="246">
        <f t="shared" si="11"/>
        <v>143884</v>
      </c>
    </row>
    <row r="219" spans="1:8" x14ac:dyDescent="0.25">
      <c r="A219" s="232">
        <v>219</v>
      </c>
      <c r="B219" s="264"/>
      <c r="C219" s="265"/>
      <c r="D219" s="266"/>
      <c r="E219" s="267"/>
      <c r="F219" s="268" t="s">
        <v>14</v>
      </c>
      <c r="G219" s="268"/>
      <c r="H219" s="269">
        <f>SUM(H193:H218)</f>
        <v>9912065.5584000014</v>
      </c>
    </row>
    <row r="220" spans="1:8" x14ac:dyDescent="0.25">
      <c r="A220" s="232">
        <v>220</v>
      </c>
      <c r="B220" s="339" t="s">
        <v>16</v>
      </c>
      <c r="C220" s="339"/>
      <c r="D220" s="339"/>
      <c r="E220" s="339"/>
      <c r="F220" s="339"/>
      <c r="G220" s="339"/>
      <c r="H220" s="339"/>
    </row>
    <row r="221" spans="1:8" x14ac:dyDescent="0.25">
      <c r="A221" s="232">
        <v>221</v>
      </c>
      <c r="B221" s="234" t="s">
        <v>7</v>
      </c>
      <c r="C221" s="235" t="s">
        <v>0</v>
      </c>
      <c r="D221" s="234" t="s">
        <v>3</v>
      </c>
      <c r="E221" s="234" t="s">
        <v>9</v>
      </c>
      <c r="F221" s="270" t="s">
        <v>10</v>
      </c>
      <c r="G221" s="271" t="s">
        <v>11</v>
      </c>
      <c r="H221" s="235" t="s">
        <v>12</v>
      </c>
    </row>
    <row r="222" spans="1:8" x14ac:dyDescent="0.25">
      <c r="A222" s="232">
        <v>222</v>
      </c>
      <c r="B222" s="236"/>
      <c r="C222" s="247" t="s">
        <v>41</v>
      </c>
      <c r="D222" s="238" t="s">
        <v>46</v>
      </c>
      <c r="E222" s="272">
        <v>350000</v>
      </c>
      <c r="F222" s="238">
        <v>1</v>
      </c>
      <c r="G222" s="240">
        <v>0</v>
      </c>
      <c r="H222" s="241">
        <f>IF(E222="-","-",E222*F222*(1+G222))</f>
        <v>350000</v>
      </c>
    </row>
    <row r="223" spans="1:8" ht="30" x14ac:dyDescent="0.25">
      <c r="A223" s="232">
        <v>223</v>
      </c>
      <c r="B223" s="236"/>
      <c r="C223" s="273" t="s">
        <v>184</v>
      </c>
      <c r="D223" s="238" t="s">
        <v>46</v>
      </c>
      <c r="E223" s="274">
        <v>33333</v>
      </c>
      <c r="F223" s="238">
        <v>0.52</v>
      </c>
      <c r="G223" s="240">
        <v>0</v>
      </c>
      <c r="H223" s="241">
        <f>IF(E223="-","-",E223*F223*(1+G223))</f>
        <v>17333.16</v>
      </c>
    </row>
    <row r="224" spans="1:8" x14ac:dyDescent="0.25">
      <c r="A224" s="232">
        <v>224</v>
      </c>
      <c r="B224" s="236"/>
      <c r="C224" s="247" t="s">
        <v>73</v>
      </c>
      <c r="D224" s="238" t="s">
        <v>111</v>
      </c>
      <c r="E224" s="274">
        <v>121666</v>
      </c>
      <c r="F224" s="238">
        <v>10</v>
      </c>
      <c r="G224" s="240">
        <v>0</v>
      </c>
      <c r="H224" s="241">
        <f>IF(E224="-","-",E224*F224*(1+G224))</f>
        <v>1216660</v>
      </c>
    </row>
    <row r="225" spans="1:9" x14ac:dyDescent="0.25">
      <c r="A225" s="232">
        <v>225</v>
      </c>
      <c r="B225" s="275"/>
      <c r="C225" s="276"/>
      <c r="D225" s="277"/>
      <c r="E225" s="278"/>
      <c r="F225" s="238" t="s">
        <v>14</v>
      </c>
      <c r="G225" s="238"/>
      <c r="H225" s="242">
        <f>ROUND(SUM(H222:H224),0)</f>
        <v>1583993</v>
      </c>
    </row>
    <row r="226" spans="1:9" x14ac:dyDescent="0.25">
      <c r="A226" s="232">
        <v>226</v>
      </c>
      <c r="B226" s="339" t="s">
        <v>17</v>
      </c>
      <c r="C226" s="339"/>
      <c r="D226" s="339"/>
      <c r="E226" s="339"/>
      <c r="F226" s="339"/>
      <c r="G226" s="339"/>
      <c r="H226" s="339"/>
    </row>
    <row r="227" spans="1:9" x14ac:dyDescent="0.25">
      <c r="A227" s="232">
        <v>227</v>
      </c>
      <c r="B227" s="340" t="s">
        <v>8</v>
      </c>
      <c r="C227" s="341"/>
      <c r="D227" s="234" t="s">
        <v>3</v>
      </c>
      <c r="E227" s="234" t="s">
        <v>9</v>
      </c>
      <c r="F227" s="234" t="s">
        <v>10</v>
      </c>
      <c r="G227" s="234" t="s">
        <v>11</v>
      </c>
      <c r="H227" s="235" t="s">
        <v>12</v>
      </c>
    </row>
    <row r="228" spans="1:9" x14ac:dyDescent="0.25">
      <c r="A228" s="232">
        <v>228</v>
      </c>
      <c r="B228" s="236"/>
      <c r="C228" s="247" t="s">
        <v>33</v>
      </c>
      <c r="D228" s="238" t="s">
        <v>59</v>
      </c>
      <c r="E228" s="272">
        <v>140000</v>
      </c>
      <c r="F228" s="238">
        <v>2</v>
      </c>
      <c r="G228" s="240">
        <v>0</v>
      </c>
      <c r="H228" s="241">
        <f>IF(E228="-","-",E228*F228*(1+G228))</f>
        <v>280000</v>
      </c>
    </row>
    <row r="229" spans="1:9" ht="30" x14ac:dyDescent="0.25">
      <c r="A229" s="232">
        <v>229</v>
      </c>
      <c r="B229" s="279"/>
      <c r="C229" s="247" t="s">
        <v>32</v>
      </c>
      <c r="D229" s="238" t="s">
        <v>59</v>
      </c>
      <c r="E229" s="272">
        <v>97799</v>
      </c>
      <c r="F229" s="238">
        <v>2</v>
      </c>
      <c r="G229" s="240">
        <v>0</v>
      </c>
      <c r="H229" s="241">
        <f>IF(E229="-","-",E229*F229*(1+G229))</f>
        <v>195598</v>
      </c>
    </row>
    <row r="230" spans="1:9" x14ac:dyDescent="0.25">
      <c r="A230" s="232">
        <v>230</v>
      </c>
      <c r="B230" s="279"/>
      <c r="C230" s="247" t="s">
        <v>34</v>
      </c>
      <c r="D230" s="238" t="s">
        <v>59</v>
      </c>
      <c r="E230" s="272">
        <v>150000</v>
      </c>
      <c r="F230" s="238">
        <v>3</v>
      </c>
      <c r="G230" s="240">
        <v>0</v>
      </c>
      <c r="H230" s="241">
        <f>IF(E230="-","-",E230*F230*(1+G230))</f>
        <v>450000</v>
      </c>
    </row>
    <row r="231" spans="1:9" x14ac:dyDescent="0.25">
      <c r="A231" s="232">
        <v>231</v>
      </c>
      <c r="B231" s="279"/>
      <c r="C231" s="247" t="s">
        <v>19</v>
      </c>
      <c r="D231" s="238" t="s">
        <v>19</v>
      </c>
      <c r="E231" s="272" t="s">
        <v>19</v>
      </c>
      <c r="F231" s="238"/>
      <c r="G231" s="240"/>
      <c r="H231" s="241" t="str">
        <f>IF(E231="-","-",E231*F231*(1+G231))</f>
        <v>-</v>
      </c>
    </row>
    <row r="232" spans="1:9" x14ac:dyDescent="0.25">
      <c r="A232" s="232">
        <v>232</v>
      </c>
      <c r="B232" s="279"/>
      <c r="C232" s="247" t="s">
        <v>19</v>
      </c>
      <c r="D232" s="238" t="s">
        <v>19</v>
      </c>
      <c r="E232" s="272" t="s">
        <v>19</v>
      </c>
      <c r="F232" s="238"/>
      <c r="G232" s="240"/>
      <c r="H232" s="241" t="str">
        <f>IF(E232="-","-",E232*F232*(1+G232))</f>
        <v>-</v>
      </c>
    </row>
    <row r="233" spans="1:9" x14ac:dyDescent="0.25">
      <c r="A233" s="232">
        <v>233</v>
      </c>
      <c r="B233" s="342" t="s">
        <v>14</v>
      </c>
      <c r="C233" s="343"/>
      <c r="D233" s="343"/>
      <c r="E233" s="343"/>
      <c r="F233" s="344"/>
      <c r="G233" s="280"/>
      <c r="H233" s="242">
        <f>ROUND(SUM(H228:H232),0)</f>
        <v>925598</v>
      </c>
    </row>
    <row r="234" spans="1:9" x14ac:dyDescent="0.25">
      <c r="A234" s="232">
        <v>234</v>
      </c>
      <c r="B234" s="320"/>
      <c r="C234" s="327"/>
      <c r="D234" s="322"/>
      <c r="E234" s="321"/>
      <c r="F234" s="322"/>
      <c r="G234" s="322"/>
      <c r="H234" s="323"/>
    </row>
    <row r="235" spans="1:9" x14ac:dyDescent="0.25">
      <c r="A235" s="232">
        <v>235</v>
      </c>
      <c r="B235" s="320"/>
      <c r="C235" s="331"/>
      <c r="D235" s="322"/>
      <c r="E235" s="321"/>
      <c r="F235" s="233" t="s">
        <v>18</v>
      </c>
      <c r="G235" s="233"/>
      <c r="H235" s="325">
        <f>H190+H219+H225+H233</f>
        <v>12724112.558400001</v>
      </c>
    </row>
    <row r="236" spans="1:9" x14ac:dyDescent="0.25">
      <c r="A236" s="232">
        <v>236</v>
      </c>
      <c r="B236" s="320"/>
      <c r="C236" s="327"/>
      <c r="D236" s="322"/>
      <c r="E236" s="321"/>
      <c r="F236" s="322"/>
      <c r="G236" s="322"/>
      <c r="H236" s="323"/>
    </row>
    <row r="237" spans="1:9" x14ac:dyDescent="0.25">
      <c r="A237" s="232">
        <v>237</v>
      </c>
      <c r="B237" s="320"/>
      <c r="C237" s="332"/>
      <c r="D237" s="322"/>
      <c r="E237" s="321"/>
      <c r="F237" s="322"/>
      <c r="G237" s="322"/>
      <c r="H237" s="323"/>
    </row>
    <row r="238" spans="1:9" x14ac:dyDescent="0.25">
      <c r="A238" s="232">
        <v>238</v>
      </c>
      <c r="B238" s="320"/>
      <c r="D238" s="322"/>
      <c r="E238" s="321"/>
      <c r="F238" s="322"/>
      <c r="G238" s="322"/>
      <c r="H238" s="323"/>
    </row>
    <row r="239" spans="1:9" x14ac:dyDescent="0.25">
      <c r="A239" s="232">
        <v>239</v>
      </c>
      <c r="B239" s="320"/>
      <c r="C239" s="327"/>
      <c r="D239" s="322"/>
      <c r="E239" s="321"/>
      <c r="F239" s="322"/>
      <c r="G239" s="322"/>
      <c r="H239" s="323"/>
      <c r="I239" s="327"/>
    </row>
    <row r="240" spans="1:9" x14ac:dyDescent="0.25">
      <c r="A240" s="232">
        <v>240</v>
      </c>
      <c r="B240" s="328"/>
      <c r="C240" s="333"/>
      <c r="D240" s="266"/>
      <c r="E240" s="329"/>
      <c r="F240" s="266"/>
      <c r="G240" s="266"/>
      <c r="H240" s="330"/>
      <c r="I240" s="327"/>
    </row>
    <row r="241" spans="1:9" x14ac:dyDescent="0.25">
      <c r="A241" s="232">
        <v>241</v>
      </c>
      <c r="B241" s="339" t="s">
        <v>2</v>
      </c>
      <c r="C241" s="339"/>
      <c r="D241" s="339"/>
      <c r="E241" s="339"/>
      <c r="F241" s="339"/>
      <c r="G241" s="339"/>
      <c r="H241" s="339"/>
    </row>
    <row r="242" spans="1:9" ht="14.25" customHeight="1" x14ac:dyDescent="0.25">
      <c r="A242" s="232">
        <v>242</v>
      </c>
      <c r="B242" s="233" t="s">
        <v>1</v>
      </c>
      <c r="C242" s="250" t="s">
        <v>44</v>
      </c>
      <c r="D242" s="250"/>
      <c r="E242" s="250"/>
      <c r="F242" s="250"/>
      <c r="G242" s="250"/>
      <c r="H242" s="233">
        <v>5</v>
      </c>
      <c r="I242" s="232">
        <v>1</v>
      </c>
    </row>
    <row r="243" spans="1:9" x14ac:dyDescent="0.25">
      <c r="A243" s="232">
        <v>243</v>
      </c>
      <c r="B243" s="339" t="s">
        <v>5</v>
      </c>
      <c r="C243" s="339"/>
      <c r="D243" s="339"/>
      <c r="E243" s="339"/>
      <c r="F243" s="339"/>
      <c r="G243" s="339"/>
      <c r="H243" s="339"/>
    </row>
    <row r="244" spans="1:9" x14ac:dyDescent="0.25">
      <c r="A244" s="232">
        <v>244</v>
      </c>
      <c r="B244" s="234" t="s">
        <v>7</v>
      </c>
      <c r="C244" s="235" t="s">
        <v>8</v>
      </c>
      <c r="D244" s="234" t="s">
        <v>3</v>
      </c>
      <c r="E244" s="234" t="s">
        <v>9</v>
      </c>
      <c r="F244" s="284" t="s">
        <v>10</v>
      </c>
      <c r="G244" s="234" t="s">
        <v>11</v>
      </c>
      <c r="H244" s="235" t="s">
        <v>12</v>
      </c>
    </row>
    <row r="245" spans="1:9" x14ac:dyDescent="0.25">
      <c r="A245" s="232">
        <v>245</v>
      </c>
      <c r="B245" s="236"/>
      <c r="C245" s="281" t="s">
        <v>71</v>
      </c>
      <c r="D245" s="238" t="s">
        <v>46</v>
      </c>
      <c r="E245" s="239">
        <v>50000</v>
      </c>
      <c r="F245" s="238">
        <v>6.4279999999999999</v>
      </c>
      <c r="G245" s="240">
        <v>0</v>
      </c>
      <c r="H245" s="241">
        <f>+E245*F245*(1+G245)</f>
        <v>321400</v>
      </c>
    </row>
    <row r="246" spans="1:9" x14ac:dyDescent="0.25">
      <c r="A246" s="232">
        <v>246</v>
      </c>
      <c r="B246" s="236"/>
      <c r="C246" s="237" t="s">
        <v>20</v>
      </c>
      <c r="D246" s="238" t="s">
        <v>72</v>
      </c>
      <c r="E246" s="239">
        <f>H296*0.05</f>
        <v>360683.2</v>
      </c>
      <c r="F246" s="238">
        <v>1</v>
      </c>
      <c r="G246" s="240">
        <v>0</v>
      </c>
      <c r="H246" s="241">
        <f t="shared" ref="H246:H248" si="12">+E246*F246*(1+G246)</f>
        <v>360683.2</v>
      </c>
    </row>
    <row r="247" spans="1:9" x14ac:dyDescent="0.25">
      <c r="A247" s="232">
        <v>247</v>
      </c>
      <c r="B247" s="236"/>
      <c r="C247" s="281" t="s">
        <v>70</v>
      </c>
      <c r="D247" s="238" t="s">
        <v>46</v>
      </c>
      <c r="E247" s="239">
        <v>97038</v>
      </c>
      <c r="F247" s="238">
        <v>2</v>
      </c>
      <c r="G247" s="240">
        <v>0</v>
      </c>
      <c r="H247" s="241">
        <f t="shared" si="12"/>
        <v>194076</v>
      </c>
    </row>
    <row r="248" spans="1:9" x14ac:dyDescent="0.25">
      <c r="A248" s="232">
        <v>248</v>
      </c>
      <c r="B248" s="236"/>
      <c r="C248" s="281" t="s">
        <v>54</v>
      </c>
      <c r="D248" s="238" t="s">
        <v>46</v>
      </c>
      <c r="E248" s="239">
        <v>10000</v>
      </c>
      <c r="F248" s="238">
        <f>F245</f>
        <v>6.4279999999999999</v>
      </c>
      <c r="G248" s="240">
        <v>0</v>
      </c>
      <c r="H248" s="241">
        <f t="shared" si="12"/>
        <v>64280</v>
      </c>
    </row>
    <row r="249" spans="1:9" x14ac:dyDescent="0.25">
      <c r="A249" s="232">
        <v>249</v>
      </c>
      <c r="B249" s="279"/>
      <c r="C249" s="345"/>
      <c r="D249" s="345"/>
      <c r="E249" s="346"/>
      <c r="F249" s="284" t="s">
        <v>14</v>
      </c>
      <c r="G249" s="234"/>
      <c r="H249" s="242">
        <f>ROUND(SUM(H245:H248),0)</f>
        <v>940439</v>
      </c>
    </row>
    <row r="250" spans="1:9" x14ac:dyDescent="0.25">
      <c r="A250" s="232">
        <v>250</v>
      </c>
      <c r="B250" s="339" t="s">
        <v>15</v>
      </c>
      <c r="C250" s="339"/>
      <c r="D250" s="339"/>
      <c r="E250" s="339"/>
      <c r="F250" s="339"/>
      <c r="G250" s="339"/>
      <c r="H250" s="339"/>
    </row>
    <row r="251" spans="1:9" x14ac:dyDescent="0.25">
      <c r="A251" s="232">
        <v>251</v>
      </c>
      <c r="B251" s="234" t="s">
        <v>7</v>
      </c>
      <c r="C251" s="294" t="s">
        <v>8</v>
      </c>
      <c r="D251" s="234" t="s">
        <v>3</v>
      </c>
      <c r="E251" s="234" t="s">
        <v>9</v>
      </c>
      <c r="F251" s="284" t="s">
        <v>10</v>
      </c>
      <c r="G251" s="234" t="s">
        <v>11</v>
      </c>
      <c r="H251" s="235" t="s">
        <v>12</v>
      </c>
    </row>
    <row r="252" spans="1:9" x14ac:dyDescent="0.25">
      <c r="A252" s="232">
        <v>252</v>
      </c>
      <c r="B252" s="234"/>
      <c r="C252" s="295" t="s">
        <v>153</v>
      </c>
      <c r="D252" s="244" t="s">
        <v>25</v>
      </c>
      <c r="E252" s="245">
        <v>2329824.2000000002</v>
      </c>
      <c r="F252" s="263">
        <v>6</v>
      </c>
      <c r="G252" s="240">
        <v>0</v>
      </c>
      <c r="H252" s="246">
        <f t="shared" ref="H252:H281" si="13">+E252*F252</f>
        <v>13978945.200000001</v>
      </c>
    </row>
    <row r="253" spans="1:9" ht="45" x14ac:dyDescent="0.25">
      <c r="A253" s="232">
        <v>253</v>
      </c>
      <c r="B253" s="234"/>
      <c r="C253" s="243" t="s">
        <v>152</v>
      </c>
      <c r="D253" s="244" t="s">
        <v>25</v>
      </c>
      <c r="E253" s="245">
        <v>740300.00000000012</v>
      </c>
      <c r="F253" s="238">
        <v>6</v>
      </c>
      <c r="G253" s="240">
        <v>0</v>
      </c>
      <c r="H253" s="246">
        <f t="shared" si="13"/>
        <v>4441800.0000000009</v>
      </c>
    </row>
    <row r="254" spans="1:9" x14ac:dyDescent="0.25">
      <c r="A254" s="232">
        <v>254</v>
      </c>
      <c r="B254" s="234"/>
      <c r="C254" s="247" t="s">
        <v>191</v>
      </c>
      <c r="D254" s="244" t="s">
        <v>25</v>
      </c>
      <c r="E254" s="248">
        <f>105000*1.12</f>
        <v>117600.00000000001</v>
      </c>
      <c r="F254" s="238">
        <v>6</v>
      </c>
      <c r="G254" s="240">
        <v>0</v>
      </c>
      <c r="H254" s="246">
        <f t="shared" si="13"/>
        <v>705600.00000000012</v>
      </c>
    </row>
    <row r="255" spans="1:9" x14ac:dyDescent="0.25">
      <c r="A255" s="232">
        <v>255</v>
      </c>
      <c r="B255" s="234"/>
      <c r="C255" s="247" t="s">
        <v>192</v>
      </c>
      <c r="D255" s="244" t="s">
        <v>25</v>
      </c>
      <c r="E255" s="248">
        <f>13900*1.2</f>
        <v>16680</v>
      </c>
      <c r="F255" s="238">
        <v>6</v>
      </c>
      <c r="G255" s="240">
        <v>0</v>
      </c>
      <c r="H255" s="246">
        <f t="shared" si="13"/>
        <v>100080</v>
      </c>
    </row>
    <row r="256" spans="1:9" x14ac:dyDescent="0.25">
      <c r="A256" s="232">
        <v>256</v>
      </c>
      <c r="B256" s="238"/>
      <c r="C256" s="247" t="s">
        <v>45</v>
      </c>
      <c r="D256" s="244" t="s">
        <v>25</v>
      </c>
      <c r="E256" s="245">
        <v>1481000</v>
      </c>
      <c r="F256" s="263">
        <v>6</v>
      </c>
      <c r="G256" s="240">
        <v>0</v>
      </c>
      <c r="H256" s="246">
        <f t="shared" si="13"/>
        <v>8886000</v>
      </c>
    </row>
    <row r="257" spans="1:8" x14ac:dyDescent="0.25">
      <c r="A257" s="232">
        <v>257</v>
      </c>
      <c r="B257" s="238"/>
      <c r="C257" s="260" t="s">
        <v>173</v>
      </c>
      <c r="D257" s="244" t="s">
        <v>25</v>
      </c>
      <c r="E257" s="245">
        <v>16010.800000000001</v>
      </c>
      <c r="F257" s="263">
        <v>9</v>
      </c>
      <c r="G257" s="240">
        <v>0</v>
      </c>
      <c r="H257" s="246">
        <f t="shared" si="13"/>
        <v>144097.20000000001</v>
      </c>
    </row>
    <row r="258" spans="1:8" x14ac:dyDescent="0.25">
      <c r="A258" s="232">
        <v>258</v>
      </c>
      <c r="B258" s="238"/>
      <c r="C258" s="247" t="s">
        <v>66</v>
      </c>
      <c r="D258" s="244" t="s">
        <v>25</v>
      </c>
      <c r="E258" s="251">
        <v>42920</v>
      </c>
      <c r="F258" s="296">
        <v>1</v>
      </c>
      <c r="G258" s="240">
        <v>0</v>
      </c>
      <c r="H258" s="246">
        <f t="shared" si="13"/>
        <v>42920</v>
      </c>
    </row>
    <row r="259" spans="1:8" x14ac:dyDescent="0.25">
      <c r="A259" s="232">
        <v>259</v>
      </c>
      <c r="B259" s="238"/>
      <c r="C259" s="252" t="s">
        <v>175</v>
      </c>
      <c r="D259" s="253" t="s">
        <v>96</v>
      </c>
      <c r="E259" s="254">
        <v>23880</v>
      </c>
      <c r="F259" s="238">
        <v>0.5</v>
      </c>
      <c r="G259" s="240">
        <v>0</v>
      </c>
      <c r="H259" s="246">
        <f t="shared" si="13"/>
        <v>11940</v>
      </c>
    </row>
    <row r="260" spans="1:8" x14ac:dyDescent="0.25">
      <c r="A260" s="232">
        <v>260</v>
      </c>
      <c r="B260" s="238"/>
      <c r="C260" s="247" t="s">
        <v>182</v>
      </c>
      <c r="D260" s="244" t="s">
        <v>25</v>
      </c>
      <c r="E260" s="245">
        <v>535000</v>
      </c>
      <c r="F260" s="297">
        <v>3</v>
      </c>
      <c r="G260" s="240">
        <v>0</v>
      </c>
      <c r="H260" s="246">
        <f t="shared" si="13"/>
        <v>1605000</v>
      </c>
    </row>
    <row r="261" spans="1:8" ht="30" x14ac:dyDescent="0.25">
      <c r="A261" s="232">
        <v>261</v>
      </c>
      <c r="B261" s="238"/>
      <c r="C261" s="247" t="s">
        <v>56</v>
      </c>
      <c r="D261" s="244" t="s">
        <v>25</v>
      </c>
      <c r="E261" s="245">
        <v>1551000</v>
      </c>
      <c r="F261" s="263">
        <v>1</v>
      </c>
      <c r="G261" s="240">
        <v>0</v>
      </c>
      <c r="H261" s="246">
        <f>+E261*F261</f>
        <v>1551000</v>
      </c>
    </row>
    <row r="262" spans="1:8" x14ac:dyDescent="0.25">
      <c r="A262" s="232">
        <v>262</v>
      </c>
      <c r="B262" s="238"/>
      <c r="C262" s="282" t="s">
        <v>104</v>
      </c>
      <c r="D262" s="257" t="s">
        <v>25</v>
      </c>
      <c r="E262" s="245">
        <v>271000</v>
      </c>
      <c r="F262" s="263">
        <v>2</v>
      </c>
      <c r="G262" s="240">
        <v>0</v>
      </c>
      <c r="H262" s="246">
        <f t="shared" si="13"/>
        <v>542000</v>
      </c>
    </row>
    <row r="263" spans="1:8" x14ac:dyDescent="0.25">
      <c r="A263" s="232">
        <v>263</v>
      </c>
      <c r="B263" s="238"/>
      <c r="C263" s="243" t="s">
        <v>155</v>
      </c>
      <c r="D263" s="244" t="s">
        <v>25</v>
      </c>
      <c r="E263" s="245">
        <v>3428000</v>
      </c>
      <c r="F263" s="263">
        <v>1</v>
      </c>
      <c r="G263" s="240">
        <v>0</v>
      </c>
      <c r="H263" s="246">
        <f t="shared" si="13"/>
        <v>3428000</v>
      </c>
    </row>
    <row r="264" spans="1:8" ht="30" x14ac:dyDescent="0.25">
      <c r="A264" s="232">
        <v>264</v>
      </c>
      <c r="B264" s="238"/>
      <c r="C264" s="260" t="s">
        <v>156</v>
      </c>
      <c r="D264" s="244" t="s">
        <v>25</v>
      </c>
      <c r="E264" s="245">
        <v>2922700</v>
      </c>
      <c r="F264" s="263">
        <v>1</v>
      </c>
      <c r="G264" s="240">
        <v>0</v>
      </c>
      <c r="H264" s="246">
        <f t="shared" si="13"/>
        <v>2922700</v>
      </c>
    </row>
    <row r="265" spans="1:8" ht="30" x14ac:dyDescent="0.25">
      <c r="A265" s="232">
        <v>265</v>
      </c>
      <c r="B265" s="238"/>
      <c r="C265" s="260" t="s">
        <v>167</v>
      </c>
      <c r="D265" s="244" t="s">
        <v>25</v>
      </c>
      <c r="E265" s="245">
        <v>274800</v>
      </c>
      <c r="F265" s="263">
        <v>6</v>
      </c>
      <c r="G265" s="240">
        <v>0</v>
      </c>
      <c r="H265" s="246">
        <f t="shared" si="13"/>
        <v>1648800</v>
      </c>
    </row>
    <row r="266" spans="1:8" x14ac:dyDescent="0.25">
      <c r="A266" s="232">
        <v>266</v>
      </c>
      <c r="B266" s="238"/>
      <c r="C266" s="243" t="s">
        <v>161</v>
      </c>
      <c r="D266" s="244" t="s">
        <v>24</v>
      </c>
      <c r="E266" s="255">
        <v>5316</v>
      </c>
      <c r="F266" s="238">
        <v>4</v>
      </c>
      <c r="G266" s="240">
        <v>0</v>
      </c>
      <c r="H266" s="246">
        <f t="shared" si="13"/>
        <v>21264</v>
      </c>
    </row>
    <row r="267" spans="1:8" x14ac:dyDescent="0.25">
      <c r="A267" s="232">
        <v>267</v>
      </c>
      <c r="B267" s="238"/>
      <c r="C267" s="250" t="s">
        <v>162</v>
      </c>
      <c r="D267" s="244" t="s">
        <v>25</v>
      </c>
      <c r="E267" s="255">
        <f>1000*1.2</f>
        <v>1200</v>
      </c>
      <c r="F267" s="238">
        <v>12</v>
      </c>
      <c r="G267" s="240">
        <v>0</v>
      </c>
      <c r="H267" s="246">
        <f t="shared" si="13"/>
        <v>14400</v>
      </c>
    </row>
    <row r="268" spans="1:8" x14ac:dyDescent="0.25">
      <c r="A268" s="232">
        <v>268</v>
      </c>
      <c r="B268" s="238"/>
      <c r="C268" s="247" t="s">
        <v>67</v>
      </c>
      <c r="D268" s="244" t="s">
        <v>25</v>
      </c>
      <c r="E268" s="245">
        <v>10890</v>
      </c>
      <c r="F268" s="263">
        <v>6</v>
      </c>
      <c r="G268" s="240">
        <v>0</v>
      </c>
      <c r="H268" s="246">
        <f t="shared" si="13"/>
        <v>65340</v>
      </c>
    </row>
    <row r="269" spans="1:8" x14ac:dyDescent="0.25">
      <c r="A269" s="232">
        <v>269</v>
      </c>
      <c r="B269" s="238"/>
      <c r="C269" s="247" t="s">
        <v>22</v>
      </c>
      <c r="D269" s="244" t="s">
        <v>24</v>
      </c>
      <c r="E269" s="251">
        <v>7500</v>
      </c>
      <c r="F269" s="263">
        <v>60</v>
      </c>
      <c r="G269" s="240">
        <v>0</v>
      </c>
      <c r="H269" s="246">
        <f t="shared" si="13"/>
        <v>450000</v>
      </c>
    </row>
    <row r="270" spans="1:8" x14ac:dyDescent="0.25">
      <c r="A270" s="232">
        <v>270</v>
      </c>
      <c r="B270" s="238"/>
      <c r="C270" s="247" t="s">
        <v>95</v>
      </c>
      <c r="D270" s="244" t="s">
        <v>25</v>
      </c>
      <c r="E270" s="245">
        <v>8200</v>
      </c>
      <c r="F270" s="238">
        <v>12</v>
      </c>
      <c r="G270" s="240">
        <v>0</v>
      </c>
      <c r="H270" s="246">
        <f t="shared" si="13"/>
        <v>98400</v>
      </c>
    </row>
    <row r="271" spans="1:8" x14ac:dyDescent="0.25">
      <c r="A271" s="232">
        <v>271</v>
      </c>
      <c r="B271" s="238"/>
      <c r="C271" s="247" t="s">
        <v>28</v>
      </c>
      <c r="D271" s="244" t="s">
        <v>24</v>
      </c>
      <c r="E271" s="245">
        <v>3880</v>
      </c>
      <c r="F271" s="263">
        <v>100</v>
      </c>
      <c r="G271" s="240">
        <v>0</v>
      </c>
      <c r="H271" s="246">
        <f t="shared" si="13"/>
        <v>388000</v>
      </c>
    </row>
    <row r="272" spans="1:8" x14ac:dyDescent="0.25">
      <c r="A272" s="232">
        <v>272</v>
      </c>
      <c r="B272" s="238"/>
      <c r="C272" s="256" t="s">
        <v>63</v>
      </c>
      <c r="D272" s="257" t="s">
        <v>25</v>
      </c>
      <c r="E272" s="258">
        <v>20000</v>
      </c>
      <c r="F272" s="238">
        <v>24</v>
      </c>
      <c r="G272" s="240">
        <v>0.1</v>
      </c>
      <c r="H272" s="241">
        <f>+E272*F272*(1+G272)</f>
        <v>528000</v>
      </c>
    </row>
    <row r="273" spans="1:8" x14ac:dyDescent="0.25">
      <c r="A273" s="232">
        <v>273</v>
      </c>
      <c r="B273" s="238"/>
      <c r="C273" s="243" t="s">
        <v>174</v>
      </c>
      <c r="D273" s="259" t="s">
        <v>25</v>
      </c>
      <c r="E273" s="245">
        <v>700</v>
      </c>
      <c r="F273" s="263">
        <v>22</v>
      </c>
      <c r="G273" s="240">
        <v>0</v>
      </c>
      <c r="H273" s="246">
        <f t="shared" si="13"/>
        <v>15400</v>
      </c>
    </row>
    <row r="274" spans="1:8" x14ac:dyDescent="0.25">
      <c r="A274" s="232">
        <v>274</v>
      </c>
      <c r="B274" s="238"/>
      <c r="C274" s="247" t="s">
        <v>29</v>
      </c>
      <c r="D274" s="244" t="s">
        <v>24</v>
      </c>
      <c r="E274" s="245">
        <v>6870</v>
      </c>
      <c r="F274" s="263">
        <v>30</v>
      </c>
      <c r="G274" s="240">
        <v>0</v>
      </c>
      <c r="H274" s="246">
        <f t="shared" si="13"/>
        <v>206100</v>
      </c>
    </row>
    <row r="275" spans="1:8" x14ac:dyDescent="0.25">
      <c r="A275" s="232">
        <v>275</v>
      </c>
      <c r="B275" s="238"/>
      <c r="C275" s="247" t="s">
        <v>30</v>
      </c>
      <c r="D275" s="244" t="s">
        <v>24</v>
      </c>
      <c r="E275" s="245">
        <v>2000</v>
      </c>
      <c r="F275" s="263">
        <v>64</v>
      </c>
      <c r="G275" s="240">
        <v>0</v>
      </c>
      <c r="H275" s="246">
        <f t="shared" si="13"/>
        <v>128000</v>
      </c>
    </row>
    <row r="276" spans="1:8" x14ac:dyDescent="0.25">
      <c r="A276" s="232">
        <v>276</v>
      </c>
      <c r="B276" s="238"/>
      <c r="C276" s="252" t="s">
        <v>98</v>
      </c>
      <c r="D276" s="244" t="s">
        <v>25</v>
      </c>
      <c r="E276" s="251">
        <v>13500</v>
      </c>
      <c r="F276" s="263">
        <v>2</v>
      </c>
      <c r="G276" s="240">
        <v>0</v>
      </c>
      <c r="H276" s="246">
        <f t="shared" si="13"/>
        <v>27000</v>
      </c>
    </row>
    <row r="277" spans="1:8" x14ac:dyDescent="0.25">
      <c r="A277" s="232">
        <v>277</v>
      </c>
      <c r="B277" s="238"/>
      <c r="C277" s="252" t="s">
        <v>99</v>
      </c>
      <c r="D277" s="244" t="s">
        <v>25</v>
      </c>
      <c r="E277" s="251">
        <v>1000</v>
      </c>
      <c r="F277" s="263">
        <v>6</v>
      </c>
      <c r="G277" s="240">
        <v>0</v>
      </c>
      <c r="H277" s="246">
        <f t="shared" si="13"/>
        <v>6000</v>
      </c>
    </row>
    <row r="278" spans="1:8" x14ac:dyDescent="0.25">
      <c r="A278" s="232">
        <v>278</v>
      </c>
      <c r="B278" s="238"/>
      <c r="C278" s="261" t="s">
        <v>102</v>
      </c>
      <c r="D278" s="244" t="s">
        <v>25</v>
      </c>
      <c r="E278" s="245">
        <v>3740</v>
      </c>
      <c r="F278" s="238">
        <v>2</v>
      </c>
      <c r="G278" s="240">
        <v>0</v>
      </c>
      <c r="H278" s="246">
        <f t="shared" si="13"/>
        <v>7480</v>
      </c>
    </row>
    <row r="279" spans="1:8" x14ac:dyDescent="0.25">
      <c r="A279" s="232">
        <v>279</v>
      </c>
      <c r="B279" s="238"/>
      <c r="C279" s="260" t="s">
        <v>172</v>
      </c>
      <c r="D279" s="259" t="s">
        <v>24</v>
      </c>
      <c r="E279" s="245">
        <v>26307.5</v>
      </c>
      <c r="F279" s="263">
        <v>26</v>
      </c>
      <c r="G279" s="240">
        <v>0</v>
      </c>
      <c r="H279" s="246">
        <f t="shared" si="13"/>
        <v>683995</v>
      </c>
    </row>
    <row r="280" spans="1:8" x14ac:dyDescent="0.25">
      <c r="A280" s="232">
        <v>280</v>
      </c>
      <c r="B280" s="238"/>
      <c r="C280" s="262" t="s">
        <v>178</v>
      </c>
      <c r="D280" s="244" t="s">
        <v>24</v>
      </c>
      <c r="E280" s="251">
        <v>19900</v>
      </c>
      <c r="F280" s="263">
        <v>2</v>
      </c>
      <c r="G280" s="240">
        <v>0</v>
      </c>
      <c r="H280" s="246">
        <f t="shared" si="13"/>
        <v>39800</v>
      </c>
    </row>
    <row r="281" spans="1:8" x14ac:dyDescent="0.25">
      <c r="A281" s="232">
        <v>281</v>
      </c>
      <c r="B281" s="238"/>
      <c r="C281" s="247" t="s">
        <v>27</v>
      </c>
      <c r="D281" s="244" t="s">
        <v>25</v>
      </c>
      <c r="E281" s="251">
        <v>650000</v>
      </c>
      <c r="F281" s="263">
        <v>1</v>
      </c>
      <c r="G281" s="240">
        <v>0</v>
      </c>
      <c r="H281" s="246">
        <f t="shared" si="13"/>
        <v>650000</v>
      </c>
    </row>
    <row r="282" spans="1:8" x14ac:dyDescent="0.25">
      <c r="A282" s="232">
        <v>282</v>
      </c>
      <c r="B282" s="264"/>
      <c r="C282" s="265"/>
      <c r="D282" s="266"/>
      <c r="E282" s="267"/>
      <c r="F282" s="288" t="s">
        <v>14</v>
      </c>
      <c r="G282" s="268"/>
      <c r="H282" s="298">
        <f>SUM(H252:H281)</f>
        <v>43338061.400000006</v>
      </c>
    </row>
    <row r="283" spans="1:8" x14ac:dyDescent="0.25">
      <c r="A283" s="232">
        <v>283</v>
      </c>
      <c r="B283" s="339" t="s">
        <v>16</v>
      </c>
      <c r="C283" s="339"/>
      <c r="D283" s="339"/>
      <c r="E283" s="339"/>
      <c r="F283" s="339"/>
      <c r="G283" s="339"/>
      <c r="H283" s="339"/>
    </row>
    <row r="284" spans="1:8" x14ac:dyDescent="0.25">
      <c r="A284" s="232">
        <v>284</v>
      </c>
      <c r="B284" s="234" t="s">
        <v>7</v>
      </c>
      <c r="C284" s="235" t="s">
        <v>0</v>
      </c>
      <c r="D284" s="234" t="s">
        <v>3</v>
      </c>
      <c r="E284" s="234" t="s">
        <v>9</v>
      </c>
      <c r="F284" s="290" t="s">
        <v>10</v>
      </c>
      <c r="G284" s="271" t="s">
        <v>11</v>
      </c>
      <c r="H284" s="235" t="s">
        <v>12</v>
      </c>
    </row>
    <row r="285" spans="1:8" x14ac:dyDescent="0.25">
      <c r="A285" s="232">
        <v>285</v>
      </c>
      <c r="B285" s="236"/>
      <c r="C285" s="247" t="s">
        <v>41</v>
      </c>
      <c r="D285" s="238" t="s">
        <v>46</v>
      </c>
      <c r="E285" s="272">
        <v>350000</v>
      </c>
      <c r="F285" s="238">
        <v>1</v>
      </c>
      <c r="G285" s="240">
        <v>0</v>
      </c>
      <c r="H285" s="241">
        <f>IF(E285="-","-",E285*F285*(1+G285))</f>
        <v>350000</v>
      </c>
    </row>
    <row r="286" spans="1:8" ht="30" x14ac:dyDescent="0.25">
      <c r="A286" s="232">
        <v>286</v>
      </c>
      <c r="B286" s="236"/>
      <c r="C286" s="273" t="s">
        <v>184</v>
      </c>
      <c r="D286" s="238" t="s">
        <v>46</v>
      </c>
      <c r="E286" s="274">
        <v>33333</v>
      </c>
      <c r="F286" s="238">
        <v>3.21</v>
      </c>
      <c r="G286" s="240">
        <v>0</v>
      </c>
      <c r="H286" s="241">
        <f>IF(E286="-","-",E286*F286*(1+G286))</f>
        <v>106998.93</v>
      </c>
    </row>
    <row r="287" spans="1:8" x14ac:dyDescent="0.25">
      <c r="A287" s="232">
        <v>287</v>
      </c>
      <c r="B287" s="236"/>
      <c r="C287" s="247" t="s">
        <v>73</v>
      </c>
      <c r="D287" s="238" t="s">
        <v>111</v>
      </c>
      <c r="E287" s="274">
        <v>121666</v>
      </c>
      <c r="F287" s="238">
        <v>12</v>
      </c>
      <c r="G287" s="240">
        <v>0</v>
      </c>
      <c r="H287" s="241">
        <f>IF(E287="-","-",E287*F287*(1+G287))</f>
        <v>1459992</v>
      </c>
    </row>
    <row r="288" spans="1:8" x14ac:dyDescent="0.25">
      <c r="A288" s="232">
        <v>288</v>
      </c>
      <c r="B288" s="275"/>
      <c r="C288" s="276"/>
      <c r="D288" s="277"/>
      <c r="E288" s="278"/>
      <c r="F288" s="263" t="s">
        <v>14</v>
      </c>
      <c r="G288" s="238"/>
      <c r="H288" s="242">
        <f>ROUND(SUM(H285:H287),0)</f>
        <v>1916991</v>
      </c>
    </row>
    <row r="289" spans="1:9" x14ac:dyDescent="0.25">
      <c r="A289" s="232">
        <v>289</v>
      </c>
      <c r="B289" s="339" t="s">
        <v>17</v>
      </c>
      <c r="C289" s="339"/>
      <c r="D289" s="339"/>
      <c r="E289" s="339"/>
      <c r="F289" s="339"/>
      <c r="G289" s="339"/>
      <c r="H289" s="339"/>
    </row>
    <row r="290" spans="1:9" x14ac:dyDescent="0.25">
      <c r="A290" s="232">
        <v>290</v>
      </c>
      <c r="B290" s="340" t="s">
        <v>8</v>
      </c>
      <c r="C290" s="341"/>
      <c r="D290" s="234" t="s">
        <v>3</v>
      </c>
      <c r="E290" s="234" t="s">
        <v>9</v>
      </c>
      <c r="F290" s="284" t="s">
        <v>10</v>
      </c>
      <c r="G290" s="234" t="s">
        <v>11</v>
      </c>
      <c r="H290" s="235" t="s">
        <v>12</v>
      </c>
    </row>
    <row r="291" spans="1:9" x14ac:dyDescent="0.25">
      <c r="A291" s="232">
        <v>291</v>
      </c>
      <c r="B291" s="236"/>
      <c r="C291" s="247" t="s">
        <v>33</v>
      </c>
      <c r="D291" s="238" t="s">
        <v>59</v>
      </c>
      <c r="E291" s="272">
        <v>140000</v>
      </c>
      <c r="F291" s="263">
        <v>16</v>
      </c>
      <c r="G291" s="240">
        <v>0</v>
      </c>
      <c r="H291" s="241">
        <f>IF(E291="-","-",E291*F291*(1+G291))</f>
        <v>2240000</v>
      </c>
    </row>
    <row r="292" spans="1:9" ht="30" x14ac:dyDescent="0.25">
      <c r="A292" s="232">
        <v>292</v>
      </c>
      <c r="B292" s="279"/>
      <c r="C292" s="247" t="s">
        <v>43</v>
      </c>
      <c r="D292" s="238" t="s">
        <v>59</v>
      </c>
      <c r="E292" s="272">
        <v>160854</v>
      </c>
      <c r="F292" s="263">
        <v>16</v>
      </c>
      <c r="G292" s="240">
        <v>0</v>
      </c>
      <c r="H292" s="241">
        <f>IF(E292="-","-",E292*F292*(1+G292))</f>
        <v>2573664</v>
      </c>
    </row>
    <row r="293" spans="1:9" x14ac:dyDescent="0.25">
      <c r="A293" s="232">
        <v>293</v>
      </c>
      <c r="B293" s="279"/>
      <c r="C293" s="247" t="s">
        <v>64</v>
      </c>
      <c r="D293" s="238" t="s">
        <v>59</v>
      </c>
      <c r="E293" s="272">
        <v>150000</v>
      </c>
      <c r="F293" s="263">
        <v>16</v>
      </c>
      <c r="G293" s="240">
        <v>0</v>
      </c>
      <c r="H293" s="241">
        <f>IF(E293="-","-",E293*F293*(1+G293))</f>
        <v>2400000</v>
      </c>
    </row>
    <row r="294" spans="1:9" x14ac:dyDescent="0.25">
      <c r="A294" s="232">
        <v>294</v>
      </c>
      <c r="B294" s="279"/>
      <c r="C294" s="247" t="s">
        <v>19</v>
      </c>
      <c r="D294" s="238" t="s">
        <v>19</v>
      </c>
      <c r="E294" s="272" t="s">
        <v>19</v>
      </c>
      <c r="F294" s="263"/>
      <c r="G294" s="240"/>
      <c r="H294" s="241" t="str">
        <f>IF(E294="-","-",E294*F294*(1+G294))</f>
        <v>-</v>
      </c>
    </row>
    <row r="295" spans="1:9" x14ac:dyDescent="0.25">
      <c r="A295" s="232">
        <v>295</v>
      </c>
      <c r="B295" s="279"/>
      <c r="C295" s="247" t="s">
        <v>19</v>
      </c>
      <c r="D295" s="238" t="s">
        <v>19</v>
      </c>
      <c r="E295" s="272" t="s">
        <v>19</v>
      </c>
      <c r="F295" s="263"/>
      <c r="G295" s="240"/>
      <c r="H295" s="241" t="str">
        <f>IF(E295="-","-",E295*F295*(1+G295))</f>
        <v>-</v>
      </c>
    </row>
    <row r="296" spans="1:9" x14ac:dyDescent="0.25">
      <c r="A296" s="232">
        <v>296</v>
      </c>
      <c r="B296" s="342" t="s">
        <v>14</v>
      </c>
      <c r="C296" s="343"/>
      <c r="D296" s="343"/>
      <c r="E296" s="343"/>
      <c r="F296" s="344"/>
      <c r="G296" s="280"/>
      <c r="H296" s="242">
        <f>ROUND(SUM(H291:H295),0)</f>
        <v>7213664</v>
      </c>
    </row>
    <row r="297" spans="1:9" x14ac:dyDescent="0.25">
      <c r="A297" s="232">
        <v>297</v>
      </c>
      <c r="B297" s="320"/>
      <c r="C297" s="327"/>
      <c r="D297" s="322"/>
      <c r="E297" s="321"/>
      <c r="F297" s="334"/>
      <c r="G297" s="322"/>
      <c r="H297" s="323"/>
    </row>
    <row r="298" spans="1:9" x14ac:dyDescent="0.25">
      <c r="A298" s="232">
        <v>298</v>
      </c>
      <c r="B298" s="320"/>
      <c r="C298" s="331"/>
      <c r="D298" s="322"/>
      <c r="E298" s="321"/>
      <c r="F298" s="335" t="s">
        <v>18</v>
      </c>
      <c r="G298" s="233"/>
      <c r="H298" s="325">
        <f>H249+H282+H288+H296</f>
        <v>53409155.400000006</v>
      </c>
    </row>
    <row r="299" spans="1:9" x14ac:dyDescent="0.25">
      <c r="A299" s="232">
        <v>299</v>
      </c>
      <c r="B299" s="320"/>
      <c r="C299" s="327"/>
      <c r="D299" s="322"/>
      <c r="E299" s="321"/>
      <c r="F299" s="334"/>
      <c r="G299" s="322"/>
      <c r="H299" s="323"/>
    </row>
    <row r="300" spans="1:9" x14ac:dyDescent="0.25">
      <c r="A300" s="232">
        <v>300</v>
      </c>
      <c r="B300" s="320"/>
      <c r="C300" s="332"/>
      <c r="D300" s="322"/>
      <c r="E300" s="321"/>
      <c r="F300" s="334"/>
      <c r="G300" s="322"/>
      <c r="H300" s="323"/>
    </row>
    <row r="301" spans="1:9" x14ac:dyDescent="0.25">
      <c r="A301" s="232">
        <v>301</v>
      </c>
      <c r="B301" s="320"/>
      <c r="D301" s="322"/>
      <c r="E301" s="321"/>
      <c r="F301" s="334"/>
      <c r="G301" s="322"/>
      <c r="H301" s="323"/>
    </row>
    <row r="302" spans="1:9" x14ac:dyDescent="0.25">
      <c r="A302" s="232">
        <v>302</v>
      </c>
      <c r="B302" s="320"/>
      <c r="C302" s="327"/>
      <c r="D302" s="322"/>
      <c r="E302" s="321"/>
      <c r="F302" s="334"/>
      <c r="G302" s="322"/>
      <c r="H302" s="323"/>
      <c r="I302" s="327"/>
    </row>
    <row r="303" spans="1:9" x14ac:dyDescent="0.25">
      <c r="A303" s="232">
        <v>303</v>
      </c>
      <c r="B303" s="328"/>
      <c r="C303" s="333"/>
      <c r="D303" s="266"/>
      <c r="E303" s="329"/>
      <c r="F303" s="336"/>
      <c r="G303" s="266"/>
      <c r="H303" s="330"/>
      <c r="I303" s="327"/>
    </row>
    <row r="304" spans="1:9" x14ac:dyDescent="0.25">
      <c r="A304" s="232">
        <v>304</v>
      </c>
      <c r="B304" s="339" t="s">
        <v>2</v>
      </c>
      <c r="C304" s="339"/>
      <c r="D304" s="339"/>
      <c r="E304" s="339"/>
      <c r="F304" s="339"/>
      <c r="G304" s="339"/>
      <c r="H304" s="339"/>
    </row>
    <row r="305" spans="1:9" ht="14.25" customHeight="1" x14ac:dyDescent="0.25">
      <c r="A305" s="232">
        <v>305</v>
      </c>
      <c r="B305" s="233" t="s">
        <v>1</v>
      </c>
      <c r="C305" s="250" t="s">
        <v>202</v>
      </c>
      <c r="D305" s="250"/>
      <c r="E305" s="250"/>
      <c r="F305" s="250"/>
      <c r="G305" s="250"/>
      <c r="H305" s="233">
        <v>6</v>
      </c>
      <c r="I305" s="299">
        <v>4</v>
      </c>
    </row>
    <row r="306" spans="1:9" x14ac:dyDescent="0.25">
      <c r="A306" s="232">
        <v>306</v>
      </c>
      <c r="B306" s="339" t="s">
        <v>5</v>
      </c>
      <c r="C306" s="339"/>
      <c r="D306" s="339"/>
      <c r="E306" s="339"/>
      <c r="F306" s="339"/>
      <c r="G306" s="339"/>
      <c r="H306" s="339"/>
    </row>
    <row r="307" spans="1:9" x14ac:dyDescent="0.25">
      <c r="A307" s="232">
        <v>307</v>
      </c>
      <c r="B307" s="234" t="s">
        <v>7</v>
      </c>
      <c r="C307" s="235" t="s">
        <v>8</v>
      </c>
      <c r="D307" s="235" t="s">
        <v>3</v>
      </c>
      <c r="E307" s="234" t="s">
        <v>9</v>
      </c>
      <c r="F307" s="234" t="s">
        <v>10</v>
      </c>
      <c r="G307" s="285" t="s">
        <v>11</v>
      </c>
      <c r="H307" s="235" t="s">
        <v>12</v>
      </c>
    </row>
    <row r="308" spans="1:9" x14ac:dyDescent="0.25">
      <c r="A308" s="232">
        <v>308</v>
      </c>
      <c r="B308" s="236"/>
      <c r="C308" s="281" t="s">
        <v>71</v>
      </c>
      <c r="D308" s="238" t="s">
        <v>46</v>
      </c>
      <c r="E308" s="239">
        <v>50000</v>
      </c>
      <c r="F308" s="238">
        <v>1.2709999999999999</v>
      </c>
      <c r="G308" s="240">
        <v>0</v>
      </c>
      <c r="H308" s="241">
        <f>+E308*F308*(1+G308)</f>
        <v>63549.999999999993</v>
      </c>
    </row>
    <row r="309" spans="1:9" x14ac:dyDescent="0.25">
      <c r="A309" s="232">
        <v>309</v>
      </c>
      <c r="B309" s="236"/>
      <c r="C309" s="237" t="s">
        <v>20</v>
      </c>
      <c r="D309" s="238" t="s">
        <v>72</v>
      </c>
      <c r="E309" s="239">
        <f>H360*0.05</f>
        <v>104170.8</v>
      </c>
      <c r="F309" s="238">
        <v>1</v>
      </c>
      <c r="G309" s="240">
        <v>0</v>
      </c>
      <c r="H309" s="241">
        <f>+E309*F309*(1+G309)</f>
        <v>104170.8</v>
      </c>
    </row>
    <row r="310" spans="1:9" x14ac:dyDescent="0.25">
      <c r="A310" s="232">
        <v>310</v>
      </c>
      <c r="B310" s="236"/>
      <c r="C310" s="281" t="s">
        <v>70</v>
      </c>
      <c r="D310" s="238" t="s">
        <v>46</v>
      </c>
      <c r="E310" s="239">
        <v>97038</v>
      </c>
      <c r="F310" s="238">
        <v>2</v>
      </c>
      <c r="G310" s="240">
        <v>0</v>
      </c>
      <c r="H310" s="241">
        <f t="shared" ref="H310:H311" si="14">+E310*F310*(1+G310)</f>
        <v>194076</v>
      </c>
    </row>
    <row r="311" spans="1:9" x14ac:dyDescent="0.25">
      <c r="A311" s="232">
        <v>311</v>
      </c>
      <c r="B311" s="236"/>
      <c r="C311" s="281" t="s">
        <v>54</v>
      </c>
      <c r="D311" s="238" t="s">
        <v>46</v>
      </c>
      <c r="E311" s="239">
        <v>10000</v>
      </c>
      <c r="F311" s="238">
        <f>F308</f>
        <v>1.2709999999999999</v>
      </c>
      <c r="G311" s="240">
        <v>0</v>
      </c>
      <c r="H311" s="241">
        <f t="shared" si="14"/>
        <v>12709.999999999998</v>
      </c>
    </row>
    <row r="312" spans="1:9" x14ac:dyDescent="0.25">
      <c r="A312" s="232">
        <v>312</v>
      </c>
      <c r="B312" s="279"/>
      <c r="C312" s="345"/>
      <c r="D312" s="345"/>
      <c r="E312" s="346"/>
      <c r="F312" s="234" t="s">
        <v>14</v>
      </c>
      <c r="G312" s="285"/>
      <c r="H312" s="242">
        <f>ROUND(SUM(H308:H311),0)</f>
        <v>374507</v>
      </c>
    </row>
    <row r="313" spans="1:9" x14ac:dyDescent="0.25">
      <c r="A313" s="232">
        <v>313</v>
      </c>
      <c r="B313" s="339" t="s">
        <v>15</v>
      </c>
      <c r="C313" s="339"/>
      <c r="D313" s="339"/>
      <c r="E313" s="339"/>
      <c r="F313" s="339"/>
      <c r="G313" s="339"/>
      <c r="H313" s="339"/>
    </row>
    <row r="314" spans="1:9" x14ac:dyDescent="0.25">
      <c r="A314" s="232">
        <v>314</v>
      </c>
      <c r="B314" s="234" t="s">
        <v>7</v>
      </c>
      <c r="C314" s="235" t="s">
        <v>8</v>
      </c>
      <c r="D314" s="235" t="s">
        <v>3</v>
      </c>
      <c r="E314" s="234" t="s">
        <v>9</v>
      </c>
      <c r="F314" s="234" t="s">
        <v>10</v>
      </c>
      <c r="G314" s="234" t="s">
        <v>11</v>
      </c>
      <c r="H314" s="235" t="s">
        <v>12</v>
      </c>
    </row>
    <row r="315" spans="1:9" ht="45" x14ac:dyDescent="0.25">
      <c r="A315" s="232">
        <v>315</v>
      </c>
      <c r="B315" s="238"/>
      <c r="C315" s="243" t="s">
        <v>152</v>
      </c>
      <c r="D315" s="244" t="s">
        <v>25</v>
      </c>
      <c r="E315" s="245">
        <v>740300.00000000012</v>
      </c>
      <c r="F315" s="238">
        <v>1</v>
      </c>
      <c r="G315" s="240">
        <v>0</v>
      </c>
      <c r="H315" s="246">
        <f>+E315*F315</f>
        <v>740300.00000000012</v>
      </c>
    </row>
    <row r="316" spans="1:9" x14ac:dyDescent="0.25">
      <c r="A316" s="232">
        <v>316</v>
      </c>
      <c r="B316" s="238"/>
      <c r="C316" s="247" t="s">
        <v>191</v>
      </c>
      <c r="D316" s="244" t="s">
        <v>25</v>
      </c>
      <c r="E316" s="248">
        <f>105000*1.12</f>
        <v>117600.00000000001</v>
      </c>
      <c r="F316" s="238">
        <v>1</v>
      </c>
      <c r="G316" s="240">
        <v>0</v>
      </c>
      <c r="H316" s="246">
        <f t="shared" ref="H316:H317" si="15">+E316*F316</f>
        <v>117600.00000000001</v>
      </c>
    </row>
    <row r="317" spans="1:9" x14ac:dyDescent="0.25">
      <c r="A317" s="232">
        <v>317</v>
      </c>
      <c r="B317" s="238"/>
      <c r="C317" s="247" t="s">
        <v>192</v>
      </c>
      <c r="D317" s="244" t="s">
        <v>25</v>
      </c>
      <c r="E317" s="248">
        <f>13900*1.2</f>
        <v>16680</v>
      </c>
      <c r="F317" s="238">
        <v>1</v>
      </c>
      <c r="G317" s="240">
        <v>0</v>
      </c>
      <c r="H317" s="246">
        <f t="shared" si="15"/>
        <v>16680</v>
      </c>
    </row>
    <row r="318" spans="1:9" ht="30" x14ac:dyDescent="0.25">
      <c r="A318" s="232">
        <v>318</v>
      </c>
      <c r="B318" s="238"/>
      <c r="C318" s="249" t="s">
        <v>148</v>
      </c>
      <c r="D318" s="244" t="s">
        <v>25</v>
      </c>
      <c r="E318" s="245">
        <v>512800</v>
      </c>
      <c r="F318" s="238">
        <v>1</v>
      </c>
      <c r="G318" s="240">
        <v>0</v>
      </c>
      <c r="H318" s="246">
        <f>+E318*F318</f>
        <v>512800</v>
      </c>
    </row>
    <row r="319" spans="1:9" x14ac:dyDescent="0.25">
      <c r="A319" s="232">
        <v>319</v>
      </c>
      <c r="B319" s="238"/>
      <c r="C319" s="247" t="s">
        <v>37</v>
      </c>
      <c r="D319" s="244" t="s">
        <v>25</v>
      </c>
      <c r="E319" s="251">
        <v>864900</v>
      </c>
      <c r="F319" s="238">
        <v>1</v>
      </c>
      <c r="G319" s="240">
        <v>0</v>
      </c>
      <c r="H319" s="246">
        <f>+E319*F319</f>
        <v>864900</v>
      </c>
    </row>
    <row r="320" spans="1:9" x14ac:dyDescent="0.25">
      <c r="A320" s="232">
        <v>320</v>
      </c>
      <c r="B320" s="238"/>
      <c r="C320" s="247" t="s">
        <v>35</v>
      </c>
      <c r="D320" s="244" t="s">
        <v>25</v>
      </c>
      <c r="E320" s="251">
        <v>322000</v>
      </c>
      <c r="F320" s="238">
        <v>1</v>
      </c>
      <c r="G320" s="240">
        <v>0</v>
      </c>
      <c r="H320" s="246">
        <f t="shared" ref="H320:H343" si="16">+E320*F320</f>
        <v>322000</v>
      </c>
    </row>
    <row r="321" spans="1:8" x14ac:dyDescent="0.25">
      <c r="A321" s="232">
        <v>321</v>
      </c>
      <c r="B321" s="238"/>
      <c r="C321" s="247" t="s">
        <v>181</v>
      </c>
      <c r="D321" s="244" t="s">
        <v>25</v>
      </c>
      <c r="E321" s="245">
        <v>451256.75840000005</v>
      </c>
      <c r="F321" s="238">
        <v>1</v>
      </c>
      <c r="G321" s="240">
        <v>0</v>
      </c>
      <c r="H321" s="246">
        <f t="shared" si="16"/>
        <v>451256.75840000005</v>
      </c>
    </row>
    <row r="322" spans="1:8" ht="30" x14ac:dyDescent="0.25">
      <c r="A322" s="232">
        <v>322</v>
      </c>
      <c r="B322" s="238"/>
      <c r="C322" s="247" t="s">
        <v>105</v>
      </c>
      <c r="D322" s="244" t="s">
        <v>25</v>
      </c>
      <c r="E322" s="245">
        <v>1105000</v>
      </c>
      <c r="F322" s="238">
        <v>1</v>
      </c>
      <c r="G322" s="240">
        <v>0</v>
      </c>
      <c r="H322" s="246">
        <f>+E322*F322</f>
        <v>1105000</v>
      </c>
    </row>
    <row r="323" spans="1:8" ht="30" x14ac:dyDescent="0.25">
      <c r="A323" s="232">
        <v>323</v>
      </c>
      <c r="B323" s="238"/>
      <c r="C323" s="247" t="s">
        <v>185</v>
      </c>
      <c r="D323" s="244" t="s">
        <v>25</v>
      </c>
      <c r="E323" s="251">
        <v>457000</v>
      </c>
      <c r="F323" s="238">
        <v>1</v>
      </c>
      <c r="G323" s="240">
        <v>0</v>
      </c>
      <c r="H323" s="246">
        <f t="shared" si="16"/>
        <v>457000</v>
      </c>
    </row>
    <row r="324" spans="1:8" x14ac:dyDescent="0.25">
      <c r="A324" s="232">
        <v>324</v>
      </c>
      <c r="B324" s="238"/>
      <c r="C324" s="282" t="s">
        <v>104</v>
      </c>
      <c r="D324" s="257" t="s">
        <v>25</v>
      </c>
      <c r="E324" s="245">
        <v>271000</v>
      </c>
      <c r="F324" s="238">
        <v>1</v>
      </c>
      <c r="G324" s="240">
        <v>0</v>
      </c>
      <c r="H324" s="246">
        <f t="shared" si="16"/>
        <v>271000</v>
      </c>
    </row>
    <row r="325" spans="1:8" x14ac:dyDescent="0.25">
      <c r="A325" s="232">
        <v>325</v>
      </c>
      <c r="B325" s="238"/>
      <c r="C325" s="247" t="s">
        <v>38</v>
      </c>
      <c r="D325" s="244" t="s">
        <v>25</v>
      </c>
      <c r="E325" s="251">
        <v>1340971</v>
      </c>
      <c r="F325" s="238">
        <v>1</v>
      </c>
      <c r="G325" s="240">
        <v>0</v>
      </c>
      <c r="H325" s="246">
        <f t="shared" si="16"/>
        <v>1340971</v>
      </c>
    </row>
    <row r="326" spans="1:8" x14ac:dyDescent="0.25">
      <c r="A326" s="232">
        <v>326</v>
      </c>
      <c r="B326" s="238"/>
      <c r="C326" s="247" t="s">
        <v>107</v>
      </c>
      <c r="D326" s="244" t="s">
        <v>25</v>
      </c>
      <c r="E326" s="251">
        <v>476645</v>
      </c>
      <c r="F326" s="238">
        <v>1</v>
      </c>
      <c r="G326" s="240">
        <v>0</v>
      </c>
      <c r="H326" s="246">
        <f t="shared" si="16"/>
        <v>476645</v>
      </c>
    </row>
    <row r="327" spans="1:8" x14ac:dyDescent="0.25">
      <c r="A327" s="232">
        <v>327</v>
      </c>
      <c r="B327" s="238"/>
      <c r="C327" s="247" t="s">
        <v>26</v>
      </c>
      <c r="D327" s="244" t="s">
        <v>25</v>
      </c>
      <c r="E327" s="251">
        <v>1094800</v>
      </c>
      <c r="F327" s="238">
        <v>2</v>
      </c>
      <c r="G327" s="240">
        <v>0</v>
      </c>
      <c r="H327" s="246">
        <f t="shared" si="16"/>
        <v>2189600</v>
      </c>
    </row>
    <row r="328" spans="1:8" x14ac:dyDescent="0.25">
      <c r="A328" s="232">
        <v>328</v>
      </c>
      <c r="B328" s="238"/>
      <c r="C328" s="247" t="s">
        <v>23</v>
      </c>
      <c r="D328" s="244" t="s">
        <v>25</v>
      </c>
      <c r="E328" s="245">
        <v>1111210</v>
      </c>
      <c r="F328" s="238">
        <v>1</v>
      </c>
      <c r="G328" s="240">
        <v>0</v>
      </c>
      <c r="H328" s="246">
        <f t="shared" si="16"/>
        <v>1111210</v>
      </c>
    </row>
    <row r="329" spans="1:8" x14ac:dyDescent="0.25">
      <c r="A329" s="232">
        <v>329</v>
      </c>
      <c r="B329" s="238"/>
      <c r="C329" s="243" t="s">
        <v>161</v>
      </c>
      <c r="D329" s="244" t="s">
        <v>24</v>
      </c>
      <c r="E329" s="255">
        <v>5316</v>
      </c>
      <c r="F329" s="238">
        <v>4</v>
      </c>
      <c r="G329" s="240">
        <v>0</v>
      </c>
      <c r="H329" s="246">
        <f t="shared" si="16"/>
        <v>21264</v>
      </c>
    </row>
    <row r="330" spans="1:8" x14ac:dyDescent="0.25">
      <c r="A330" s="232">
        <v>330</v>
      </c>
      <c r="B330" s="238"/>
      <c r="C330" s="250" t="s">
        <v>162</v>
      </c>
      <c r="D330" s="244" t="s">
        <v>25</v>
      </c>
      <c r="E330" s="255">
        <f>1000*1.2</f>
        <v>1200</v>
      </c>
      <c r="F330" s="238">
        <v>12</v>
      </c>
      <c r="G330" s="240">
        <v>0</v>
      </c>
      <c r="H330" s="246">
        <f t="shared" si="16"/>
        <v>14400</v>
      </c>
    </row>
    <row r="331" spans="1:8" x14ac:dyDescent="0.25">
      <c r="A331" s="232">
        <v>331</v>
      </c>
      <c r="B331" s="238"/>
      <c r="C331" s="247" t="s">
        <v>21</v>
      </c>
      <c r="D331" s="244" t="s">
        <v>25</v>
      </c>
      <c r="E331" s="245">
        <v>10890</v>
      </c>
      <c r="F331" s="238">
        <v>3</v>
      </c>
      <c r="G331" s="240">
        <v>0</v>
      </c>
      <c r="H331" s="246">
        <f t="shared" si="16"/>
        <v>32670</v>
      </c>
    </row>
    <row r="332" spans="1:8" x14ac:dyDescent="0.25">
      <c r="A332" s="232">
        <v>332</v>
      </c>
      <c r="B332" s="238"/>
      <c r="C332" s="247" t="s">
        <v>31</v>
      </c>
      <c r="D332" s="244" t="s">
        <v>25</v>
      </c>
      <c r="E332" s="245">
        <v>78016.400000000009</v>
      </c>
      <c r="F332" s="238">
        <v>1</v>
      </c>
      <c r="G332" s="240">
        <v>0</v>
      </c>
      <c r="H332" s="246">
        <f t="shared" si="16"/>
        <v>78016.400000000009</v>
      </c>
    </row>
    <row r="333" spans="1:8" x14ac:dyDescent="0.25">
      <c r="A333" s="232">
        <v>333</v>
      </c>
      <c r="B333" s="238"/>
      <c r="C333" s="247" t="s">
        <v>22</v>
      </c>
      <c r="D333" s="244" t="s">
        <v>24</v>
      </c>
      <c r="E333" s="251">
        <v>7500</v>
      </c>
      <c r="F333" s="238">
        <v>4</v>
      </c>
      <c r="G333" s="240">
        <v>0</v>
      </c>
      <c r="H333" s="246">
        <f t="shared" si="16"/>
        <v>30000</v>
      </c>
    </row>
    <row r="334" spans="1:8" x14ac:dyDescent="0.25">
      <c r="A334" s="232">
        <v>334</v>
      </c>
      <c r="B334" s="238"/>
      <c r="C334" s="247" t="s">
        <v>95</v>
      </c>
      <c r="D334" s="244" t="s">
        <v>25</v>
      </c>
      <c r="E334" s="245">
        <v>8200</v>
      </c>
      <c r="F334" s="238">
        <v>12</v>
      </c>
      <c r="G334" s="240">
        <v>0</v>
      </c>
      <c r="H334" s="246">
        <f t="shared" si="16"/>
        <v>98400</v>
      </c>
    </row>
    <row r="335" spans="1:8" x14ac:dyDescent="0.25">
      <c r="A335" s="232">
        <v>335</v>
      </c>
      <c r="B335" s="238"/>
      <c r="C335" s="256" t="s">
        <v>63</v>
      </c>
      <c r="D335" s="257" t="s">
        <v>25</v>
      </c>
      <c r="E335" s="258">
        <v>20000</v>
      </c>
      <c r="F335" s="238">
        <v>6</v>
      </c>
      <c r="G335" s="240">
        <v>0.1</v>
      </c>
      <c r="H335" s="241">
        <f>+E335*F335*(1+G335)</f>
        <v>132000</v>
      </c>
    </row>
    <row r="336" spans="1:8" x14ac:dyDescent="0.25">
      <c r="A336" s="232">
        <v>336</v>
      </c>
      <c r="B336" s="238"/>
      <c r="C336" s="243" t="s">
        <v>174</v>
      </c>
      <c r="D336" s="259" t="s">
        <v>25</v>
      </c>
      <c r="E336" s="245">
        <v>700</v>
      </c>
      <c r="F336" s="238">
        <v>6</v>
      </c>
      <c r="G336" s="240">
        <v>0</v>
      </c>
      <c r="H336" s="246">
        <f t="shared" si="16"/>
        <v>4200</v>
      </c>
    </row>
    <row r="337" spans="1:8" x14ac:dyDescent="0.25">
      <c r="A337" s="232">
        <v>337</v>
      </c>
      <c r="B337" s="238"/>
      <c r="C337" s="247" t="s">
        <v>28</v>
      </c>
      <c r="D337" s="244" t="s">
        <v>24</v>
      </c>
      <c r="E337" s="245">
        <v>3880</v>
      </c>
      <c r="F337" s="238">
        <v>9</v>
      </c>
      <c r="G337" s="240">
        <v>0</v>
      </c>
      <c r="H337" s="246">
        <f t="shared" si="16"/>
        <v>34920</v>
      </c>
    </row>
    <row r="338" spans="1:8" x14ac:dyDescent="0.25">
      <c r="A338" s="232">
        <v>338</v>
      </c>
      <c r="B338" s="238"/>
      <c r="C338" s="260" t="s">
        <v>173</v>
      </c>
      <c r="D338" s="244" t="s">
        <v>25</v>
      </c>
      <c r="E338" s="245">
        <v>16010.800000000001</v>
      </c>
      <c r="F338" s="238">
        <v>1</v>
      </c>
      <c r="G338" s="240">
        <v>0</v>
      </c>
      <c r="H338" s="246">
        <f t="shared" si="16"/>
        <v>16010.800000000001</v>
      </c>
    </row>
    <row r="339" spans="1:8" x14ac:dyDescent="0.25">
      <c r="A339" s="232">
        <v>339</v>
      </c>
      <c r="B339" s="238"/>
      <c r="C339" s="247" t="s">
        <v>29</v>
      </c>
      <c r="D339" s="244" t="s">
        <v>24</v>
      </c>
      <c r="E339" s="251">
        <v>6870</v>
      </c>
      <c r="F339" s="238">
        <v>2</v>
      </c>
      <c r="G339" s="240">
        <v>0</v>
      </c>
      <c r="H339" s="246">
        <f t="shared" si="16"/>
        <v>13740</v>
      </c>
    </row>
    <row r="340" spans="1:8" x14ac:dyDescent="0.25">
      <c r="A340" s="232">
        <v>340</v>
      </c>
      <c r="B340" s="238"/>
      <c r="C340" s="247" t="s">
        <v>36</v>
      </c>
      <c r="D340" s="244" t="s">
        <v>24</v>
      </c>
      <c r="E340" s="251">
        <v>6000</v>
      </c>
      <c r="F340" s="238">
        <v>10</v>
      </c>
      <c r="G340" s="240">
        <v>0</v>
      </c>
      <c r="H340" s="246">
        <f t="shared" si="16"/>
        <v>60000</v>
      </c>
    </row>
    <row r="341" spans="1:8" x14ac:dyDescent="0.25">
      <c r="A341" s="232">
        <v>341</v>
      </c>
      <c r="B341" s="238"/>
      <c r="C341" s="247" t="s">
        <v>58</v>
      </c>
      <c r="D341" s="244" t="s">
        <v>25</v>
      </c>
      <c r="E341" s="251">
        <v>42920</v>
      </c>
      <c r="F341" s="238">
        <v>1</v>
      </c>
      <c r="G341" s="240">
        <v>0</v>
      </c>
      <c r="H341" s="246">
        <f t="shared" si="16"/>
        <v>42920</v>
      </c>
    </row>
    <row r="342" spans="1:8" x14ac:dyDescent="0.25">
      <c r="A342" s="232">
        <v>342</v>
      </c>
      <c r="B342" s="238"/>
      <c r="C342" s="247" t="s">
        <v>57</v>
      </c>
      <c r="D342" s="244" t="s">
        <v>25</v>
      </c>
      <c r="E342" s="251">
        <v>126303</v>
      </c>
      <c r="F342" s="238">
        <v>2</v>
      </c>
      <c r="G342" s="240">
        <v>0</v>
      </c>
      <c r="H342" s="246">
        <f t="shared" si="16"/>
        <v>252606</v>
      </c>
    </row>
    <row r="343" spans="1:8" x14ac:dyDescent="0.25">
      <c r="A343" s="232">
        <v>343</v>
      </c>
      <c r="B343" s="238"/>
      <c r="C343" s="252" t="s">
        <v>175</v>
      </c>
      <c r="D343" s="253" t="s">
        <v>96</v>
      </c>
      <c r="E343" s="254">
        <v>23880</v>
      </c>
      <c r="F343" s="238">
        <v>0.5</v>
      </c>
      <c r="G343" s="240">
        <v>0</v>
      </c>
      <c r="H343" s="246">
        <f t="shared" si="16"/>
        <v>11940</v>
      </c>
    </row>
    <row r="344" spans="1:8" x14ac:dyDescent="0.25">
      <c r="A344" s="232">
        <v>344</v>
      </c>
      <c r="B344" s="238"/>
      <c r="C344" s="247" t="s">
        <v>150</v>
      </c>
      <c r="D344" s="244" t="s">
        <v>25</v>
      </c>
      <c r="E344" s="251">
        <v>5500</v>
      </c>
      <c r="F344" s="238">
        <v>2</v>
      </c>
      <c r="G344" s="240">
        <v>0</v>
      </c>
      <c r="H344" s="246">
        <f>+E344*F344</f>
        <v>11000</v>
      </c>
    </row>
    <row r="345" spans="1:8" x14ac:dyDescent="0.25">
      <c r="A345" s="232">
        <v>345</v>
      </c>
      <c r="B345" s="238"/>
      <c r="C345" s="262" t="s">
        <v>178</v>
      </c>
      <c r="D345" s="244" t="s">
        <v>24</v>
      </c>
      <c r="E345" s="251">
        <v>19900</v>
      </c>
      <c r="F345" s="263">
        <v>2</v>
      </c>
      <c r="G345" s="240">
        <v>0</v>
      </c>
      <c r="H345" s="246">
        <f t="shared" ref="H345:H346" si="17">+E345*F345</f>
        <v>39800</v>
      </c>
    </row>
    <row r="346" spans="1:8" x14ac:dyDescent="0.25">
      <c r="A346" s="232">
        <v>346</v>
      </c>
      <c r="B346" s="238"/>
      <c r="C346" s="247" t="s">
        <v>177</v>
      </c>
      <c r="D346" s="244" t="s">
        <v>24</v>
      </c>
      <c r="E346" s="251">
        <v>8000</v>
      </c>
      <c r="F346" s="263">
        <v>3</v>
      </c>
      <c r="G346" s="240">
        <v>0</v>
      </c>
      <c r="H346" s="246">
        <f t="shared" si="17"/>
        <v>24000</v>
      </c>
    </row>
    <row r="347" spans="1:8" x14ac:dyDescent="0.25">
      <c r="A347" s="232">
        <v>347</v>
      </c>
      <c r="B347" s="238"/>
      <c r="C347" s="247" t="s">
        <v>27</v>
      </c>
      <c r="D347" s="244" t="s">
        <v>25</v>
      </c>
      <c r="E347" s="251">
        <v>250000</v>
      </c>
      <c r="F347" s="238">
        <v>1</v>
      </c>
      <c r="G347" s="240">
        <v>0</v>
      </c>
      <c r="H347" s="246">
        <f>+E347*F347</f>
        <v>250000</v>
      </c>
    </row>
    <row r="348" spans="1:8" x14ac:dyDescent="0.25">
      <c r="A348" s="232">
        <v>348</v>
      </c>
      <c r="B348" s="264"/>
      <c r="C348" s="265"/>
      <c r="D348" s="287"/>
      <c r="E348" s="267"/>
      <c r="F348" s="268" t="s">
        <v>14</v>
      </c>
      <c r="G348" s="289"/>
      <c r="H348" s="298">
        <f>SUM(H315:H347)</f>
        <v>11144849.958400002</v>
      </c>
    </row>
    <row r="349" spans="1:8" x14ac:dyDescent="0.25">
      <c r="A349" s="232">
        <v>349</v>
      </c>
      <c r="B349" s="347" t="s">
        <v>16</v>
      </c>
      <c r="C349" s="348"/>
      <c r="D349" s="348"/>
      <c r="E349" s="348"/>
      <c r="F349" s="348"/>
      <c r="G349" s="348"/>
      <c r="H349" s="349"/>
    </row>
    <row r="350" spans="1:8" x14ac:dyDescent="0.25">
      <c r="A350" s="232">
        <v>350</v>
      </c>
      <c r="B350" s="234" t="s">
        <v>7</v>
      </c>
      <c r="C350" s="235" t="s">
        <v>0</v>
      </c>
      <c r="D350" s="235" t="s">
        <v>3</v>
      </c>
      <c r="E350" s="234" t="s">
        <v>9</v>
      </c>
      <c r="F350" s="270" t="s">
        <v>10</v>
      </c>
      <c r="G350" s="291" t="s">
        <v>11</v>
      </c>
      <c r="H350" s="235" t="s">
        <v>12</v>
      </c>
    </row>
    <row r="351" spans="1:8" x14ac:dyDescent="0.25">
      <c r="A351" s="232">
        <v>351</v>
      </c>
      <c r="B351" s="236"/>
      <c r="C351" s="247" t="s">
        <v>41</v>
      </c>
      <c r="D351" s="238" t="s">
        <v>46</v>
      </c>
      <c r="E351" s="272">
        <v>350000</v>
      </c>
      <c r="F351" s="238">
        <v>1</v>
      </c>
      <c r="G351" s="240">
        <v>0</v>
      </c>
      <c r="H351" s="241">
        <f>IF(E351="-","-",E351*F351*(1+G351))</f>
        <v>350000</v>
      </c>
    </row>
    <row r="352" spans="1:8" ht="30" x14ac:dyDescent="0.25">
      <c r="A352" s="232">
        <v>352</v>
      </c>
      <c r="B352" s="236"/>
      <c r="C352" s="273" t="s">
        <v>184</v>
      </c>
      <c r="D352" s="238" t="s">
        <v>46</v>
      </c>
      <c r="E352" s="274">
        <v>33333</v>
      </c>
      <c r="F352" s="238">
        <v>0.64</v>
      </c>
      <c r="G352" s="240">
        <v>0</v>
      </c>
      <c r="H352" s="241">
        <f>IF(E352="-","-",E352*F352*(1+G352))</f>
        <v>21333.119999999999</v>
      </c>
    </row>
    <row r="353" spans="1:9" x14ac:dyDescent="0.25">
      <c r="A353" s="232">
        <v>353</v>
      </c>
      <c r="B353" s="236"/>
      <c r="C353" s="247" t="s">
        <v>73</v>
      </c>
      <c r="D353" s="238" t="s">
        <v>111</v>
      </c>
      <c r="E353" s="274">
        <v>121666</v>
      </c>
      <c r="F353" s="238">
        <v>5</v>
      </c>
      <c r="G353" s="240">
        <v>0</v>
      </c>
      <c r="H353" s="241">
        <f>IF(E353="-","-",E353*F353*(1+G353))</f>
        <v>608330</v>
      </c>
    </row>
    <row r="354" spans="1:9" x14ac:dyDescent="0.25">
      <c r="A354" s="232">
        <v>354</v>
      </c>
      <c r="B354" s="275"/>
      <c r="C354" s="276"/>
      <c r="D354" s="276"/>
      <c r="E354" s="278"/>
      <c r="F354" s="238" t="s">
        <v>14</v>
      </c>
      <c r="G354" s="238"/>
      <c r="H354" s="242">
        <f>ROUND(SUM(H351:H353),0)</f>
        <v>979663</v>
      </c>
    </row>
    <row r="355" spans="1:9" x14ac:dyDescent="0.25">
      <c r="A355" s="232">
        <v>355</v>
      </c>
      <c r="B355" s="347" t="s">
        <v>17</v>
      </c>
      <c r="C355" s="348"/>
      <c r="D355" s="348"/>
      <c r="E355" s="348"/>
      <c r="F355" s="348"/>
      <c r="G355" s="348"/>
      <c r="H355" s="349"/>
    </row>
    <row r="356" spans="1:9" x14ac:dyDescent="0.25">
      <c r="A356" s="232">
        <v>356</v>
      </c>
      <c r="B356" s="340" t="s">
        <v>8</v>
      </c>
      <c r="C356" s="341"/>
      <c r="D356" s="235" t="s">
        <v>3</v>
      </c>
      <c r="E356" s="234" t="s">
        <v>9</v>
      </c>
      <c r="F356" s="234" t="s">
        <v>10</v>
      </c>
      <c r="G356" s="285" t="s">
        <v>11</v>
      </c>
      <c r="H356" s="235" t="s">
        <v>12</v>
      </c>
    </row>
    <row r="357" spans="1:9" x14ac:dyDescent="0.25">
      <c r="A357" s="232">
        <v>357</v>
      </c>
      <c r="B357" s="236"/>
      <c r="C357" s="247" t="s">
        <v>33</v>
      </c>
      <c r="D357" s="238" t="s">
        <v>59</v>
      </c>
      <c r="E357" s="272">
        <v>140000</v>
      </c>
      <c r="F357" s="238">
        <v>6</v>
      </c>
      <c r="G357" s="240">
        <v>0</v>
      </c>
      <c r="H357" s="241">
        <f>IF(E357="-","-",E357*F357*(1+G357))</f>
        <v>840000</v>
      </c>
    </row>
    <row r="358" spans="1:9" ht="30" x14ac:dyDescent="0.25">
      <c r="A358" s="232">
        <v>358</v>
      </c>
      <c r="B358" s="279"/>
      <c r="C358" s="247" t="s">
        <v>43</v>
      </c>
      <c r="D358" s="238" t="s">
        <v>59</v>
      </c>
      <c r="E358" s="272">
        <v>160854</v>
      </c>
      <c r="F358" s="238">
        <v>4</v>
      </c>
      <c r="G358" s="240">
        <v>0</v>
      </c>
      <c r="H358" s="241">
        <f>IF(E358="-","-",E358*F358*(1+G358))</f>
        <v>643416</v>
      </c>
    </row>
    <row r="359" spans="1:9" x14ac:dyDescent="0.25">
      <c r="A359" s="232">
        <v>359</v>
      </c>
      <c r="B359" s="279"/>
      <c r="C359" s="247" t="s">
        <v>34</v>
      </c>
      <c r="D359" s="238" t="s">
        <v>59</v>
      </c>
      <c r="E359" s="272">
        <v>150000</v>
      </c>
      <c r="F359" s="238">
        <v>4</v>
      </c>
      <c r="G359" s="240">
        <v>0</v>
      </c>
      <c r="H359" s="241">
        <f>IF(E359="-","-",E359*F359*(1+G359))</f>
        <v>600000</v>
      </c>
    </row>
    <row r="360" spans="1:9" x14ac:dyDescent="0.25">
      <c r="A360" s="232">
        <v>360</v>
      </c>
      <c r="B360" s="342" t="s">
        <v>14</v>
      </c>
      <c r="C360" s="343"/>
      <c r="D360" s="343"/>
      <c r="E360" s="343"/>
      <c r="F360" s="344"/>
      <c r="G360" s="292"/>
      <c r="H360" s="242">
        <f>ROUND(SUM(H357:H359),0)</f>
        <v>2083416</v>
      </c>
    </row>
    <row r="361" spans="1:9" x14ac:dyDescent="0.25">
      <c r="A361" s="232">
        <v>361</v>
      </c>
      <c r="B361" s="320"/>
      <c r="C361" s="327"/>
      <c r="D361" s="327"/>
      <c r="E361" s="321"/>
      <c r="F361" s="322"/>
      <c r="G361" s="322"/>
      <c r="H361" s="323"/>
    </row>
    <row r="362" spans="1:9" x14ac:dyDescent="0.25">
      <c r="A362" s="232">
        <v>362</v>
      </c>
      <c r="B362" s="320"/>
      <c r="C362" s="331"/>
      <c r="D362" s="327"/>
      <c r="E362" s="321"/>
      <c r="F362" s="233" t="s">
        <v>18</v>
      </c>
      <c r="G362" s="233"/>
      <c r="H362" s="325">
        <f>H312+H348+H354+H360</f>
        <v>14582435.958400002</v>
      </c>
    </row>
    <row r="363" spans="1:9" x14ac:dyDescent="0.25">
      <c r="A363" s="232">
        <v>363</v>
      </c>
      <c r="B363" s="320"/>
      <c r="C363" s="327"/>
      <c r="D363" s="327"/>
      <c r="E363" s="321"/>
      <c r="F363" s="322"/>
      <c r="G363" s="322"/>
      <c r="H363" s="323"/>
    </row>
    <row r="364" spans="1:9" x14ac:dyDescent="0.25">
      <c r="A364" s="232">
        <v>364</v>
      </c>
      <c r="B364" s="320"/>
      <c r="C364" s="332"/>
      <c r="D364" s="327"/>
      <c r="E364" s="321"/>
      <c r="F364" s="322"/>
      <c r="G364" s="322"/>
      <c r="H364" s="323"/>
    </row>
    <row r="365" spans="1:9" x14ac:dyDescent="0.25">
      <c r="A365" s="232">
        <v>365</v>
      </c>
      <c r="B365" s="320"/>
      <c r="D365" s="327"/>
      <c r="E365" s="321"/>
      <c r="F365" s="322"/>
      <c r="G365" s="322"/>
      <c r="H365" s="323"/>
    </row>
    <row r="366" spans="1:9" x14ac:dyDescent="0.25">
      <c r="A366" s="232">
        <v>366</v>
      </c>
      <c r="B366" s="320"/>
      <c r="C366" s="327"/>
      <c r="D366" s="327"/>
      <c r="E366" s="321"/>
      <c r="F366" s="322"/>
      <c r="G366" s="322"/>
      <c r="H366" s="323"/>
      <c r="I366" s="327"/>
    </row>
    <row r="367" spans="1:9" x14ac:dyDescent="0.25">
      <c r="A367" s="232">
        <v>367</v>
      </c>
      <c r="B367" s="328"/>
      <c r="C367" s="333"/>
      <c r="D367" s="333"/>
      <c r="E367" s="329"/>
      <c r="F367" s="266"/>
      <c r="G367" s="266"/>
      <c r="H367" s="330"/>
      <c r="I367" s="327"/>
    </row>
    <row r="368" spans="1:9" x14ac:dyDescent="0.25">
      <c r="A368" s="232">
        <v>368</v>
      </c>
      <c r="B368" s="339" t="s">
        <v>2</v>
      </c>
      <c r="C368" s="339"/>
      <c r="D368" s="339"/>
      <c r="E368" s="339"/>
      <c r="F368" s="339"/>
      <c r="G368" s="339"/>
      <c r="H368" s="339"/>
    </row>
    <row r="369" spans="1:9" ht="14.25" customHeight="1" x14ac:dyDescent="0.25">
      <c r="A369" s="232">
        <v>369</v>
      </c>
      <c r="B369" s="233" t="s">
        <v>1</v>
      </c>
      <c r="C369" s="250" t="s">
        <v>198</v>
      </c>
      <c r="D369" s="250"/>
      <c r="E369" s="250"/>
      <c r="F369" s="250"/>
      <c r="G369" s="250"/>
      <c r="H369" s="233">
        <v>7</v>
      </c>
      <c r="I369" s="232">
        <v>6</v>
      </c>
    </row>
    <row r="370" spans="1:9" x14ac:dyDescent="0.25">
      <c r="A370" s="232">
        <v>370</v>
      </c>
      <c r="B370" s="339" t="s">
        <v>5</v>
      </c>
      <c r="C370" s="339"/>
      <c r="D370" s="339"/>
      <c r="E370" s="339"/>
      <c r="F370" s="339"/>
      <c r="G370" s="339"/>
      <c r="H370" s="339"/>
    </row>
    <row r="371" spans="1:9" x14ac:dyDescent="0.25">
      <c r="A371" s="232">
        <v>371</v>
      </c>
      <c r="B371" s="234" t="s">
        <v>7</v>
      </c>
      <c r="C371" s="235" t="s">
        <v>8</v>
      </c>
      <c r="D371" s="235" t="s">
        <v>3</v>
      </c>
      <c r="E371" s="234" t="s">
        <v>9</v>
      </c>
      <c r="F371" s="234" t="s">
        <v>10</v>
      </c>
      <c r="G371" s="285" t="s">
        <v>11</v>
      </c>
      <c r="H371" s="235" t="s">
        <v>12</v>
      </c>
    </row>
    <row r="372" spans="1:9" x14ac:dyDescent="0.25">
      <c r="A372" s="232">
        <v>372</v>
      </c>
      <c r="B372" s="236"/>
      <c r="C372" s="281" t="s">
        <v>71</v>
      </c>
      <c r="D372" s="238" t="s">
        <v>46</v>
      </c>
      <c r="E372" s="239">
        <v>50000</v>
      </c>
      <c r="F372" s="238">
        <v>1.452</v>
      </c>
      <c r="G372" s="240">
        <v>0</v>
      </c>
      <c r="H372" s="241">
        <f>+E372*F372*(1+G372)</f>
        <v>72600</v>
      </c>
    </row>
    <row r="373" spans="1:9" x14ac:dyDescent="0.25">
      <c r="A373" s="232">
        <v>373</v>
      </c>
      <c r="B373" s="236"/>
      <c r="C373" s="237" t="s">
        <v>20</v>
      </c>
      <c r="D373" s="238" t="s">
        <v>72</v>
      </c>
      <c r="E373" s="239">
        <f>H425*0.05</f>
        <v>157298.90000000002</v>
      </c>
      <c r="F373" s="238">
        <v>1</v>
      </c>
      <c r="G373" s="240">
        <v>0</v>
      </c>
      <c r="H373" s="241">
        <f>+E373*F373*(1+G373)</f>
        <v>157298.90000000002</v>
      </c>
    </row>
    <row r="374" spans="1:9" x14ac:dyDescent="0.25">
      <c r="A374" s="232">
        <v>374</v>
      </c>
      <c r="B374" s="236"/>
      <c r="C374" s="281" t="s">
        <v>70</v>
      </c>
      <c r="D374" s="238" t="s">
        <v>46</v>
      </c>
      <c r="E374" s="239">
        <v>97038</v>
      </c>
      <c r="F374" s="238">
        <v>2</v>
      </c>
      <c r="G374" s="240">
        <v>0</v>
      </c>
      <c r="H374" s="241">
        <f t="shared" ref="H374:H375" si="18">+E374*F374*(1+G374)</f>
        <v>194076</v>
      </c>
    </row>
    <row r="375" spans="1:9" x14ac:dyDescent="0.25">
      <c r="A375" s="232">
        <v>375</v>
      </c>
      <c r="B375" s="236"/>
      <c r="C375" s="281" t="s">
        <v>54</v>
      </c>
      <c r="D375" s="238" t="s">
        <v>46</v>
      </c>
      <c r="E375" s="239">
        <v>10000</v>
      </c>
      <c r="F375" s="238">
        <f>F372</f>
        <v>1.452</v>
      </c>
      <c r="G375" s="240">
        <v>0</v>
      </c>
      <c r="H375" s="241">
        <f t="shared" si="18"/>
        <v>14520</v>
      </c>
    </row>
    <row r="376" spans="1:9" x14ac:dyDescent="0.25">
      <c r="A376" s="232">
        <v>376</v>
      </c>
      <c r="B376" s="236"/>
      <c r="C376" s="281"/>
      <c r="D376" s="238"/>
      <c r="E376" s="239"/>
      <c r="F376" s="238"/>
      <c r="G376" s="240"/>
      <c r="H376" s="241"/>
    </row>
    <row r="377" spans="1:9" x14ac:dyDescent="0.25">
      <c r="A377" s="232">
        <v>377</v>
      </c>
      <c r="B377" s="279"/>
      <c r="C377" s="345"/>
      <c r="D377" s="345"/>
      <c r="E377" s="346"/>
      <c r="F377" s="234" t="s">
        <v>14</v>
      </c>
      <c r="G377" s="285"/>
      <c r="H377" s="242">
        <f>ROUND(SUM(H372:H376),0)</f>
        <v>438495</v>
      </c>
    </row>
    <row r="378" spans="1:9" x14ac:dyDescent="0.25">
      <c r="A378" s="232">
        <v>378</v>
      </c>
      <c r="B378" s="339" t="s">
        <v>15</v>
      </c>
      <c r="C378" s="339"/>
      <c r="D378" s="339"/>
      <c r="E378" s="339"/>
      <c r="F378" s="339"/>
      <c r="G378" s="339"/>
      <c r="H378" s="339"/>
    </row>
    <row r="379" spans="1:9" x14ac:dyDescent="0.25">
      <c r="A379" s="232">
        <v>379</v>
      </c>
      <c r="B379" s="234" t="s">
        <v>7</v>
      </c>
      <c r="C379" s="235" t="s">
        <v>8</v>
      </c>
      <c r="D379" s="235" t="s">
        <v>3</v>
      </c>
      <c r="E379" s="234" t="s">
        <v>9</v>
      </c>
      <c r="F379" s="234" t="s">
        <v>10</v>
      </c>
      <c r="G379" s="234" t="s">
        <v>11</v>
      </c>
      <c r="H379" s="235" t="s">
        <v>12</v>
      </c>
    </row>
    <row r="380" spans="1:9" ht="45" x14ac:dyDescent="0.25">
      <c r="A380" s="232">
        <v>380</v>
      </c>
      <c r="B380" s="238"/>
      <c r="C380" s="300" t="s">
        <v>152</v>
      </c>
      <c r="D380" s="244" t="s">
        <v>25</v>
      </c>
      <c r="E380" s="301">
        <v>740300.00000000012</v>
      </c>
      <c r="F380" s="238">
        <v>1</v>
      </c>
      <c r="G380" s="240">
        <v>0</v>
      </c>
      <c r="H380" s="246">
        <f>+E380*F380</f>
        <v>740300.00000000012</v>
      </c>
    </row>
    <row r="381" spans="1:9" x14ac:dyDescent="0.25">
      <c r="A381" s="232">
        <v>381</v>
      </c>
      <c r="B381" s="238"/>
      <c r="C381" s="247" t="s">
        <v>191</v>
      </c>
      <c r="D381" s="244" t="s">
        <v>25</v>
      </c>
      <c r="E381" s="248">
        <f>105000*1.12</f>
        <v>117600.00000000001</v>
      </c>
      <c r="F381" s="238">
        <v>1</v>
      </c>
      <c r="G381" s="240">
        <v>0</v>
      </c>
      <c r="H381" s="246">
        <f t="shared" ref="H381:H382" si="19">+E381*F381</f>
        <v>117600.00000000001</v>
      </c>
    </row>
    <row r="382" spans="1:9" x14ac:dyDescent="0.25">
      <c r="A382" s="232">
        <v>382</v>
      </c>
      <c r="B382" s="238"/>
      <c r="C382" s="247" t="s">
        <v>192</v>
      </c>
      <c r="D382" s="244" t="s">
        <v>25</v>
      </c>
      <c r="E382" s="248">
        <f>13900*1.2</f>
        <v>16680</v>
      </c>
      <c r="F382" s="238">
        <v>1</v>
      </c>
      <c r="G382" s="240">
        <v>0</v>
      </c>
      <c r="H382" s="246">
        <f t="shared" si="19"/>
        <v>16680</v>
      </c>
    </row>
    <row r="383" spans="1:9" ht="30" x14ac:dyDescent="0.25">
      <c r="A383" s="232">
        <v>383</v>
      </c>
      <c r="B383" s="238"/>
      <c r="C383" s="249" t="s">
        <v>148</v>
      </c>
      <c r="D383" s="257" t="s">
        <v>25</v>
      </c>
      <c r="E383" s="302">
        <v>512800</v>
      </c>
      <c r="F383" s="238">
        <v>2</v>
      </c>
      <c r="G383" s="240">
        <v>0</v>
      </c>
      <c r="H383" s="246">
        <f>+E383*F383</f>
        <v>1025600</v>
      </c>
    </row>
    <row r="384" spans="1:9" x14ac:dyDescent="0.25">
      <c r="A384" s="232">
        <v>384</v>
      </c>
      <c r="B384" s="238"/>
      <c r="C384" s="247" t="s">
        <v>37</v>
      </c>
      <c r="D384" s="244" t="s">
        <v>25</v>
      </c>
      <c r="E384" s="251">
        <v>864900</v>
      </c>
      <c r="F384" s="238">
        <v>1</v>
      </c>
      <c r="G384" s="240">
        <v>0</v>
      </c>
      <c r="H384" s="246">
        <f>+E384*F384</f>
        <v>864900</v>
      </c>
    </row>
    <row r="385" spans="1:8" x14ac:dyDescent="0.25">
      <c r="A385" s="232">
        <v>385</v>
      </c>
      <c r="B385" s="238"/>
      <c r="C385" s="247" t="s">
        <v>35</v>
      </c>
      <c r="D385" s="244" t="s">
        <v>25</v>
      </c>
      <c r="E385" s="251">
        <v>322000</v>
      </c>
      <c r="F385" s="238">
        <v>1</v>
      </c>
      <c r="G385" s="240">
        <v>0</v>
      </c>
      <c r="H385" s="246">
        <f t="shared" ref="H385:H412" si="20">+E385*F385</f>
        <v>322000</v>
      </c>
    </row>
    <row r="386" spans="1:8" x14ac:dyDescent="0.25">
      <c r="A386" s="232">
        <v>386</v>
      </c>
      <c r="B386" s="238"/>
      <c r="C386" s="247" t="s">
        <v>181</v>
      </c>
      <c r="D386" s="244" t="s">
        <v>25</v>
      </c>
      <c r="E386" s="245">
        <v>451256.75840000005</v>
      </c>
      <c r="F386" s="238">
        <v>1</v>
      </c>
      <c r="G386" s="240">
        <v>0</v>
      </c>
      <c r="H386" s="246">
        <f t="shared" si="20"/>
        <v>451256.75840000005</v>
      </c>
    </row>
    <row r="387" spans="1:8" ht="30" x14ac:dyDescent="0.25">
      <c r="A387" s="232">
        <v>387</v>
      </c>
      <c r="B387" s="238"/>
      <c r="C387" s="247" t="s">
        <v>100</v>
      </c>
      <c r="D387" s="244" t="s">
        <v>25</v>
      </c>
      <c r="E387" s="245">
        <v>1105000</v>
      </c>
      <c r="F387" s="238">
        <v>1</v>
      </c>
      <c r="G387" s="240">
        <v>0</v>
      </c>
      <c r="H387" s="246">
        <f>+E387*F387</f>
        <v>1105000</v>
      </c>
    </row>
    <row r="388" spans="1:8" ht="30" x14ac:dyDescent="0.25">
      <c r="A388" s="232">
        <v>388</v>
      </c>
      <c r="B388" s="238"/>
      <c r="C388" s="247" t="s">
        <v>185</v>
      </c>
      <c r="D388" s="244" t="s">
        <v>25</v>
      </c>
      <c r="E388" s="251">
        <v>457000</v>
      </c>
      <c r="F388" s="238">
        <v>1</v>
      </c>
      <c r="G388" s="240">
        <v>0</v>
      </c>
      <c r="H388" s="246">
        <f t="shared" si="20"/>
        <v>457000</v>
      </c>
    </row>
    <row r="389" spans="1:8" x14ac:dyDescent="0.25">
      <c r="A389" s="232">
        <v>389</v>
      </c>
      <c r="B389" s="238"/>
      <c r="C389" s="282" t="s">
        <v>104</v>
      </c>
      <c r="D389" s="257" t="s">
        <v>25</v>
      </c>
      <c r="E389" s="245">
        <v>271000</v>
      </c>
      <c r="F389" s="238">
        <v>1</v>
      </c>
      <c r="G389" s="240">
        <v>0</v>
      </c>
      <c r="H389" s="246">
        <f t="shared" si="20"/>
        <v>271000</v>
      </c>
    </row>
    <row r="390" spans="1:8" x14ac:dyDescent="0.25">
      <c r="A390" s="232">
        <v>390</v>
      </c>
      <c r="B390" s="238"/>
      <c r="C390" s="247" t="s">
        <v>38</v>
      </c>
      <c r="D390" s="244" t="s">
        <v>25</v>
      </c>
      <c r="E390" s="251">
        <v>1340971</v>
      </c>
      <c r="F390" s="238">
        <v>1</v>
      </c>
      <c r="G390" s="240">
        <v>0</v>
      </c>
      <c r="H390" s="246">
        <f t="shared" si="20"/>
        <v>1340971</v>
      </c>
    </row>
    <row r="391" spans="1:8" x14ac:dyDescent="0.25">
      <c r="A391" s="232">
        <v>391</v>
      </c>
      <c r="B391" s="238"/>
      <c r="C391" s="247" t="s">
        <v>107</v>
      </c>
      <c r="D391" s="244" t="s">
        <v>25</v>
      </c>
      <c r="E391" s="251">
        <v>476645</v>
      </c>
      <c r="F391" s="238">
        <v>1</v>
      </c>
      <c r="G391" s="240">
        <v>0</v>
      </c>
      <c r="H391" s="246">
        <f t="shared" si="20"/>
        <v>476645</v>
      </c>
    </row>
    <row r="392" spans="1:8" x14ac:dyDescent="0.25">
      <c r="A392" s="232">
        <v>392</v>
      </c>
      <c r="B392" s="238"/>
      <c r="C392" s="247" t="s">
        <v>58</v>
      </c>
      <c r="D392" s="244" t="s">
        <v>25</v>
      </c>
      <c r="E392" s="251">
        <v>42920</v>
      </c>
      <c r="F392" s="238">
        <v>1</v>
      </c>
      <c r="G392" s="240">
        <v>0</v>
      </c>
      <c r="H392" s="246">
        <f t="shared" si="20"/>
        <v>42920</v>
      </c>
    </row>
    <row r="393" spans="1:8" x14ac:dyDescent="0.25">
      <c r="A393" s="232">
        <v>393</v>
      </c>
      <c r="B393" s="238"/>
      <c r="C393" s="247" t="s">
        <v>57</v>
      </c>
      <c r="D393" s="244" t="s">
        <v>25</v>
      </c>
      <c r="E393" s="251">
        <v>126303</v>
      </c>
      <c r="F393" s="238">
        <v>2</v>
      </c>
      <c r="G393" s="240">
        <v>0</v>
      </c>
      <c r="H393" s="246">
        <f t="shared" si="20"/>
        <v>252606</v>
      </c>
    </row>
    <row r="394" spans="1:8" x14ac:dyDescent="0.25">
      <c r="A394" s="232">
        <v>394</v>
      </c>
      <c r="B394" s="238"/>
      <c r="C394" s="252" t="s">
        <v>175</v>
      </c>
      <c r="D394" s="253" t="s">
        <v>96</v>
      </c>
      <c r="E394" s="254">
        <v>23880</v>
      </c>
      <c r="F394" s="238">
        <v>0.5</v>
      </c>
      <c r="G394" s="240">
        <v>0</v>
      </c>
      <c r="H394" s="246">
        <f t="shared" si="20"/>
        <v>11940</v>
      </c>
    </row>
    <row r="395" spans="1:8" x14ac:dyDescent="0.25">
      <c r="A395" s="232">
        <v>395</v>
      </c>
      <c r="B395" s="238"/>
      <c r="C395" s="247" t="s">
        <v>26</v>
      </c>
      <c r="D395" s="244" t="s">
        <v>25</v>
      </c>
      <c r="E395" s="251">
        <v>1094800</v>
      </c>
      <c r="F395" s="238">
        <v>2</v>
      </c>
      <c r="G395" s="240">
        <v>0</v>
      </c>
      <c r="H395" s="246">
        <f t="shared" si="20"/>
        <v>2189600</v>
      </c>
    </row>
    <row r="396" spans="1:8" x14ac:dyDescent="0.25">
      <c r="A396" s="232">
        <v>396</v>
      </c>
      <c r="B396" s="238"/>
      <c r="C396" s="247" t="s">
        <v>23</v>
      </c>
      <c r="D396" s="244" t="s">
        <v>25</v>
      </c>
      <c r="E396" s="245">
        <v>1111210</v>
      </c>
      <c r="F396" s="238">
        <v>1</v>
      </c>
      <c r="G396" s="240">
        <v>0</v>
      </c>
      <c r="H396" s="246">
        <f t="shared" si="20"/>
        <v>1111210</v>
      </c>
    </row>
    <row r="397" spans="1:8" x14ac:dyDescent="0.25">
      <c r="A397" s="232">
        <v>397</v>
      </c>
      <c r="B397" s="238"/>
      <c r="C397" s="243" t="s">
        <v>161</v>
      </c>
      <c r="D397" s="244" t="s">
        <v>24</v>
      </c>
      <c r="E397" s="255">
        <v>5316</v>
      </c>
      <c r="F397" s="238">
        <v>4</v>
      </c>
      <c r="G397" s="240">
        <v>0</v>
      </c>
      <c r="H397" s="246">
        <f t="shared" si="20"/>
        <v>21264</v>
      </c>
    </row>
    <row r="398" spans="1:8" x14ac:dyDescent="0.25">
      <c r="A398" s="232">
        <v>398</v>
      </c>
      <c r="B398" s="238"/>
      <c r="C398" s="250" t="s">
        <v>162</v>
      </c>
      <c r="D398" s="244" t="s">
        <v>25</v>
      </c>
      <c r="E398" s="255">
        <f>1000*1.2</f>
        <v>1200</v>
      </c>
      <c r="F398" s="238">
        <v>12</v>
      </c>
      <c r="G398" s="240">
        <v>0</v>
      </c>
      <c r="H398" s="246">
        <f t="shared" si="20"/>
        <v>14400</v>
      </c>
    </row>
    <row r="399" spans="1:8" x14ac:dyDescent="0.25">
      <c r="A399" s="232">
        <v>399</v>
      </c>
      <c r="B399" s="238"/>
      <c r="C399" s="247" t="s">
        <v>103</v>
      </c>
      <c r="D399" s="244" t="s">
        <v>25</v>
      </c>
      <c r="E399" s="245">
        <v>10890</v>
      </c>
      <c r="F399" s="238">
        <v>2</v>
      </c>
      <c r="G399" s="240">
        <v>0</v>
      </c>
      <c r="H399" s="246">
        <f t="shared" si="20"/>
        <v>21780</v>
      </c>
    </row>
    <row r="400" spans="1:8" x14ac:dyDescent="0.25">
      <c r="A400" s="232">
        <v>400</v>
      </c>
      <c r="B400" s="238"/>
      <c r="C400" s="247" t="s">
        <v>31</v>
      </c>
      <c r="D400" s="244" t="s">
        <v>25</v>
      </c>
      <c r="E400" s="245">
        <v>78016.400000000009</v>
      </c>
      <c r="F400" s="238">
        <v>2</v>
      </c>
      <c r="G400" s="240">
        <v>0</v>
      </c>
      <c r="H400" s="246">
        <f t="shared" si="20"/>
        <v>156032.80000000002</v>
      </c>
    </row>
    <row r="401" spans="1:8" x14ac:dyDescent="0.25">
      <c r="A401" s="232">
        <v>401</v>
      </c>
      <c r="B401" s="238"/>
      <c r="C401" s="247" t="s">
        <v>22</v>
      </c>
      <c r="D401" s="244" t="s">
        <v>24</v>
      </c>
      <c r="E401" s="251">
        <v>7500</v>
      </c>
      <c r="F401" s="238">
        <v>6</v>
      </c>
      <c r="G401" s="240">
        <v>0</v>
      </c>
      <c r="H401" s="246">
        <f t="shared" si="20"/>
        <v>45000</v>
      </c>
    </row>
    <row r="402" spans="1:8" x14ac:dyDescent="0.25">
      <c r="A402" s="232">
        <v>402</v>
      </c>
      <c r="B402" s="238"/>
      <c r="C402" s="247" t="s">
        <v>95</v>
      </c>
      <c r="D402" s="244" t="s">
        <v>25</v>
      </c>
      <c r="E402" s="245">
        <v>8200</v>
      </c>
      <c r="F402" s="238">
        <v>6</v>
      </c>
      <c r="G402" s="240">
        <v>0</v>
      </c>
      <c r="H402" s="246">
        <f t="shared" si="20"/>
        <v>49200</v>
      </c>
    </row>
    <row r="403" spans="1:8" x14ac:dyDescent="0.25">
      <c r="A403" s="232">
        <v>403</v>
      </c>
      <c r="B403" s="238"/>
      <c r="C403" s="256" t="s">
        <v>63</v>
      </c>
      <c r="D403" s="257" t="s">
        <v>25</v>
      </c>
      <c r="E403" s="258">
        <v>22000</v>
      </c>
      <c r="F403" s="238">
        <v>6</v>
      </c>
      <c r="G403" s="240">
        <v>0</v>
      </c>
      <c r="H403" s="246">
        <f t="shared" si="20"/>
        <v>132000</v>
      </c>
    </row>
    <row r="404" spans="1:8" x14ac:dyDescent="0.25">
      <c r="A404" s="232">
        <v>404</v>
      </c>
      <c r="B404" s="238"/>
      <c r="C404" s="243" t="s">
        <v>174</v>
      </c>
      <c r="D404" s="259" t="s">
        <v>25</v>
      </c>
      <c r="E404" s="245">
        <v>700</v>
      </c>
      <c r="F404" s="238">
        <v>6</v>
      </c>
      <c r="G404" s="240">
        <v>0</v>
      </c>
      <c r="H404" s="246">
        <f t="shared" si="20"/>
        <v>4200</v>
      </c>
    </row>
    <row r="405" spans="1:8" x14ac:dyDescent="0.25">
      <c r="A405" s="232">
        <v>405</v>
      </c>
      <c r="B405" s="238"/>
      <c r="C405" s="260" t="s">
        <v>173</v>
      </c>
      <c r="D405" s="244" t="s">
        <v>25</v>
      </c>
      <c r="E405" s="245">
        <v>16010.800000000001</v>
      </c>
      <c r="F405" s="238">
        <v>1</v>
      </c>
      <c r="G405" s="240">
        <v>0</v>
      </c>
      <c r="H405" s="246">
        <f t="shared" si="20"/>
        <v>16010.800000000001</v>
      </c>
    </row>
    <row r="406" spans="1:8" x14ac:dyDescent="0.25">
      <c r="A406" s="232">
        <v>406</v>
      </c>
      <c r="B406" s="238"/>
      <c r="C406" s="247" t="s">
        <v>28</v>
      </c>
      <c r="D406" s="244" t="s">
        <v>24</v>
      </c>
      <c r="E406" s="245">
        <v>3880</v>
      </c>
      <c r="F406" s="238">
        <v>9</v>
      </c>
      <c r="G406" s="240">
        <v>0</v>
      </c>
      <c r="H406" s="246">
        <f t="shared" si="20"/>
        <v>34920</v>
      </c>
    </row>
    <row r="407" spans="1:8" x14ac:dyDescent="0.25">
      <c r="A407" s="232">
        <v>407</v>
      </c>
      <c r="B407" s="238"/>
      <c r="C407" s="247" t="s">
        <v>29</v>
      </c>
      <c r="D407" s="244" t="s">
        <v>24</v>
      </c>
      <c r="E407" s="245">
        <v>6870</v>
      </c>
      <c r="F407" s="238">
        <v>2</v>
      </c>
      <c r="G407" s="240">
        <v>0</v>
      </c>
      <c r="H407" s="246">
        <f t="shared" si="20"/>
        <v>13740</v>
      </c>
    </row>
    <row r="408" spans="1:8" x14ac:dyDescent="0.25">
      <c r="A408" s="232">
        <v>408</v>
      </c>
      <c r="B408" s="238"/>
      <c r="C408" s="247" t="s">
        <v>36</v>
      </c>
      <c r="D408" s="244" t="s">
        <v>24</v>
      </c>
      <c r="E408" s="251">
        <v>6000</v>
      </c>
      <c r="F408" s="238">
        <v>10</v>
      </c>
      <c r="G408" s="240">
        <v>0</v>
      </c>
      <c r="H408" s="246">
        <f t="shared" si="20"/>
        <v>60000</v>
      </c>
    </row>
    <row r="409" spans="1:8" x14ac:dyDescent="0.25">
      <c r="A409" s="232">
        <v>409</v>
      </c>
      <c r="B409" s="238"/>
      <c r="C409" s="247" t="s">
        <v>150</v>
      </c>
      <c r="D409" s="244" t="s">
        <v>25</v>
      </c>
      <c r="E409" s="251">
        <v>5500</v>
      </c>
      <c r="F409" s="238">
        <v>2</v>
      </c>
      <c r="G409" s="240">
        <v>0</v>
      </c>
      <c r="H409" s="246">
        <f t="shared" si="20"/>
        <v>11000</v>
      </c>
    </row>
    <row r="410" spans="1:8" x14ac:dyDescent="0.25">
      <c r="A410" s="232">
        <v>410</v>
      </c>
      <c r="B410" s="238"/>
      <c r="C410" s="262" t="s">
        <v>178</v>
      </c>
      <c r="D410" s="244" t="s">
        <v>24</v>
      </c>
      <c r="E410" s="251">
        <v>19900</v>
      </c>
      <c r="F410" s="263">
        <v>2</v>
      </c>
      <c r="G410" s="240">
        <v>0</v>
      </c>
      <c r="H410" s="246">
        <f t="shared" si="20"/>
        <v>39800</v>
      </c>
    </row>
    <row r="411" spans="1:8" x14ac:dyDescent="0.25">
      <c r="A411" s="232">
        <v>411</v>
      </c>
      <c r="B411" s="238"/>
      <c r="C411" s="247" t="s">
        <v>177</v>
      </c>
      <c r="D411" s="244" t="s">
        <v>24</v>
      </c>
      <c r="E411" s="251">
        <v>8000</v>
      </c>
      <c r="F411" s="263">
        <v>3</v>
      </c>
      <c r="G411" s="240">
        <v>0</v>
      </c>
      <c r="H411" s="246">
        <f t="shared" si="20"/>
        <v>24000</v>
      </c>
    </row>
    <row r="412" spans="1:8" x14ac:dyDescent="0.25">
      <c r="A412" s="232">
        <v>412</v>
      </c>
      <c r="B412" s="238"/>
      <c r="C412" s="247" t="s">
        <v>27</v>
      </c>
      <c r="D412" s="244" t="s">
        <v>25</v>
      </c>
      <c r="E412" s="251">
        <v>250000</v>
      </c>
      <c r="F412" s="238">
        <v>1</v>
      </c>
      <c r="G412" s="240">
        <v>0</v>
      </c>
      <c r="H412" s="246">
        <f t="shared" si="20"/>
        <v>250000</v>
      </c>
    </row>
    <row r="413" spans="1:8" x14ac:dyDescent="0.25">
      <c r="A413" s="232">
        <v>413</v>
      </c>
      <c r="B413" s="264"/>
      <c r="C413" s="265"/>
      <c r="D413" s="287"/>
      <c r="E413" s="267"/>
      <c r="F413" s="268" t="s">
        <v>14</v>
      </c>
      <c r="G413" s="289"/>
      <c r="H413" s="269">
        <f>SUM(H380:H412)</f>
        <v>11690576.358400002</v>
      </c>
    </row>
    <row r="414" spans="1:8" x14ac:dyDescent="0.25">
      <c r="A414" s="232">
        <v>414</v>
      </c>
      <c r="B414" s="339" t="s">
        <v>16</v>
      </c>
      <c r="C414" s="339"/>
      <c r="D414" s="339"/>
      <c r="E414" s="339"/>
      <c r="F414" s="339"/>
      <c r="G414" s="339"/>
      <c r="H414" s="339"/>
    </row>
    <row r="415" spans="1:8" x14ac:dyDescent="0.25">
      <c r="A415" s="232">
        <v>415</v>
      </c>
      <c r="B415" s="234" t="s">
        <v>7</v>
      </c>
      <c r="C415" s="235" t="s">
        <v>0</v>
      </c>
      <c r="D415" s="235" t="s">
        <v>3</v>
      </c>
      <c r="E415" s="234" t="s">
        <v>9</v>
      </c>
      <c r="F415" s="270" t="s">
        <v>10</v>
      </c>
      <c r="G415" s="291" t="s">
        <v>11</v>
      </c>
      <c r="H415" s="235" t="s">
        <v>12</v>
      </c>
    </row>
    <row r="416" spans="1:8" x14ac:dyDescent="0.25">
      <c r="A416" s="232">
        <v>416</v>
      </c>
      <c r="B416" s="236"/>
      <c r="C416" s="247" t="s">
        <v>41</v>
      </c>
      <c r="D416" s="238" t="s">
        <v>46</v>
      </c>
      <c r="E416" s="272">
        <v>350000</v>
      </c>
      <c r="F416" s="238">
        <v>1</v>
      </c>
      <c r="G416" s="240">
        <v>0</v>
      </c>
      <c r="H416" s="241">
        <f>IF(E416="-","-",E416*F416*(1+G416))</f>
        <v>350000</v>
      </c>
    </row>
    <row r="417" spans="1:9" ht="30" x14ac:dyDescent="0.25">
      <c r="A417" s="232">
        <v>417</v>
      </c>
      <c r="B417" s="236"/>
      <c r="C417" s="273" t="s">
        <v>184</v>
      </c>
      <c r="D417" s="238" t="s">
        <v>46</v>
      </c>
      <c r="E417" s="274">
        <v>33333</v>
      </c>
      <c r="F417" s="238">
        <v>0.73</v>
      </c>
      <c r="G417" s="240">
        <v>0</v>
      </c>
      <c r="H417" s="241">
        <f>IF(E417="-","-",E417*F417*(1+G417))</f>
        <v>24333.09</v>
      </c>
    </row>
    <row r="418" spans="1:9" x14ac:dyDescent="0.25">
      <c r="A418" s="232">
        <v>418</v>
      </c>
      <c r="B418" s="236"/>
      <c r="C418" s="247" t="s">
        <v>73</v>
      </c>
      <c r="D418" s="238" t="s">
        <v>111</v>
      </c>
      <c r="E418" s="274">
        <v>121666</v>
      </c>
      <c r="F418" s="238">
        <v>5</v>
      </c>
      <c r="G418" s="240">
        <v>0</v>
      </c>
      <c r="H418" s="241">
        <f>IF(E418="-","-",E418*F418*(1+G418))</f>
        <v>608330</v>
      </c>
    </row>
    <row r="419" spans="1:9" x14ac:dyDescent="0.25">
      <c r="A419" s="232">
        <v>419</v>
      </c>
      <c r="B419" s="275"/>
      <c r="C419" s="276"/>
      <c r="D419" s="276"/>
      <c r="E419" s="278"/>
      <c r="F419" s="238" t="s">
        <v>14</v>
      </c>
      <c r="G419" s="238"/>
      <c r="H419" s="242">
        <f>ROUND(SUM(H416:H418),0)</f>
        <v>982663</v>
      </c>
    </row>
    <row r="420" spans="1:9" x14ac:dyDescent="0.25">
      <c r="A420" s="232">
        <v>420</v>
      </c>
      <c r="B420" s="339" t="s">
        <v>17</v>
      </c>
      <c r="C420" s="339"/>
      <c r="D420" s="339"/>
      <c r="E420" s="339"/>
      <c r="F420" s="339"/>
      <c r="G420" s="339"/>
      <c r="H420" s="339"/>
    </row>
    <row r="421" spans="1:9" x14ac:dyDescent="0.25">
      <c r="A421" s="232">
        <v>421</v>
      </c>
      <c r="B421" s="340" t="s">
        <v>8</v>
      </c>
      <c r="C421" s="341"/>
      <c r="D421" s="235" t="s">
        <v>3</v>
      </c>
      <c r="E421" s="234" t="s">
        <v>9</v>
      </c>
      <c r="F421" s="234" t="s">
        <v>10</v>
      </c>
      <c r="G421" s="285" t="s">
        <v>11</v>
      </c>
      <c r="H421" s="235" t="s">
        <v>12</v>
      </c>
    </row>
    <row r="422" spans="1:9" x14ac:dyDescent="0.25">
      <c r="A422" s="232">
        <v>422</v>
      </c>
      <c r="B422" s="236"/>
      <c r="C422" s="247" t="s">
        <v>33</v>
      </c>
      <c r="D422" s="238" t="s">
        <v>59</v>
      </c>
      <c r="E422" s="272">
        <v>140000</v>
      </c>
      <c r="F422" s="238">
        <v>8</v>
      </c>
      <c r="G422" s="240">
        <v>0</v>
      </c>
      <c r="H422" s="241">
        <f>IF(E422="-","-",E422*F422*(1+G422))</f>
        <v>1120000</v>
      </c>
    </row>
    <row r="423" spans="1:9" ht="30" x14ac:dyDescent="0.25">
      <c r="A423" s="232">
        <v>423</v>
      </c>
      <c r="B423" s="279"/>
      <c r="C423" s="247" t="s">
        <v>43</v>
      </c>
      <c r="D423" s="238" t="s">
        <v>59</v>
      </c>
      <c r="E423" s="272">
        <v>160854</v>
      </c>
      <c r="F423" s="238">
        <v>7</v>
      </c>
      <c r="G423" s="240">
        <v>0</v>
      </c>
      <c r="H423" s="241">
        <f>IF(E423="-","-",E423*F423*(1+G423))</f>
        <v>1125978</v>
      </c>
    </row>
    <row r="424" spans="1:9" x14ac:dyDescent="0.25">
      <c r="A424" s="232">
        <v>424</v>
      </c>
      <c r="B424" s="279"/>
      <c r="C424" s="247" t="s">
        <v>34</v>
      </c>
      <c r="D424" s="238" t="s">
        <v>59</v>
      </c>
      <c r="E424" s="272">
        <v>150000</v>
      </c>
      <c r="F424" s="238">
        <v>6</v>
      </c>
      <c r="G424" s="240">
        <v>0</v>
      </c>
      <c r="H424" s="241">
        <f>IF(E424="-","-",E424*F424*(1+G424))</f>
        <v>900000</v>
      </c>
    </row>
    <row r="425" spans="1:9" x14ac:dyDescent="0.25">
      <c r="A425" s="232">
        <v>425</v>
      </c>
      <c r="B425" s="342" t="s">
        <v>14</v>
      </c>
      <c r="C425" s="343"/>
      <c r="D425" s="343"/>
      <c r="E425" s="343"/>
      <c r="F425" s="344"/>
      <c r="G425" s="292"/>
      <c r="H425" s="242">
        <f>ROUND(SUM(H422:H424),0)</f>
        <v>3145978</v>
      </c>
    </row>
    <row r="426" spans="1:9" x14ac:dyDescent="0.25">
      <c r="A426" s="232">
        <v>426</v>
      </c>
      <c r="B426" s="320"/>
      <c r="C426" s="327"/>
      <c r="D426" s="327"/>
      <c r="E426" s="321"/>
      <c r="F426" s="322"/>
      <c r="G426" s="322"/>
      <c r="H426" s="323"/>
    </row>
    <row r="427" spans="1:9" x14ac:dyDescent="0.25">
      <c r="A427" s="232">
        <v>427</v>
      </c>
      <c r="B427" s="320"/>
      <c r="C427" s="331"/>
      <c r="D427" s="327"/>
      <c r="E427" s="321"/>
      <c r="F427" s="233" t="s">
        <v>18</v>
      </c>
      <c r="G427" s="233"/>
      <c r="H427" s="325">
        <f>H377+H413+H419+H425</f>
        <v>16257712.358400002</v>
      </c>
    </row>
    <row r="428" spans="1:9" x14ac:dyDescent="0.25">
      <c r="A428" s="232">
        <v>428</v>
      </c>
      <c r="B428" s="320"/>
      <c r="C428" s="327"/>
      <c r="D428" s="327"/>
      <c r="E428" s="321"/>
      <c r="F428" s="322"/>
      <c r="G428" s="322"/>
      <c r="H428" s="323"/>
    </row>
    <row r="429" spans="1:9" x14ac:dyDescent="0.25">
      <c r="A429" s="232">
        <v>429</v>
      </c>
      <c r="B429" s="320"/>
      <c r="C429" s="332"/>
      <c r="D429" s="327"/>
      <c r="E429" s="321"/>
      <c r="F429" s="322"/>
      <c r="G429" s="322"/>
      <c r="H429" s="323"/>
    </row>
    <row r="430" spans="1:9" x14ac:dyDescent="0.25">
      <c r="A430" s="232">
        <v>430</v>
      </c>
      <c r="B430" s="320"/>
      <c r="D430" s="327"/>
      <c r="E430" s="321"/>
      <c r="F430" s="322"/>
      <c r="G430" s="322"/>
      <c r="H430" s="323"/>
    </row>
    <row r="431" spans="1:9" x14ac:dyDescent="0.25">
      <c r="A431" s="232">
        <v>431</v>
      </c>
      <c r="B431" s="320"/>
      <c r="C431" s="327"/>
      <c r="D431" s="327"/>
      <c r="E431" s="321"/>
      <c r="F431" s="322"/>
      <c r="G431" s="322"/>
      <c r="H431" s="323"/>
      <c r="I431" s="327"/>
    </row>
    <row r="432" spans="1:9" x14ac:dyDescent="0.25">
      <c r="A432" s="232">
        <v>432</v>
      </c>
      <c r="B432" s="328"/>
      <c r="C432" s="333"/>
      <c r="D432" s="333"/>
      <c r="E432" s="329"/>
      <c r="F432" s="266"/>
      <c r="G432" s="266"/>
      <c r="H432" s="330"/>
      <c r="I432" s="327"/>
    </row>
    <row r="433" spans="1:9" x14ac:dyDescent="0.25">
      <c r="A433" s="232">
        <v>433</v>
      </c>
      <c r="B433" s="339" t="s">
        <v>2</v>
      </c>
      <c r="C433" s="339"/>
      <c r="D433" s="339"/>
      <c r="E433" s="339"/>
      <c r="F433" s="339"/>
      <c r="G433" s="339"/>
      <c r="H433" s="339"/>
    </row>
    <row r="434" spans="1:9" ht="14.25" customHeight="1" x14ac:dyDescent="0.25">
      <c r="A434" s="232">
        <v>434</v>
      </c>
      <c r="B434" s="233" t="s">
        <v>1</v>
      </c>
      <c r="C434" s="250" t="s">
        <v>204</v>
      </c>
      <c r="D434" s="250"/>
      <c r="E434" s="250"/>
      <c r="F434" s="250"/>
      <c r="G434" s="250"/>
      <c r="H434" s="233">
        <v>8</v>
      </c>
      <c r="I434" s="232">
        <v>1</v>
      </c>
    </row>
    <row r="435" spans="1:9" x14ac:dyDescent="0.25">
      <c r="A435" s="232">
        <v>435</v>
      </c>
      <c r="B435" s="339" t="s">
        <v>5</v>
      </c>
      <c r="C435" s="339"/>
      <c r="D435" s="339"/>
      <c r="E435" s="339"/>
      <c r="F435" s="339"/>
      <c r="G435" s="339"/>
      <c r="H435" s="339"/>
    </row>
    <row r="436" spans="1:9" x14ac:dyDescent="0.25">
      <c r="A436" s="232">
        <v>436</v>
      </c>
      <c r="B436" s="234" t="s">
        <v>7</v>
      </c>
      <c r="C436" s="235" t="s">
        <v>8</v>
      </c>
      <c r="D436" s="234" t="s">
        <v>3</v>
      </c>
      <c r="E436" s="234" t="s">
        <v>9</v>
      </c>
      <c r="F436" s="234" t="s">
        <v>10</v>
      </c>
      <c r="G436" s="234" t="s">
        <v>11</v>
      </c>
      <c r="H436" s="235" t="s">
        <v>12</v>
      </c>
    </row>
    <row r="437" spans="1:9" x14ac:dyDescent="0.25">
      <c r="A437" s="232">
        <v>437</v>
      </c>
      <c r="B437" s="236"/>
      <c r="C437" s="281" t="s">
        <v>71</v>
      </c>
      <c r="D437" s="238" t="s">
        <v>46</v>
      </c>
      <c r="E437" s="239">
        <v>50000</v>
      </c>
      <c r="F437" s="238">
        <v>8.9529999999999994</v>
      </c>
      <c r="G437" s="240">
        <v>0</v>
      </c>
      <c r="H437" s="241">
        <f>+E437*F437*(1+G437)</f>
        <v>447649.99999999994</v>
      </c>
    </row>
    <row r="438" spans="1:9" x14ac:dyDescent="0.25">
      <c r="A438" s="232">
        <v>438</v>
      </c>
      <c r="B438" s="236"/>
      <c r="C438" s="237" t="s">
        <v>20</v>
      </c>
      <c r="D438" s="238" t="s">
        <v>72</v>
      </c>
      <c r="E438" s="239">
        <f>H495*0.05</f>
        <v>1398648.25</v>
      </c>
      <c r="F438" s="238">
        <v>1</v>
      </c>
      <c r="G438" s="240">
        <v>0</v>
      </c>
      <c r="H438" s="241">
        <f>+E438*F438*(1+G438)</f>
        <v>1398648.25</v>
      </c>
    </row>
    <row r="439" spans="1:9" x14ac:dyDescent="0.25">
      <c r="A439" s="232">
        <v>439</v>
      </c>
      <c r="B439" s="236"/>
      <c r="C439" s="281" t="s">
        <v>54</v>
      </c>
      <c r="D439" s="238" t="s">
        <v>46</v>
      </c>
      <c r="E439" s="239">
        <v>10000</v>
      </c>
      <c r="F439" s="238">
        <f>F437</f>
        <v>8.9529999999999994</v>
      </c>
      <c r="G439" s="240">
        <v>0</v>
      </c>
      <c r="H439" s="241">
        <f t="shared" ref="H439" si="21">+E439*F439*(1+G439)</f>
        <v>89530</v>
      </c>
    </row>
    <row r="440" spans="1:9" x14ac:dyDescent="0.25">
      <c r="A440" s="232">
        <v>440</v>
      </c>
      <c r="B440" s="279"/>
      <c r="C440" s="345"/>
      <c r="D440" s="345"/>
      <c r="E440" s="346"/>
      <c r="F440" s="234" t="s">
        <v>14</v>
      </c>
      <c r="G440" s="234"/>
      <c r="H440" s="242">
        <f>ROUND(SUM(H437:H439),0)</f>
        <v>1935828</v>
      </c>
    </row>
    <row r="441" spans="1:9" x14ac:dyDescent="0.25">
      <c r="A441" s="232">
        <v>441</v>
      </c>
      <c r="B441" s="339" t="s">
        <v>15</v>
      </c>
      <c r="C441" s="339"/>
      <c r="D441" s="339"/>
      <c r="E441" s="339"/>
      <c r="F441" s="339"/>
      <c r="G441" s="339"/>
      <c r="H441" s="339"/>
    </row>
    <row r="442" spans="1:9" x14ac:dyDescent="0.25">
      <c r="A442" s="232">
        <v>442</v>
      </c>
      <c r="B442" s="234" t="s">
        <v>7</v>
      </c>
      <c r="C442" s="235" t="s">
        <v>8</v>
      </c>
      <c r="D442" s="234" t="s">
        <v>3</v>
      </c>
      <c r="E442" s="234" t="s">
        <v>9</v>
      </c>
      <c r="F442" s="234" t="s">
        <v>10</v>
      </c>
      <c r="G442" s="234" t="s">
        <v>11</v>
      </c>
      <c r="H442" s="235" t="s">
        <v>12</v>
      </c>
    </row>
    <row r="443" spans="1:9" x14ac:dyDescent="0.25">
      <c r="A443" s="232">
        <v>443</v>
      </c>
      <c r="B443" s="238"/>
      <c r="C443" s="282" t="s">
        <v>93</v>
      </c>
      <c r="D443" s="244" t="s">
        <v>25</v>
      </c>
      <c r="E443" s="303">
        <v>5319000</v>
      </c>
      <c r="F443" s="253">
        <v>1</v>
      </c>
      <c r="G443" s="240">
        <v>0</v>
      </c>
      <c r="H443" s="246">
        <f t="shared" ref="H443:H469" si="22">+E443*F443</f>
        <v>5319000</v>
      </c>
    </row>
    <row r="444" spans="1:9" ht="30" x14ac:dyDescent="0.25">
      <c r="A444" s="232">
        <v>444</v>
      </c>
      <c r="B444" s="238"/>
      <c r="C444" s="260" t="s">
        <v>188</v>
      </c>
      <c r="D444" s="244" t="s">
        <v>25</v>
      </c>
      <c r="E444" s="304">
        <v>54264</v>
      </c>
      <c r="F444" s="253">
        <v>2</v>
      </c>
      <c r="G444" s="240">
        <v>0</v>
      </c>
      <c r="H444" s="246">
        <f t="shared" si="22"/>
        <v>108528</v>
      </c>
    </row>
    <row r="445" spans="1:9" ht="30" x14ac:dyDescent="0.25">
      <c r="A445" s="232">
        <v>445</v>
      </c>
      <c r="B445" s="238"/>
      <c r="C445" s="260" t="s">
        <v>166</v>
      </c>
      <c r="D445" s="244" t="s">
        <v>25</v>
      </c>
      <c r="E445" s="304">
        <v>80563</v>
      </c>
      <c r="F445" s="253">
        <v>3</v>
      </c>
      <c r="G445" s="240">
        <v>0</v>
      </c>
      <c r="H445" s="246">
        <f t="shared" si="22"/>
        <v>241689</v>
      </c>
    </row>
    <row r="446" spans="1:9" x14ac:dyDescent="0.25">
      <c r="A446" s="232">
        <v>446</v>
      </c>
      <c r="B446" s="238"/>
      <c r="C446" s="282" t="s">
        <v>190</v>
      </c>
      <c r="D446" s="244" t="s">
        <v>25</v>
      </c>
      <c r="E446" s="303">
        <v>12000000</v>
      </c>
      <c r="F446" s="305">
        <v>1</v>
      </c>
      <c r="G446" s="240">
        <v>0</v>
      </c>
      <c r="H446" s="246">
        <f t="shared" si="22"/>
        <v>12000000</v>
      </c>
    </row>
    <row r="447" spans="1:9" x14ac:dyDescent="0.25">
      <c r="A447" s="232">
        <v>447</v>
      </c>
      <c r="B447" s="238"/>
      <c r="C447" s="247" t="s">
        <v>48</v>
      </c>
      <c r="D447" s="244" t="s">
        <v>25</v>
      </c>
      <c r="E447" s="306">
        <v>4028000</v>
      </c>
      <c r="F447" s="253">
        <v>1</v>
      </c>
      <c r="G447" s="240">
        <v>0</v>
      </c>
      <c r="H447" s="246">
        <f t="shared" si="22"/>
        <v>4028000</v>
      </c>
    </row>
    <row r="448" spans="1:9" x14ac:dyDescent="0.25">
      <c r="A448" s="232">
        <v>448</v>
      </c>
      <c r="B448" s="238"/>
      <c r="C448" s="282" t="s">
        <v>94</v>
      </c>
      <c r="D448" s="244" t="s">
        <v>25</v>
      </c>
      <c r="E448" s="303">
        <v>915000</v>
      </c>
      <c r="F448" s="253">
        <v>2</v>
      </c>
      <c r="G448" s="240">
        <v>0</v>
      </c>
      <c r="H448" s="246">
        <f t="shared" si="22"/>
        <v>1830000</v>
      </c>
    </row>
    <row r="449" spans="1:8" x14ac:dyDescent="0.25">
      <c r="A449" s="232">
        <v>449</v>
      </c>
      <c r="B449" s="238"/>
      <c r="C449" s="247" t="s">
        <v>61</v>
      </c>
      <c r="D449" s="244" t="s">
        <v>25</v>
      </c>
      <c r="E449" s="306">
        <v>1096291</v>
      </c>
      <c r="F449" s="253">
        <v>2</v>
      </c>
      <c r="G449" s="240">
        <v>0</v>
      </c>
      <c r="H449" s="246">
        <f t="shared" si="22"/>
        <v>2192582</v>
      </c>
    </row>
    <row r="450" spans="1:8" x14ac:dyDescent="0.25">
      <c r="A450" s="232">
        <v>450</v>
      </c>
      <c r="B450" s="238"/>
      <c r="C450" s="247" t="s">
        <v>62</v>
      </c>
      <c r="D450" s="244" t="s">
        <v>25</v>
      </c>
      <c r="E450" s="306">
        <v>255800</v>
      </c>
      <c r="F450" s="253">
        <v>6</v>
      </c>
      <c r="G450" s="240">
        <v>0</v>
      </c>
      <c r="H450" s="246">
        <f t="shared" si="22"/>
        <v>1534800</v>
      </c>
    </row>
    <row r="451" spans="1:8" x14ac:dyDescent="0.25">
      <c r="A451" s="232">
        <v>451</v>
      </c>
      <c r="B451" s="238"/>
      <c r="C451" s="307" t="s">
        <v>187</v>
      </c>
      <c r="D451" s="244" t="s">
        <v>25</v>
      </c>
      <c r="E451" s="304">
        <v>1254000</v>
      </c>
      <c r="F451" s="253">
        <v>6</v>
      </c>
      <c r="G451" s="240">
        <v>0</v>
      </c>
      <c r="H451" s="246">
        <f t="shared" si="22"/>
        <v>7524000</v>
      </c>
    </row>
    <row r="452" spans="1:8" x14ac:dyDescent="0.25">
      <c r="A452" s="232">
        <v>452</v>
      </c>
      <c r="B452" s="238"/>
      <c r="C452" s="247" t="s">
        <v>47</v>
      </c>
      <c r="D452" s="244" t="s">
        <v>25</v>
      </c>
      <c r="E452" s="304">
        <v>2000000</v>
      </c>
      <c r="F452" s="253">
        <v>3</v>
      </c>
      <c r="G452" s="240">
        <v>0</v>
      </c>
      <c r="H452" s="246">
        <f t="shared" si="22"/>
        <v>6000000</v>
      </c>
    </row>
    <row r="453" spans="1:8" x14ac:dyDescent="0.25">
      <c r="A453" s="232">
        <v>453</v>
      </c>
      <c r="B453" s="238"/>
      <c r="C453" s="247" t="s">
        <v>106</v>
      </c>
      <c r="D453" s="244" t="s">
        <v>25</v>
      </c>
      <c r="E453" s="306">
        <v>1145000</v>
      </c>
      <c r="F453" s="253">
        <v>12</v>
      </c>
      <c r="G453" s="240">
        <v>0</v>
      </c>
      <c r="H453" s="246">
        <f t="shared" si="22"/>
        <v>13740000</v>
      </c>
    </row>
    <row r="454" spans="1:8" x14ac:dyDescent="0.25">
      <c r="A454" s="232">
        <v>454</v>
      </c>
      <c r="B454" s="238"/>
      <c r="C454" s="247" t="s">
        <v>66</v>
      </c>
      <c r="D454" s="244" t="s">
        <v>25</v>
      </c>
      <c r="E454" s="251">
        <v>42920</v>
      </c>
      <c r="F454" s="253">
        <v>1</v>
      </c>
      <c r="G454" s="240">
        <v>0</v>
      </c>
      <c r="H454" s="246">
        <f t="shared" si="22"/>
        <v>42920</v>
      </c>
    </row>
    <row r="455" spans="1:8" x14ac:dyDescent="0.25">
      <c r="A455" s="232">
        <v>455</v>
      </c>
      <c r="B455" s="238"/>
      <c r="C455" s="282" t="s">
        <v>104</v>
      </c>
      <c r="D455" s="257" t="s">
        <v>25</v>
      </c>
      <c r="E455" s="245">
        <v>271000</v>
      </c>
      <c r="F455" s="253">
        <v>2</v>
      </c>
      <c r="G455" s="240">
        <v>0</v>
      </c>
      <c r="H455" s="246">
        <f t="shared" si="22"/>
        <v>542000</v>
      </c>
    </row>
    <row r="456" spans="1:8" x14ac:dyDescent="0.25">
      <c r="A456" s="232">
        <v>456</v>
      </c>
      <c r="B456" s="238"/>
      <c r="C456" s="243" t="s">
        <v>159</v>
      </c>
      <c r="D456" s="244" t="s">
        <v>25</v>
      </c>
      <c r="E456" s="245">
        <v>114000</v>
      </c>
      <c r="F456" s="238">
        <v>1</v>
      </c>
      <c r="G456" s="240">
        <v>0</v>
      </c>
      <c r="H456" s="246">
        <f t="shared" si="22"/>
        <v>114000</v>
      </c>
    </row>
    <row r="457" spans="1:8" x14ac:dyDescent="0.25">
      <c r="A457" s="232">
        <v>457</v>
      </c>
      <c r="B457" s="238"/>
      <c r="C457" s="286" t="s">
        <v>165</v>
      </c>
      <c r="D457" s="244" t="s">
        <v>25</v>
      </c>
      <c r="E457" s="308">
        <v>181000</v>
      </c>
      <c r="F457" s="253">
        <v>1</v>
      </c>
      <c r="G457" s="240">
        <v>0</v>
      </c>
      <c r="H457" s="246">
        <f t="shared" si="22"/>
        <v>181000</v>
      </c>
    </row>
    <row r="458" spans="1:8" x14ac:dyDescent="0.25">
      <c r="A458" s="232">
        <v>458</v>
      </c>
      <c r="B458" s="238"/>
      <c r="C458" s="247" t="s">
        <v>49</v>
      </c>
      <c r="D458" s="244" t="s">
        <v>25</v>
      </c>
      <c r="E458" s="306">
        <v>800000</v>
      </c>
      <c r="F458" s="253">
        <v>1</v>
      </c>
      <c r="G458" s="240">
        <v>0</v>
      </c>
      <c r="H458" s="246">
        <f t="shared" si="22"/>
        <v>800000</v>
      </c>
    </row>
    <row r="459" spans="1:8" x14ac:dyDescent="0.25">
      <c r="A459" s="232">
        <v>459</v>
      </c>
      <c r="B459" s="238"/>
      <c r="C459" s="247" t="s">
        <v>65</v>
      </c>
      <c r="D459" s="244" t="s">
        <v>25</v>
      </c>
      <c r="E459" s="304">
        <v>105000</v>
      </c>
      <c r="F459" s="253">
        <v>9</v>
      </c>
      <c r="G459" s="240">
        <v>0</v>
      </c>
      <c r="H459" s="246">
        <f t="shared" si="22"/>
        <v>945000</v>
      </c>
    </row>
    <row r="460" spans="1:8" x14ac:dyDescent="0.25">
      <c r="A460" s="232">
        <v>460</v>
      </c>
      <c r="B460" s="238"/>
      <c r="C460" s="260" t="s">
        <v>173</v>
      </c>
      <c r="D460" s="244" t="s">
        <v>25</v>
      </c>
      <c r="E460" s="245">
        <v>16010.800000000001</v>
      </c>
      <c r="F460" s="253">
        <v>28</v>
      </c>
      <c r="G460" s="240">
        <v>0</v>
      </c>
      <c r="H460" s="246">
        <f t="shared" si="22"/>
        <v>448302.4</v>
      </c>
    </row>
    <row r="461" spans="1:8" x14ac:dyDescent="0.25">
      <c r="A461" s="232">
        <v>461</v>
      </c>
      <c r="B461" s="238"/>
      <c r="C461" s="247" t="s">
        <v>183</v>
      </c>
      <c r="D461" s="244" t="s">
        <v>25</v>
      </c>
      <c r="E461" s="306">
        <v>2309000</v>
      </c>
      <c r="F461" s="253">
        <v>1</v>
      </c>
      <c r="G461" s="240">
        <v>0</v>
      </c>
      <c r="H461" s="246">
        <f t="shared" si="22"/>
        <v>2309000</v>
      </c>
    </row>
    <row r="462" spans="1:8" x14ac:dyDescent="0.25">
      <c r="A462" s="232">
        <v>462</v>
      </c>
      <c r="B462" s="238"/>
      <c r="C462" s="260" t="s">
        <v>157</v>
      </c>
      <c r="D462" s="244" t="s">
        <v>25</v>
      </c>
      <c r="E462" s="304">
        <v>410000</v>
      </c>
      <c r="F462" s="253">
        <v>1</v>
      </c>
      <c r="G462" s="240">
        <v>0</v>
      </c>
      <c r="H462" s="246">
        <f t="shared" si="22"/>
        <v>410000</v>
      </c>
    </row>
    <row r="463" spans="1:8" x14ac:dyDescent="0.25">
      <c r="A463" s="232">
        <v>463</v>
      </c>
      <c r="B463" s="238"/>
      <c r="C463" s="247" t="s">
        <v>186</v>
      </c>
      <c r="D463" s="244" t="s">
        <v>25</v>
      </c>
      <c r="E463" s="304">
        <v>58900</v>
      </c>
      <c r="F463" s="253">
        <v>1</v>
      </c>
      <c r="G463" s="240">
        <v>0</v>
      </c>
      <c r="H463" s="246">
        <f t="shared" si="22"/>
        <v>58900</v>
      </c>
    </row>
    <row r="464" spans="1:8" x14ac:dyDescent="0.25">
      <c r="A464" s="232">
        <v>464</v>
      </c>
      <c r="B464" s="238"/>
      <c r="C464" s="256" t="s">
        <v>63</v>
      </c>
      <c r="D464" s="257" t="s">
        <v>25</v>
      </c>
      <c r="E464" s="258">
        <v>20000</v>
      </c>
      <c r="F464" s="238">
        <v>30</v>
      </c>
      <c r="G464" s="240">
        <v>0.1</v>
      </c>
      <c r="H464" s="241">
        <f>+E464*F464*(1+G464)</f>
        <v>660000</v>
      </c>
    </row>
    <row r="465" spans="1:8" x14ac:dyDescent="0.25">
      <c r="A465" s="232">
        <v>465</v>
      </c>
      <c r="B465" s="238"/>
      <c r="C465" s="243" t="s">
        <v>174</v>
      </c>
      <c r="D465" s="259" t="s">
        <v>25</v>
      </c>
      <c r="E465" s="245">
        <v>700</v>
      </c>
      <c r="F465" s="238">
        <v>30</v>
      </c>
      <c r="G465" s="240">
        <v>0</v>
      </c>
      <c r="H465" s="246">
        <f t="shared" si="22"/>
        <v>21000</v>
      </c>
    </row>
    <row r="466" spans="1:8" x14ac:dyDescent="0.25">
      <c r="A466" s="232">
        <v>466</v>
      </c>
      <c r="B466" s="238"/>
      <c r="C466" s="247" t="s">
        <v>112</v>
      </c>
      <c r="D466" s="244" t="s">
        <v>24</v>
      </c>
      <c r="E466" s="245">
        <v>3880</v>
      </c>
      <c r="F466" s="238">
        <v>300</v>
      </c>
      <c r="G466" s="240">
        <v>0</v>
      </c>
      <c r="H466" s="246">
        <f t="shared" si="22"/>
        <v>1164000</v>
      </c>
    </row>
    <row r="467" spans="1:8" x14ac:dyDescent="0.25">
      <c r="A467" s="232">
        <v>467</v>
      </c>
      <c r="B467" s="238"/>
      <c r="C467" s="247" t="s">
        <v>158</v>
      </c>
      <c r="D467" s="244" t="s">
        <v>25</v>
      </c>
      <c r="E467" s="304">
        <v>18000</v>
      </c>
      <c r="F467" s="253">
        <v>24</v>
      </c>
      <c r="G467" s="240">
        <v>0</v>
      </c>
      <c r="H467" s="246">
        <f t="shared" si="22"/>
        <v>432000</v>
      </c>
    </row>
    <row r="468" spans="1:8" x14ac:dyDescent="0.25">
      <c r="A468" s="232">
        <v>468</v>
      </c>
      <c r="B468" s="238"/>
      <c r="C468" s="247" t="s">
        <v>203</v>
      </c>
      <c r="D468" s="244" t="s">
        <v>25</v>
      </c>
      <c r="E468" s="306">
        <v>40000</v>
      </c>
      <c r="F468" s="253">
        <v>4</v>
      </c>
      <c r="G468" s="240">
        <v>0</v>
      </c>
      <c r="H468" s="246">
        <f t="shared" si="22"/>
        <v>160000</v>
      </c>
    </row>
    <row r="469" spans="1:8" x14ac:dyDescent="0.25">
      <c r="A469" s="232">
        <v>469</v>
      </c>
      <c r="B469" s="238"/>
      <c r="C469" s="247" t="s">
        <v>55</v>
      </c>
      <c r="D469" s="244" t="s">
        <v>25</v>
      </c>
      <c r="E469" s="306">
        <v>6000000</v>
      </c>
      <c r="F469" s="253">
        <v>1</v>
      </c>
      <c r="G469" s="240">
        <v>0</v>
      </c>
      <c r="H469" s="246">
        <f t="shared" si="22"/>
        <v>6000000</v>
      </c>
    </row>
    <row r="470" spans="1:8" x14ac:dyDescent="0.25">
      <c r="A470" s="232">
        <v>470</v>
      </c>
      <c r="B470" s="238"/>
      <c r="C470" s="252" t="s">
        <v>151</v>
      </c>
      <c r="D470" s="244" t="s">
        <v>25</v>
      </c>
      <c r="E470" s="308">
        <v>2930000</v>
      </c>
      <c r="F470" s="253">
        <v>1</v>
      </c>
      <c r="G470" s="240">
        <v>0</v>
      </c>
      <c r="H470" s="246">
        <f>+E470*F470</f>
        <v>2930000</v>
      </c>
    </row>
    <row r="471" spans="1:8" x14ac:dyDescent="0.25">
      <c r="A471" s="232">
        <v>471</v>
      </c>
      <c r="B471" s="309"/>
      <c r="C471" s="252" t="s">
        <v>176</v>
      </c>
      <c r="D471" s="244" t="s">
        <v>24</v>
      </c>
      <c r="E471" s="310">
        <v>30000</v>
      </c>
      <c r="F471" s="253">
        <v>4</v>
      </c>
      <c r="G471" s="240">
        <v>0</v>
      </c>
      <c r="H471" s="246">
        <f>+E471*F471</f>
        <v>120000</v>
      </c>
    </row>
    <row r="472" spans="1:8" x14ac:dyDescent="0.25">
      <c r="A472" s="232">
        <v>472</v>
      </c>
      <c r="B472" s="309"/>
      <c r="C472" s="247" t="s">
        <v>108</v>
      </c>
      <c r="D472" s="244" t="s">
        <v>24</v>
      </c>
      <c r="E472" s="245">
        <v>6870</v>
      </c>
      <c r="F472" s="238">
        <v>15</v>
      </c>
      <c r="G472" s="240">
        <v>0</v>
      </c>
      <c r="H472" s="246">
        <f>+E472*F472</f>
        <v>103050</v>
      </c>
    </row>
    <row r="473" spans="1:8" x14ac:dyDescent="0.25">
      <c r="A473" s="232">
        <v>473</v>
      </c>
      <c r="B473" s="309"/>
      <c r="C473" s="252" t="s">
        <v>97</v>
      </c>
      <c r="D473" s="253" t="s">
        <v>96</v>
      </c>
      <c r="E473" s="304">
        <v>26200</v>
      </c>
      <c r="F473" s="253">
        <v>3</v>
      </c>
      <c r="G473" s="240">
        <v>0</v>
      </c>
      <c r="H473" s="246">
        <f>+E473*F473</f>
        <v>78600</v>
      </c>
    </row>
    <row r="474" spans="1:8" x14ac:dyDescent="0.25">
      <c r="A474" s="232">
        <v>474</v>
      </c>
      <c r="B474" s="309"/>
      <c r="C474" s="252" t="s">
        <v>175</v>
      </c>
      <c r="D474" s="253" t="s">
        <v>96</v>
      </c>
      <c r="E474" s="254">
        <v>23880</v>
      </c>
      <c r="F474" s="253">
        <v>1</v>
      </c>
      <c r="G474" s="240">
        <v>0</v>
      </c>
      <c r="H474" s="246">
        <f>+E474*F474</f>
        <v>23880</v>
      </c>
    </row>
    <row r="475" spans="1:8" x14ac:dyDescent="0.25">
      <c r="A475" s="232">
        <v>475</v>
      </c>
      <c r="B475" s="309"/>
      <c r="C475" s="247" t="s">
        <v>170</v>
      </c>
      <c r="D475" s="244" t="s">
        <v>24</v>
      </c>
      <c r="E475" s="245">
        <v>11000</v>
      </c>
      <c r="F475" s="238">
        <v>60</v>
      </c>
      <c r="G475" s="240">
        <v>0</v>
      </c>
      <c r="H475" s="246">
        <f t="shared" ref="H475:H479" si="23">+E475*F475</f>
        <v>660000</v>
      </c>
    </row>
    <row r="476" spans="1:8" x14ac:dyDescent="0.25">
      <c r="A476" s="232">
        <v>476</v>
      </c>
      <c r="B476" s="309"/>
      <c r="C476" s="247" t="s">
        <v>168</v>
      </c>
      <c r="D476" s="244" t="s">
        <v>25</v>
      </c>
      <c r="E476" s="245">
        <v>2600</v>
      </c>
      <c r="F476" s="238">
        <v>12</v>
      </c>
      <c r="G476" s="240">
        <v>0</v>
      </c>
      <c r="H476" s="246">
        <f t="shared" si="23"/>
        <v>31200</v>
      </c>
    </row>
    <row r="477" spans="1:8" x14ac:dyDescent="0.25">
      <c r="A477" s="232">
        <v>477</v>
      </c>
      <c r="B477" s="309"/>
      <c r="C477" s="261" t="s">
        <v>169</v>
      </c>
      <c r="D477" s="244" t="s">
        <v>25</v>
      </c>
      <c r="E477" s="245">
        <v>3150</v>
      </c>
      <c r="F477" s="238">
        <v>12</v>
      </c>
      <c r="G477" s="240">
        <v>0</v>
      </c>
      <c r="H477" s="246">
        <f t="shared" si="23"/>
        <v>37800</v>
      </c>
    </row>
    <row r="478" spans="1:8" x14ac:dyDescent="0.25">
      <c r="A478" s="232">
        <v>478</v>
      </c>
      <c r="B478" s="309"/>
      <c r="C478" s="261" t="s">
        <v>102</v>
      </c>
      <c r="D478" s="244" t="s">
        <v>25</v>
      </c>
      <c r="E478" s="245">
        <v>3740</v>
      </c>
      <c r="F478" s="238">
        <v>2</v>
      </c>
      <c r="G478" s="240">
        <v>0</v>
      </c>
      <c r="H478" s="246">
        <f t="shared" si="23"/>
        <v>7480</v>
      </c>
    </row>
    <row r="479" spans="1:8" x14ac:dyDescent="0.25">
      <c r="A479" s="232">
        <v>479</v>
      </c>
      <c r="B479" s="309"/>
      <c r="C479" s="247" t="s">
        <v>109</v>
      </c>
      <c r="D479" s="244" t="s">
        <v>24</v>
      </c>
      <c r="E479" s="245">
        <v>2000</v>
      </c>
      <c r="F479" s="263">
        <v>40</v>
      </c>
      <c r="G479" s="240">
        <v>0</v>
      </c>
      <c r="H479" s="246">
        <f t="shared" si="23"/>
        <v>80000</v>
      </c>
    </row>
    <row r="480" spans="1:8" ht="30" x14ac:dyDescent="0.25">
      <c r="A480" s="232">
        <v>480</v>
      </c>
      <c r="B480" s="309"/>
      <c r="C480" s="260" t="s">
        <v>154</v>
      </c>
      <c r="D480" s="244" t="s">
        <v>25</v>
      </c>
      <c r="E480" s="308">
        <v>44228</v>
      </c>
      <c r="F480" s="238">
        <v>6</v>
      </c>
      <c r="G480" s="240">
        <v>0</v>
      </c>
      <c r="H480" s="246">
        <f>+E480*F480</f>
        <v>265368</v>
      </c>
    </row>
    <row r="481" spans="1:8" x14ac:dyDescent="0.25">
      <c r="A481" s="232">
        <v>481</v>
      </c>
      <c r="B481" s="309"/>
      <c r="C481" s="247" t="s">
        <v>27</v>
      </c>
      <c r="D481" s="244" t="s">
        <v>25</v>
      </c>
      <c r="E481" s="311">
        <v>994665</v>
      </c>
      <c r="F481" s="238">
        <v>1</v>
      </c>
      <c r="G481" s="240">
        <v>0</v>
      </c>
      <c r="H481" s="246">
        <f>+E481*F481</f>
        <v>994665</v>
      </c>
    </row>
    <row r="482" spans="1:8" x14ac:dyDescent="0.25">
      <c r="A482" s="232">
        <v>482</v>
      </c>
      <c r="B482" s="264"/>
      <c r="C482" s="265"/>
      <c r="D482" s="266"/>
      <c r="E482" s="267"/>
      <c r="F482" s="268" t="s">
        <v>14</v>
      </c>
      <c r="G482" s="268"/>
      <c r="H482" s="269">
        <f>SUM(H443:H481)</f>
        <v>74138764.400000006</v>
      </c>
    </row>
    <row r="483" spans="1:8" x14ac:dyDescent="0.25">
      <c r="A483" s="232">
        <v>483</v>
      </c>
      <c r="B483" s="347" t="s">
        <v>16</v>
      </c>
      <c r="C483" s="348"/>
      <c r="D483" s="348"/>
      <c r="E483" s="348"/>
      <c r="F483" s="348"/>
      <c r="G483" s="348"/>
      <c r="H483" s="349"/>
    </row>
    <row r="484" spans="1:8" x14ac:dyDescent="0.25">
      <c r="A484" s="232">
        <v>484</v>
      </c>
      <c r="B484" s="234" t="s">
        <v>7</v>
      </c>
      <c r="C484" s="235" t="s">
        <v>0</v>
      </c>
      <c r="D484" s="234" t="s">
        <v>3</v>
      </c>
      <c r="E484" s="234" t="s">
        <v>9</v>
      </c>
      <c r="F484" s="270" t="s">
        <v>10</v>
      </c>
      <c r="G484" s="271" t="s">
        <v>11</v>
      </c>
      <c r="H484" s="235" t="s">
        <v>12</v>
      </c>
    </row>
    <row r="485" spans="1:8" ht="30" x14ac:dyDescent="0.25">
      <c r="A485" s="232">
        <v>485</v>
      </c>
      <c r="B485" s="236"/>
      <c r="C485" s="273" t="s">
        <v>184</v>
      </c>
      <c r="D485" s="238" t="s">
        <v>46</v>
      </c>
      <c r="E485" s="274">
        <v>33333</v>
      </c>
      <c r="F485" s="238">
        <v>34.4</v>
      </c>
      <c r="G485" s="240">
        <v>0</v>
      </c>
      <c r="H485" s="241">
        <f>IF(E485="-","-",E485*F485*(1+G485))</f>
        <v>1146655.2</v>
      </c>
    </row>
    <row r="486" spans="1:8" x14ac:dyDescent="0.25">
      <c r="A486" s="232">
        <v>486</v>
      </c>
      <c r="B486" s="275"/>
      <c r="C486" s="276"/>
      <c r="D486" s="277"/>
      <c r="E486" s="278"/>
      <c r="F486" s="238" t="s">
        <v>14</v>
      </c>
      <c r="G486" s="238"/>
      <c r="H486" s="242">
        <f>ROUND(SUM(H485:H485),0)</f>
        <v>1146655</v>
      </c>
    </row>
    <row r="487" spans="1:8" x14ac:dyDescent="0.25">
      <c r="A487" s="232">
        <v>487</v>
      </c>
      <c r="B487" s="347" t="s">
        <v>17</v>
      </c>
      <c r="C487" s="348"/>
      <c r="D487" s="348"/>
      <c r="E487" s="348"/>
      <c r="F487" s="348"/>
      <c r="G487" s="348"/>
      <c r="H487" s="349"/>
    </row>
    <row r="488" spans="1:8" x14ac:dyDescent="0.25">
      <c r="A488" s="232">
        <v>488</v>
      </c>
      <c r="B488" s="340" t="s">
        <v>8</v>
      </c>
      <c r="C488" s="341"/>
      <c r="D488" s="234" t="s">
        <v>3</v>
      </c>
      <c r="E488" s="234" t="s">
        <v>9</v>
      </c>
      <c r="F488" s="234" t="s">
        <v>10</v>
      </c>
      <c r="G488" s="234" t="s">
        <v>11</v>
      </c>
      <c r="H488" s="235" t="s">
        <v>12</v>
      </c>
    </row>
    <row r="489" spans="1:8" x14ac:dyDescent="0.25">
      <c r="A489" s="232">
        <v>489</v>
      </c>
      <c r="B489" s="236"/>
      <c r="C489" s="247" t="s">
        <v>50</v>
      </c>
      <c r="D489" s="238" t="s">
        <v>59</v>
      </c>
      <c r="E489" s="272">
        <v>140000</v>
      </c>
      <c r="F489" s="238">
        <v>35</v>
      </c>
      <c r="G489" s="240">
        <v>0</v>
      </c>
      <c r="H489" s="241">
        <f t="shared" ref="H489:H494" si="24">IF(E489="-","-",E489*F489*(1+G489))</f>
        <v>4900000</v>
      </c>
    </row>
    <row r="490" spans="1:8" ht="30" x14ac:dyDescent="0.25">
      <c r="A490" s="232">
        <v>490</v>
      </c>
      <c r="B490" s="279"/>
      <c r="C490" s="247" t="s">
        <v>60</v>
      </c>
      <c r="D490" s="238" t="s">
        <v>59</v>
      </c>
      <c r="E490" s="272">
        <v>97799</v>
      </c>
      <c r="F490" s="238">
        <v>35</v>
      </c>
      <c r="G490" s="240">
        <v>0</v>
      </c>
      <c r="H490" s="241">
        <f t="shared" si="24"/>
        <v>3422965</v>
      </c>
    </row>
    <row r="491" spans="1:8" x14ac:dyDescent="0.25">
      <c r="A491" s="232">
        <v>491</v>
      </c>
      <c r="B491" s="279"/>
      <c r="C491" s="247" t="s">
        <v>64</v>
      </c>
      <c r="D491" s="238" t="s">
        <v>59</v>
      </c>
      <c r="E491" s="272">
        <v>150000</v>
      </c>
      <c r="F491" s="238">
        <v>35</v>
      </c>
      <c r="G491" s="240">
        <v>0</v>
      </c>
      <c r="H491" s="241">
        <f t="shared" si="24"/>
        <v>5250000</v>
      </c>
    </row>
    <row r="492" spans="1:8" x14ac:dyDescent="0.25">
      <c r="A492" s="232">
        <v>492</v>
      </c>
      <c r="B492" s="279"/>
      <c r="C492" s="247" t="s">
        <v>68</v>
      </c>
      <c r="D492" s="238" t="s">
        <v>59</v>
      </c>
      <c r="E492" s="272">
        <v>150000</v>
      </c>
      <c r="F492" s="238">
        <v>60</v>
      </c>
      <c r="G492" s="240">
        <v>0</v>
      </c>
      <c r="H492" s="241">
        <f t="shared" si="24"/>
        <v>9000000</v>
      </c>
    </row>
    <row r="493" spans="1:8" ht="30" x14ac:dyDescent="0.25">
      <c r="A493" s="232">
        <v>493</v>
      </c>
      <c r="B493" s="279"/>
      <c r="C493" s="250" t="s">
        <v>69</v>
      </c>
      <c r="D493" s="238" t="s">
        <v>59</v>
      </c>
      <c r="E493" s="272">
        <v>90000</v>
      </c>
      <c r="F493" s="238">
        <v>60</v>
      </c>
      <c r="G493" s="240">
        <v>0</v>
      </c>
      <c r="H493" s="312">
        <f t="shared" si="24"/>
        <v>5400000</v>
      </c>
    </row>
    <row r="494" spans="1:8" x14ac:dyDescent="0.25">
      <c r="A494" s="232">
        <v>494</v>
      </c>
      <c r="B494" s="279"/>
      <c r="C494" s="247" t="s">
        <v>19</v>
      </c>
      <c r="D494" s="238" t="s">
        <v>19</v>
      </c>
      <c r="E494" s="272" t="s">
        <v>19</v>
      </c>
      <c r="F494" s="238"/>
      <c r="G494" s="240"/>
      <c r="H494" s="241" t="str">
        <f t="shared" si="24"/>
        <v>-</v>
      </c>
    </row>
    <row r="495" spans="1:8" x14ac:dyDescent="0.25">
      <c r="A495" s="232">
        <v>495</v>
      </c>
      <c r="B495" s="342" t="s">
        <v>14</v>
      </c>
      <c r="C495" s="343"/>
      <c r="D495" s="343"/>
      <c r="E495" s="343"/>
      <c r="F495" s="344"/>
      <c r="G495" s="280"/>
      <c r="H495" s="242">
        <f>ROUND(SUM(H489:H494),0)</f>
        <v>27972965</v>
      </c>
    </row>
    <row r="496" spans="1:8" x14ac:dyDescent="0.25">
      <c r="A496" s="232">
        <v>496</v>
      </c>
      <c r="B496" s="320"/>
      <c r="C496" s="327"/>
      <c r="D496" s="322"/>
      <c r="E496" s="321"/>
      <c r="F496" s="322"/>
      <c r="G496" s="322"/>
      <c r="H496" s="323"/>
    </row>
    <row r="497" spans="1:9" x14ac:dyDescent="0.25">
      <c r="A497" s="232">
        <v>497</v>
      </c>
      <c r="B497" s="320"/>
      <c r="C497" s="331"/>
      <c r="D497" s="322"/>
      <c r="E497" s="321"/>
      <c r="F497" s="233" t="s">
        <v>18</v>
      </c>
      <c r="G497" s="233"/>
      <c r="H497" s="325">
        <f>H440+H482+H486+H495</f>
        <v>105194212.40000001</v>
      </c>
      <c r="I497" s="337"/>
    </row>
    <row r="498" spans="1:9" x14ac:dyDescent="0.25">
      <c r="A498" s="232">
        <v>498</v>
      </c>
      <c r="B498" s="320"/>
      <c r="C498" s="327"/>
      <c r="D498" s="322"/>
      <c r="E498" s="321"/>
      <c r="F498" s="322"/>
      <c r="G498" s="322"/>
      <c r="H498" s="323"/>
    </row>
    <row r="499" spans="1:9" x14ac:dyDescent="0.25">
      <c r="A499" s="232">
        <v>499</v>
      </c>
      <c r="B499" s="320"/>
      <c r="C499" s="332"/>
      <c r="D499" s="322"/>
      <c r="E499" s="321"/>
      <c r="F499" s="322"/>
      <c r="G499" s="322"/>
      <c r="H499" s="323"/>
    </row>
    <row r="500" spans="1:9" x14ac:dyDescent="0.25">
      <c r="A500" s="232">
        <v>500</v>
      </c>
      <c r="B500" s="320"/>
      <c r="D500" s="322"/>
      <c r="E500" s="321"/>
      <c r="F500" s="322"/>
      <c r="G500" s="322"/>
      <c r="H500" s="323"/>
    </row>
    <row r="501" spans="1:9" x14ac:dyDescent="0.25">
      <c r="A501" s="232">
        <v>501</v>
      </c>
      <c r="B501" s="320"/>
      <c r="C501" s="327"/>
      <c r="D501" s="322"/>
      <c r="E501" s="321"/>
      <c r="F501" s="322"/>
      <c r="G501" s="322"/>
      <c r="H501" s="323"/>
      <c r="I501" s="327"/>
    </row>
    <row r="502" spans="1:9" x14ac:dyDescent="0.25">
      <c r="A502" s="232">
        <v>502</v>
      </c>
      <c r="B502" s="328"/>
      <c r="C502" s="333"/>
      <c r="D502" s="266"/>
      <c r="E502" s="329"/>
      <c r="F502" s="266"/>
      <c r="G502" s="266"/>
      <c r="H502" s="330"/>
      <c r="I502" s="327"/>
    </row>
    <row r="503" spans="1:9" x14ac:dyDescent="0.25">
      <c r="A503" s="232">
        <v>503</v>
      </c>
      <c r="B503" s="339" t="s">
        <v>2</v>
      </c>
      <c r="C503" s="339"/>
      <c r="D503" s="339"/>
      <c r="E503" s="339"/>
      <c r="F503" s="339"/>
      <c r="G503" s="339"/>
      <c r="H503" s="339"/>
    </row>
    <row r="504" spans="1:9" ht="14.25" customHeight="1" x14ac:dyDescent="0.25">
      <c r="A504" s="232">
        <v>504</v>
      </c>
      <c r="B504" s="233" t="s">
        <v>1</v>
      </c>
      <c r="C504" s="250" t="s">
        <v>51</v>
      </c>
      <c r="D504" s="250"/>
      <c r="E504" s="250"/>
      <c r="F504" s="250"/>
      <c r="G504" s="250"/>
      <c r="H504" s="233">
        <v>9</v>
      </c>
      <c r="I504" s="232">
        <v>3</v>
      </c>
    </row>
    <row r="505" spans="1:9" x14ac:dyDescent="0.25">
      <c r="A505" s="232">
        <v>505</v>
      </c>
      <c r="B505" s="339" t="s">
        <v>5</v>
      </c>
      <c r="C505" s="339"/>
      <c r="D505" s="339"/>
      <c r="E505" s="339"/>
      <c r="F505" s="339"/>
      <c r="G505" s="339"/>
      <c r="H505" s="339"/>
    </row>
    <row r="506" spans="1:9" x14ac:dyDescent="0.25">
      <c r="A506" s="232">
        <v>506</v>
      </c>
      <c r="B506" s="234" t="s">
        <v>7</v>
      </c>
      <c r="C506" s="235" t="s">
        <v>8</v>
      </c>
      <c r="D506" s="234" t="s">
        <v>3</v>
      </c>
      <c r="E506" s="234" t="s">
        <v>9</v>
      </c>
      <c r="F506" s="234" t="s">
        <v>10</v>
      </c>
      <c r="G506" s="234" t="s">
        <v>11</v>
      </c>
      <c r="H506" s="235" t="s">
        <v>12</v>
      </c>
    </row>
    <row r="507" spans="1:9" x14ac:dyDescent="0.25">
      <c r="A507" s="232">
        <v>507</v>
      </c>
      <c r="B507" s="236"/>
      <c r="C507" s="281" t="s">
        <v>71</v>
      </c>
      <c r="D507" s="238" t="s">
        <v>46</v>
      </c>
      <c r="E507" s="239">
        <v>50000</v>
      </c>
      <c r="F507" s="238">
        <v>2.8029999999999999</v>
      </c>
      <c r="G507" s="240">
        <v>0</v>
      </c>
      <c r="H507" s="241">
        <f>+E507*F507*(1+G507)</f>
        <v>140150</v>
      </c>
    </row>
    <row r="508" spans="1:9" x14ac:dyDescent="0.25">
      <c r="A508" s="232">
        <v>508</v>
      </c>
      <c r="B508" s="236"/>
      <c r="C508" s="237" t="s">
        <v>20</v>
      </c>
      <c r="D508" s="238" t="s">
        <v>72</v>
      </c>
      <c r="E508" s="239">
        <f>H554*0.05</f>
        <v>758354</v>
      </c>
      <c r="F508" s="238">
        <v>1</v>
      </c>
      <c r="G508" s="240">
        <v>0</v>
      </c>
      <c r="H508" s="241">
        <f>+E508*F508*(1+G508)</f>
        <v>758354</v>
      </c>
    </row>
    <row r="509" spans="1:9" x14ac:dyDescent="0.25">
      <c r="A509" s="232">
        <v>509</v>
      </c>
      <c r="B509" s="236"/>
      <c r="C509" s="281" t="s">
        <v>54</v>
      </c>
      <c r="D509" s="238" t="s">
        <v>46</v>
      </c>
      <c r="E509" s="239">
        <v>10000</v>
      </c>
      <c r="F509" s="238">
        <f>F507</f>
        <v>2.8029999999999999</v>
      </c>
      <c r="G509" s="240">
        <v>0</v>
      </c>
      <c r="H509" s="241">
        <f t="shared" ref="H509" si="25">+E509*F509*(1+G509)</f>
        <v>28030</v>
      </c>
    </row>
    <row r="510" spans="1:9" x14ac:dyDescent="0.25">
      <c r="A510" s="232">
        <v>510</v>
      </c>
      <c r="B510" s="279"/>
      <c r="C510" s="345"/>
      <c r="D510" s="345"/>
      <c r="E510" s="346"/>
      <c r="F510" s="234" t="s">
        <v>14</v>
      </c>
      <c r="G510" s="234"/>
      <c r="H510" s="242">
        <f>ROUND(SUM(H507:H509),0)</f>
        <v>926534</v>
      </c>
    </row>
    <row r="511" spans="1:9" x14ac:dyDescent="0.25">
      <c r="A511" s="232">
        <v>511</v>
      </c>
      <c r="B511" s="339" t="s">
        <v>15</v>
      </c>
      <c r="C511" s="339"/>
      <c r="D511" s="339"/>
      <c r="E511" s="339"/>
      <c r="F511" s="339"/>
      <c r="G511" s="339"/>
      <c r="H511" s="339"/>
    </row>
    <row r="512" spans="1:9" x14ac:dyDescent="0.25">
      <c r="A512" s="232">
        <v>512</v>
      </c>
      <c r="B512" s="234" t="s">
        <v>7</v>
      </c>
      <c r="C512" s="235" t="s">
        <v>8</v>
      </c>
      <c r="D512" s="234" t="s">
        <v>3</v>
      </c>
      <c r="E512" s="234" t="s">
        <v>9</v>
      </c>
      <c r="F512" s="234" t="s">
        <v>10</v>
      </c>
      <c r="G512" s="234" t="s">
        <v>11</v>
      </c>
      <c r="H512" s="235" t="s">
        <v>12</v>
      </c>
    </row>
    <row r="513" spans="1:8" ht="45" x14ac:dyDescent="0.25">
      <c r="A513" s="232">
        <v>513</v>
      </c>
      <c r="B513" s="238"/>
      <c r="C513" s="243" t="s">
        <v>152</v>
      </c>
      <c r="D513" s="244" t="s">
        <v>25</v>
      </c>
      <c r="E513" s="245">
        <v>740300.00000000012</v>
      </c>
      <c r="F513" s="313">
        <v>2</v>
      </c>
      <c r="G513" s="240">
        <v>0</v>
      </c>
      <c r="H513" s="246">
        <f>+E513*F513</f>
        <v>1480600.0000000002</v>
      </c>
    </row>
    <row r="514" spans="1:8" ht="30" x14ac:dyDescent="0.25">
      <c r="A514" s="232">
        <v>514</v>
      </c>
      <c r="B514" s="238"/>
      <c r="C514" s="247" t="s">
        <v>191</v>
      </c>
      <c r="D514" s="244" t="s">
        <v>25</v>
      </c>
      <c r="E514" s="248">
        <f>105000*1.12</f>
        <v>117600.00000000001</v>
      </c>
      <c r="F514" s="238">
        <v>2</v>
      </c>
      <c r="G514" s="240">
        <v>0</v>
      </c>
      <c r="H514" s="246">
        <f t="shared" ref="H514:H515" si="26">+E514*F514</f>
        <v>235200.00000000003</v>
      </c>
    </row>
    <row r="515" spans="1:8" x14ac:dyDescent="0.25">
      <c r="A515" s="232">
        <v>515</v>
      </c>
      <c r="B515" s="238"/>
      <c r="C515" s="247" t="s">
        <v>192</v>
      </c>
      <c r="D515" s="244" t="s">
        <v>25</v>
      </c>
      <c r="E515" s="248">
        <f>13900*1.2</f>
        <v>16680</v>
      </c>
      <c r="F515" s="238">
        <v>2</v>
      </c>
      <c r="G515" s="240">
        <v>0</v>
      </c>
      <c r="H515" s="246">
        <f t="shared" si="26"/>
        <v>33360</v>
      </c>
    </row>
    <row r="516" spans="1:8" ht="30" x14ac:dyDescent="0.25">
      <c r="A516" s="232">
        <v>516</v>
      </c>
      <c r="B516" s="238"/>
      <c r="C516" s="249" t="s">
        <v>148</v>
      </c>
      <c r="D516" s="244" t="s">
        <v>25</v>
      </c>
      <c r="E516" s="245">
        <v>512800</v>
      </c>
      <c r="F516" s="238">
        <v>6</v>
      </c>
      <c r="G516" s="240">
        <v>0</v>
      </c>
      <c r="H516" s="246">
        <f>+E516*F516</f>
        <v>3076800</v>
      </c>
    </row>
    <row r="517" spans="1:8" x14ac:dyDescent="0.25">
      <c r="A517" s="232">
        <v>517</v>
      </c>
      <c r="B517" s="238"/>
      <c r="C517" s="314" t="s">
        <v>149</v>
      </c>
      <c r="D517" s="244" t="s">
        <v>25</v>
      </c>
      <c r="E517" s="245">
        <v>292800</v>
      </c>
      <c r="F517" s="238">
        <v>6</v>
      </c>
      <c r="G517" s="240">
        <v>0</v>
      </c>
      <c r="H517" s="246">
        <f t="shared" ref="H517:H539" si="27">+E517*F517</f>
        <v>1756800</v>
      </c>
    </row>
    <row r="518" spans="1:8" x14ac:dyDescent="0.25">
      <c r="A518" s="232">
        <v>518</v>
      </c>
      <c r="B518" s="238"/>
      <c r="C518" s="261" t="s">
        <v>182</v>
      </c>
      <c r="D518" s="244" t="s">
        <v>25</v>
      </c>
      <c r="E518" s="245">
        <v>535000</v>
      </c>
      <c r="F518" s="313">
        <v>3</v>
      </c>
      <c r="G518" s="240">
        <v>0</v>
      </c>
      <c r="H518" s="246">
        <f>+E518*F518</f>
        <v>1605000</v>
      </c>
    </row>
    <row r="519" spans="1:8" x14ac:dyDescent="0.25">
      <c r="A519" s="232">
        <v>519</v>
      </c>
      <c r="B519" s="238"/>
      <c r="C519" s="315" t="s">
        <v>180</v>
      </c>
      <c r="D519" s="259" t="s">
        <v>25</v>
      </c>
      <c r="E519" s="245">
        <v>39900</v>
      </c>
      <c r="F519" s="238">
        <v>1</v>
      </c>
      <c r="G519" s="240">
        <v>0</v>
      </c>
      <c r="H519" s="246">
        <f>+E519*F519</f>
        <v>39900</v>
      </c>
    </row>
    <row r="520" spans="1:8" x14ac:dyDescent="0.25">
      <c r="A520" s="232">
        <v>520</v>
      </c>
      <c r="B520" s="238"/>
      <c r="C520" s="315" t="s">
        <v>179</v>
      </c>
      <c r="D520" s="259" t="s">
        <v>25</v>
      </c>
      <c r="E520" s="245">
        <v>8690</v>
      </c>
      <c r="F520" s="238">
        <v>1</v>
      </c>
      <c r="G520" s="240">
        <v>0</v>
      </c>
      <c r="H520" s="246">
        <f>+E520*F520</f>
        <v>8690</v>
      </c>
    </row>
    <row r="521" spans="1:8" x14ac:dyDescent="0.25">
      <c r="A521" s="232">
        <v>521</v>
      </c>
      <c r="B521" s="238"/>
      <c r="C521" s="237" t="s">
        <v>66</v>
      </c>
      <c r="D521" s="244" t="s">
        <v>25</v>
      </c>
      <c r="E521" s="251">
        <v>42920</v>
      </c>
      <c r="F521" s="238">
        <v>1</v>
      </c>
      <c r="G521" s="240">
        <v>0</v>
      </c>
      <c r="H521" s="246">
        <f>+E521*F521</f>
        <v>42920</v>
      </c>
    </row>
    <row r="522" spans="1:8" x14ac:dyDescent="0.25">
      <c r="A522" s="232">
        <v>522</v>
      </c>
      <c r="B522" s="238"/>
      <c r="C522" s="252" t="s">
        <v>175</v>
      </c>
      <c r="D522" s="253" t="s">
        <v>96</v>
      </c>
      <c r="E522" s="254">
        <v>23880</v>
      </c>
      <c r="F522" s="238">
        <v>0.5</v>
      </c>
      <c r="G522" s="240">
        <v>0</v>
      </c>
      <c r="H522" s="246">
        <f>+E522*F522</f>
        <v>11940</v>
      </c>
    </row>
    <row r="523" spans="1:8" ht="30" x14ac:dyDescent="0.25">
      <c r="A523" s="232">
        <v>523</v>
      </c>
      <c r="B523" s="238"/>
      <c r="C523" s="261" t="s">
        <v>101</v>
      </c>
      <c r="D523" s="244" t="s">
        <v>25</v>
      </c>
      <c r="E523" s="245">
        <v>296000</v>
      </c>
      <c r="F523" s="238">
        <v>1</v>
      </c>
      <c r="G523" s="240">
        <v>0</v>
      </c>
      <c r="H523" s="246">
        <f t="shared" si="27"/>
        <v>296000</v>
      </c>
    </row>
    <row r="524" spans="1:8" x14ac:dyDescent="0.25">
      <c r="A524" s="232">
        <v>524</v>
      </c>
      <c r="B524" s="238"/>
      <c r="C524" s="247" t="s">
        <v>28</v>
      </c>
      <c r="D524" s="244" t="s">
        <v>24</v>
      </c>
      <c r="E524" s="245">
        <v>3880</v>
      </c>
      <c r="F524" s="313">
        <v>370</v>
      </c>
      <c r="G524" s="240">
        <v>0</v>
      </c>
      <c r="H524" s="246">
        <f t="shared" si="27"/>
        <v>1435600</v>
      </c>
    </row>
    <row r="525" spans="1:8" x14ac:dyDescent="0.25">
      <c r="A525" s="232">
        <v>525</v>
      </c>
      <c r="B525" s="238"/>
      <c r="C525" s="260" t="s">
        <v>173</v>
      </c>
      <c r="D525" s="244" t="s">
        <v>25</v>
      </c>
      <c r="E525" s="245">
        <v>16010.800000000001</v>
      </c>
      <c r="F525" s="263">
        <v>2</v>
      </c>
      <c r="G525" s="240">
        <v>0</v>
      </c>
      <c r="H525" s="246">
        <f t="shared" si="27"/>
        <v>32021.600000000002</v>
      </c>
    </row>
    <row r="526" spans="1:8" x14ac:dyDescent="0.25">
      <c r="A526" s="232">
        <v>526</v>
      </c>
      <c r="B526" s="238"/>
      <c r="C526" s="256" t="s">
        <v>63</v>
      </c>
      <c r="D526" s="257" t="s">
        <v>25</v>
      </c>
      <c r="E526" s="258">
        <v>20000</v>
      </c>
      <c r="F526" s="238">
        <v>30</v>
      </c>
      <c r="G526" s="240">
        <v>0.1</v>
      </c>
      <c r="H526" s="241">
        <f>+E526*F526*(1+G526)</f>
        <v>660000</v>
      </c>
    </row>
    <row r="527" spans="1:8" x14ac:dyDescent="0.25">
      <c r="A527" s="232">
        <v>527</v>
      </c>
      <c r="B527" s="238"/>
      <c r="C527" s="243" t="s">
        <v>174</v>
      </c>
      <c r="D527" s="259" t="s">
        <v>25</v>
      </c>
      <c r="E527" s="245">
        <v>700</v>
      </c>
      <c r="F527" s="238">
        <v>30</v>
      </c>
      <c r="G527" s="240">
        <v>0</v>
      </c>
      <c r="H527" s="246">
        <f t="shared" si="27"/>
        <v>21000</v>
      </c>
    </row>
    <row r="528" spans="1:8" x14ac:dyDescent="0.25">
      <c r="A528" s="232">
        <v>528</v>
      </c>
      <c r="B528" s="238"/>
      <c r="C528" s="247" t="s">
        <v>30</v>
      </c>
      <c r="D528" s="244" t="s">
        <v>24</v>
      </c>
      <c r="E528" s="245">
        <v>2000</v>
      </c>
      <c r="F528" s="238">
        <v>80</v>
      </c>
      <c r="G528" s="240">
        <v>0</v>
      </c>
      <c r="H528" s="246">
        <f t="shared" si="27"/>
        <v>160000</v>
      </c>
    </row>
    <row r="529" spans="1:8" x14ac:dyDescent="0.25">
      <c r="A529" s="232">
        <v>529</v>
      </c>
      <c r="B529" s="238"/>
      <c r="C529" s="261" t="s">
        <v>171</v>
      </c>
      <c r="D529" s="244" t="s">
        <v>25</v>
      </c>
      <c r="E529" s="245">
        <v>3740</v>
      </c>
      <c r="F529" s="238">
        <v>4</v>
      </c>
      <c r="G529" s="240">
        <v>0</v>
      </c>
      <c r="H529" s="246">
        <f t="shared" si="27"/>
        <v>14960</v>
      </c>
    </row>
    <row r="530" spans="1:8" x14ac:dyDescent="0.25">
      <c r="A530" s="232">
        <v>530</v>
      </c>
      <c r="B530" s="238"/>
      <c r="C530" s="247" t="s">
        <v>29</v>
      </c>
      <c r="D530" s="244" t="s">
        <v>24</v>
      </c>
      <c r="E530" s="245">
        <v>6870</v>
      </c>
      <c r="F530" s="238">
        <v>100</v>
      </c>
      <c r="G530" s="240">
        <v>0</v>
      </c>
      <c r="H530" s="246">
        <f t="shared" si="27"/>
        <v>687000</v>
      </c>
    </row>
    <row r="531" spans="1:8" x14ac:dyDescent="0.25">
      <c r="A531" s="232">
        <v>531</v>
      </c>
      <c r="B531" s="238"/>
      <c r="C531" s="282" t="s">
        <v>104</v>
      </c>
      <c r="D531" s="257" t="s">
        <v>25</v>
      </c>
      <c r="E531" s="245">
        <v>271000</v>
      </c>
      <c r="F531" s="238">
        <v>1</v>
      </c>
      <c r="G531" s="240">
        <v>0</v>
      </c>
      <c r="H531" s="246">
        <f t="shared" si="27"/>
        <v>271000</v>
      </c>
    </row>
    <row r="532" spans="1:8" x14ac:dyDescent="0.25">
      <c r="A532" s="232">
        <v>532</v>
      </c>
      <c r="B532" s="238"/>
      <c r="C532" s="247" t="s">
        <v>164</v>
      </c>
      <c r="D532" s="244" t="s">
        <v>25</v>
      </c>
      <c r="E532" s="245">
        <v>4150</v>
      </c>
      <c r="F532" s="238">
        <v>4</v>
      </c>
      <c r="G532" s="240">
        <v>0</v>
      </c>
      <c r="H532" s="246">
        <f t="shared" si="27"/>
        <v>16600</v>
      </c>
    </row>
    <row r="533" spans="1:8" x14ac:dyDescent="0.25">
      <c r="A533" s="232">
        <v>533</v>
      </c>
      <c r="B533" s="238"/>
      <c r="C533" s="247" t="s">
        <v>163</v>
      </c>
      <c r="D533" s="244" t="s">
        <v>25</v>
      </c>
      <c r="E533" s="316">
        <v>8800</v>
      </c>
      <c r="F533" s="238">
        <v>4</v>
      </c>
      <c r="G533" s="240">
        <v>0</v>
      </c>
      <c r="H533" s="246">
        <f t="shared" si="27"/>
        <v>35200</v>
      </c>
    </row>
    <row r="534" spans="1:8" x14ac:dyDescent="0.25">
      <c r="A534" s="232">
        <v>534</v>
      </c>
      <c r="B534" s="238"/>
      <c r="C534" s="247" t="s">
        <v>170</v>
      </c>
      <c r="D534" s="244" t="s">
        <v>24</v>
      </c>
      <c r="E534" s="245">
        <v>11000</v>
      </c>
      <c r="F534" s="238">
        <v>60</v>
      </c>
      <c r="G534" s="240">
        <v>0</v>
      </c>
      <c r="H534" s="246">
        <f t="shared" si="27"/>
        <v>660000</v>
      </c>
    </row>
    <row r="535" spans="1:8" x14ac:dyDescent="0.25">
      <c r="A535" s="232">
        <v>535</v>
      </c>
      <c r="B535" s="238"/>
      <c r="C535" s="252" t="s">
        <v>99</v>
      </c>
      <c r="D535" s="244" t="s">
        <v>25</v>
      </c>
      <c r="E535" s="251">
        <v>1000</v>
      </c>
      <c r="F535" s="263">
        <v>20</v>
      </c>
      <c r="G535" s="240">
        <v>0</v>
      </c>
      <c r="H535" s="246">
        <f t="shared" si="27"/>
        <v>20000</v>
      </c>
    </row>
    <row r="536" spans="1:8" x14ac:dyDescent="0.25">
      <c r="A536" s="232">
        <v>536</v>
      </c>
      <c r="B536" s="238"/>
      <c r="C536" s="247" t="s">
        <v>168</v>
      </c>
      <c r="D536" s="244" t="s">
        <v>25</v>
      </c>
      <c r="E536" s="245">
        <v>2600</v>
      </c>
      <c r="F536" s="238">
        <v>12</v>
      </c>
      <c r="G536" s="240">
        <v>0</v>
      </c>
      <c r="H536" s="246">
        <f t="shared" si="27"/>
        <v>31200</v>
      </c>
    </row>
    <row r="537" spans="1:8" x14ac:dyDescent="0.25">
      <c r="A537" s="232">
        <v>537</v>
      </c>
      <c r="B537" s="238"/>
      <c r="C537" s="261" t="s">
        <v>169</v>
      </c>
      <c r="D537" s="244" t="s">
        <v>25</v>
      </c>
      <c r="E537" s="245">
        <v>3150</v>
      </c>
      <c r="F537" s="238">
        <v>12</v>
      </c>
      <c r="G537" s="240">
        <v>0</v>
      </c>
      <c r="H537" s="246">
        <f t="shared" si="27"/>
        <v>37800</v>
      </c>
    </row>
    <row r="538" spans="1:8" x14ac:dyDescent="0.25">
      <c r="A538" s="232">
        <v>538</v>
      </c>
      <c r="B538" s="238"/>
      <c r="C538" s="247" t="s">
        <v>67</v>
      </c>
      <c r="D538" s="244" t="s">
        <v>25</v>
      </c>
      <c r="E538" s="245">
        <v>10890</v>
      </c>
      <c r="F538" s="238">
        <v>12</v>
      </c>
      <c r="G538" s="240">
        <v>0</v>
      </c>
      <c r="H538" s="246">
        <f t="shared" si="27"/>
        <v>130680</v>
      </c>
    </row>
    <row r="539" spans="1:8" x14ac:dyDescent="0.25">
      <c r="A539" s="232">
        <v>539</v>
      </c>
      <c r="B539" s="238"/>
      <c r="C539" s="247" t="s">
        <v>27</v>
      </c>
      <c r="D539" s="244" t="s">
        <v>25</v>
      </c>
      <c r="E539" s="251">
        <v>525308</v>
      </c>
      <c r="F539" s="238">
        <v>1</v>
      </c>
      <c r="G539" s="240">
        <v>0</v>
      </c>
      <c r="H539" s="246">
        <f t="shared" si="27"/>
        <v>525308</v>
      </c>
    </row>
    <row r="540" spans="1:8" x14ac:dyDescent="0.25">
      <c r="A540" s="232">
        <v>540</v>
      </c>
      <c r="B540" s="264"/>
      <c r="C540" s="265"/>
      <c r="D540" s="266"/>
      <c r="E540" s="267"/>
      <c r="F540" s="268" t="s">
        <v>14</v>
      </c>
      <c r="G540" s="268"/>
      <c r="H540" s="298">
        <f>SUM(H513:H539)</f>
        <v>13325579.6</v>
      </c>
    </row>
    <row r="541" spans="1:8" x14ac:dyDescent="0.25">
      <c r="A541" s="232">
        <v>541</v>
      </c>
      <c r="B541" s="339" t="s">
        <v>16</v>
      </c>
      <c r="C541" s="339"/>
      <c r="D541" s="339"/>
      <c r="E541" s="339"/>
      <c r="F541" s="339"/>
      <c r="G541" s="339"/>
      <c r="H541" s="339"/>
    </row>
    <row r="542" spans="1:8" x14ac:dyDescent="0.25">
      <c r="A542" s="232">
        <v>542</v>
      </c>
      <c r="B542" s="234" t="s">
        <v>7</v>
      </c>
      <c r="C542" s="235" t="s">
        <v>0</v>
      </c>
      <c r="D542" s="234" t="s">
        <v>3</v>
      </c>
      <c r="E542" s="234" t="s">
        <v>9</v>
      </c>
      <c r="F542" s="270" t="s">
        <v>10</v>
      </c>
      <c r="G542" s="271" t="s">
        <v>11</v>
      </c>
      <c r="H542" s="235" t="s">
        <v>12</v>
      </c>
    </row>
    <row r="543" spans="1:8" ht="30" x14ac:dyDescent="0.25">
      <c r="A543" s="232">
        <v>543</v>
      </c>
      <c r="B543" s="236"/>
      <c r="C543" s="273" t="s">
        <v>184</v>
      </c>
      <c r="D543" s="238" t="s">
        <v>46</v>
      </c>
      <c r="E543" s="274">
        <v>33333</v>
      </c>
      <c r="F543" s="238">
        <v>1.4</v>
      </c>
      <c r="G543" s="240">
        <v>0</v>
      </c>
      <c r="H543" s="241">
        <f t="shared" ref="H543" si="28">IF(E543="-","-",E543*F543*(1+G543))</f>
        <v>46666.2</v>
      </c>
    </row>
    <row r="544" spans="1:8" x14ac:dyDescent="0.25">
      <c r="A544" s="232">
        <v>544</v>
      </c>
      <c r="B544" s="279"/>
      <c r="C544" s="317"/>
      <c r="D544" s="318"/>
      <c r="E544" s="319"/>
      <c r="F544" s="238"/>
      <c r="G544" s="240"/>
      <c r="H544" s="241"/>
    </row>
    <row r="545" spans="1:9" x14ac:dyDescent="0.25">
      <c r="A545" s="232">
        <v>545</v>
      </c>
      <c r="B545" s="275"/>
      <c r="C545" s="276"/>
      <c r="D545" s="277"/>
      <c r="E545" s="278"/>
      <c r="F545" s="238" t="s">
        <v>14</v>
      </c>
      <c r="G545" s="238"/>
      <c r="H545" s="242">
        <f>ROUND(SUM(H543:H543),0)</f>
        <v>46666</v>
      </c>
    </row>
    <row r="546" spans="1:9" x14ac:dyDescent="0.25">
      <c r="A546" s="232">
        <v>546</v>
      </c>
      <c r="B546" s="339" t="s">
        <v>17</v>
      </c>
      <c r="C546" s="339"/>
      <c r="D546" s="339"/>
      <c r="E546" s="339"/>
      <c r="F546" s="339"/>
      <c r="G546" s="339"/>
      <c r="H546" s="339"/>
    </row>
    <row r="547" spans="1:9" x14ac:dyDescent="0.25">
      <c r="A547" s="232">
        <v>547</v>
      </c>
      <c r="B547" s="340" t="s">
        <v>8</v>
      </c>
      <c r="C547" s="341"/>
      <c r="D547" s="234" t="s">
        <v>3</v>
      </c>
      <c r="E547" s="234" t="s">
        <v>9</v>
      </c>
      <c r="F547" s="234" t="s">
        <v>10</v>
      </c>
      <c r="G547" s="234" t="s">
        <v>11</v>
      </c>
      <c r="H547" s="235" t="s">
        <v>12</v>
      </c>
    </row>
    <row r="548" spans="1:9" x14ac:dyDescent="0.25">
      <c r="A548" s="232">
        <v>548</v>
      </c>
      <c r="B548" s="236"/>
      <c r="C548" s="247" t="s">
        <v>52</v>
      </c>
      <c r="D548" s="238" t="s">
        <v>59</v>
      </c>
      <c r="E548" s="272">
        <v>140000</v>
      </c>
      <c r="F548" s="238">
        <v>20</v>
      </c>
      <c r="G548" s="240">
        <v>0</v>
      </c>
      <c r="H548" s="241">
        <f t="shared" ref="H548:H553" si="29">IF(E548="-","-",E548*F548*(1+G548))</f>
        <v>2800000</v>
      </c>
    </row>
    <row r="549" spans="1:9" ht="30" x14ac:dyDescent="0.25">
      <c r="A549" s="232">
        <v>549</v>
      </c>
      <c r="B549" s="279"/>
      <c r="C549" s="247" t="s">
        <v>43</v>
      </c>
      <c r="D549" s="238" t="s">
        <v>59</v>
      </c>
      <c r="E549" s="272">
        <v>160854</v>
      </c>
      <c r="F549" s="238">
        <v>20</v>
      </c>
      <c r="G549" s="240">
        <v>0</v>
      </c>
      <c r="H549" s="241">
        <f t="shared" si="29"/>
        <v>3217080</v>
      </c>
    </row>
    <row r="550" spans="1:9" x14ac:dyDescent="0.25">
      <c r="A550" s="232">
        <v>550</v>
      </c>
      <c r="B550" s="279"/>
      <c r="C550" s="247" t="s">
        <v>53</v>
      </c>
      <c r="D550" s="238" t="s">
        <v>59</v>
      </c>
      <c r="E550" s="272">
        <v>150000</v>
      </c>
      <c r="F550" s="238">
        <v>7</v>
      </c>
      <c r="G550" s="240">
        <v>0</v>
      </c>
      <c r="H550" s="241">
        <f t="shared" si="29"/>
        <v>1050000</v>
      </c>
    </row>
    <row r="551" spans="1:9" x14ac:dyDescent="0.25">
      <c r="A551" s="232">
        <v>551</v>
      </c>
      <c r="B551" s="279"/>
      <c r="C551" s="247" t="s">
        <v>68</v>
      </c>
      <c r="D551" s="238" t="s">
        <v>59</v>
      </c>
      <c r="E551" s="272">
        <v>150000</v>
      </c>
      <c r="F551" s="238">
        <v>30</v>
      </c>
      <c r="G551" s="240">
        <v>0</v>
      </c>
      <c r="H551" s="241">
        <f t="shared" si="29"/>
        <v>4500000</v>
      </c>
    </row>
    <row r="552" spans="1:9" ht="30" x14ac:dyDescent="0.25">
      <c r="A552" s="232">
        <v>552</v>
      </c>
      <c r="B552" s="279"/>
      <c r="C552" s="250" t="s">
        <v>69</v>
      </c>
      <c r="D552" s="238" t="s">
        <v>59</v>
      </c>
      <c r="E552" s="272">
        <v>90000</v>
      </c>
      <c r="F552" s="238">
        <v>40</v>
      </c>
      <c r="G552" s="240">
        <v>0</v>
      </c>
      <c r="H552" s="312">
        <f t="shared" si="29"/>
        <v>3600000</v>
      </c>
    </row>
    <row r="553" spans="1:9" x14ac:dyDescent="0.25">
      <c r="A553" s="232">
        <v>553</v>
      </c>
      <c r="B553" s="279"/>
      <c r="C553" s="247" t="s">
        <v>19</v>
      </c>
      <c r="D553" s="238" t="s">
        <v>19</v>
      </c>
      <c r="E553" s="272" t="s">
        <v>19</v>
      </c>
      <c r="F553" s="238"/>
      <c r="G553" s="240"/>
      <c r="H553" s="241" t="str">
        <f t="shared" si="29"/>
        <v>-</v>
      </c>
    </row>
    <row r="554" spans="1:9" x14ac:dyDescent="0.25">
      <c r="A554" s="232">
        <v>554</v>
      </c>
      <c r="B554" s="342" t="s">
        <v>14</v>
      </c>
      <c r="C554" s="343"/>
      <c r="D554" s="343"/>
      <c r="E554" s="343"/>
      <c r="F554" s="344"/>
      <c r="G554" s="280"/>
      <c r="H554" s="242">
        <f>ROUND(SUM(H548:H553),0)</f>
        <v>15167080</v>
      </c>
    </row>
    <row r="555" spans="1:9" x14ac:dyDescent="0.25">
      <c r="A555" s="232">
        <v>555</v>
      </c>
      <c r="B555" s="320"/>
      <c r="C555" s="327"/>
      <c r="D555" s="322"/>
      <c r="E555" s="321"/>
      <c r="F555" s="322"/>
      <c r="G555" s="322"/>
      <c r="H555" s="323"/>
    </row>
    <row r="556" spans="1:9" x14ac:dyDescent="0.25">
      <c r="A556" s="232">
        <v>556</v>
      </c>
      <c r="B556" s="320"/>
      <c r="C556" s="331"/>
      <c r="D556" s="322"/>
      <c r="E556" s="321"/>
      <c r="F556" s="233" t="s">
        <v>18</v>
      </c>
      <c r="G556" s="233"/>
      <c r="H556" s="325">
        <f>H510+H540+H545+H554</f>
        <v>29465859.600000001</v>
      </c>
    </row>
    <row r="557" spans="1:9" x14ac:dyDescent="0.25">
      <c r="A557" s="232">
        <v>557</v>
      </c>
      <c r="B557" s="320"/>
      <c r="C557" s="327"/>
      <c r="D557" s="322"/>
      <c r="E557" s="321"/>
      <c r="F557" s="322"/>
      <c r="G557" s="322"/>
      <c r="H557" s="323"/>
    </row>
    <row r="558" spans="1:9" x14ac:dyDescent="0.25">
      <c r="A558" s="232">
        <v>558</v>
      </c>
      <c r="B558" s="320"/>
      <c r="C558" s="332"/>
      <c r="D558" s="322"/>
      <c r="E558" s="321"/>
      <c r="F558" s="322"/>
      <c r="G558" s="322"/>
      <c r="H558" s="323"/>
    </row>
    <row r="559" spans="1:9" x14ac:dyDescent="0.25">
      <c r="A559" s="232">
        <v>559</v>
      </c>
      <c r="B559" s="320"/>
      <c r="D559" s="322"/>
      <c r="E559" s="321"/>
      <c r="F559" s="322"/>
      <c r="G559" s="322"/>
      <c r="H559" s="323"/>
    </row>
    <row r="560" spans="1:9" x14ac:dyDescent="0.25">
      <c r="A560" s="232">
        <v>560</v>
      </c>
      <c r="B560" s="320"/>
      <c r="C560" s="327"/>
      <c r="D560" s="322"/>
      <c r="E560" s="321"/>
      <c r="F560" s="322"/>
      <c r="G560" s="322"/>
      <c r="H560" s="323"/>
      <c r="I560" s="327"/>
    </row>
    <row r="561" spans="1:9" x14ac:dyDescent="0.25">
      <c r="A561" s="232">
        <v>561</v>
      </c>
      <c r="B561" s="328"/>
      <c r="C561" s="333"/>
      <c r="D561" s="266"/>
      <c r="E561" s="329"/>
      <c r="F561" s="266"/>
      <c r="G561" s="266"/>
      <c r="H561" s="330"/>
      <c r="I561" s="3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201E-E078-4E63-9E6A-CA70C9EA13FE}">
  <dimension ref="A1:K371"/>
  <sheetViews>
    <sheetView topLeftCell="A343" zoomScale="115" zoomScaleNormal="115" workbookViewId="0">
      <selection activeCell="C359" sqref="C359"/>
    </sheetView>
  </sheetViews>
  <sheetFormatPr baseColWidth="10" defaultColWidth="9" defaultRowHeight="15" x14ac:dyDescent="0.25"/>
  <cols>
    <col min="1" max="1" width="9.140625" style="232" bestFit="1" customWidth="1"/>
    <col min="2" max="2" width="21.5703125" style="232" customWidth="1"/>
    <col min="3" max="3" width="49.5703125" style="364" customWidth="1"/>
    <col min="4" max="4" width="8.140625" style="232" bestFit="1" customWidth="1"/>
    <col min="5" max="5" width="15.42578125" style="232" bestFit="1" customWidth="1"/>
    <col min="6" max="6" width="11.140625" style="232" bestFit="1" customWidth="1"/>
    <col min="7" max="7" width="14" style="232" bestFit="1" customWidth="1"/>
    <col min="8" max="8" width="16" style="232" bestFit="1" customWidth="1"/>
    <col min="9" max="9" width="14.5703125" style="232" customWidth="1"/>
    <col min="10" max="10" width="17.140625" style="232" customWidth="1"/>
    <col min="11" max="16384" width="9" style="232"/>
  </cols>
  <sheetData>
    <row r="1" spans="1:11" s="352" customFormat="1" x14ac:dyDescent="0.25">
      <c r="A1" s="352" t="s">
        <v>205</v>
      </c>
      <c r="B1" s="234" t="s">
        <v>7</v>
      </c>
      <c r="C1" s="457" t="s">
        <v>8</v>
      </c>
      <c r="D1" s="234" t="s">
        <v>3</v>
      </c>
      <c r="E1" s="353" t="s">
        <v>9</v>
      </c>
      <c r="F1" s="234" t="s">
        <v>10</v>
      </c>
      <c r="G1" s="234" t="s">
        <v>11</v>
      </c>
      <c r="H1" s="354" t="s">
        <v>12</v>
      </c>
      <c r="I1" s="355" t="s">
        <v>206</v>
      </c>
      <c r="J1" s="356">
        <f>SUM(J2:J371)</f>
        <v>658724627.66039991</v>
      </c>
    </row>
    <row r="2" spans="1:11" s="450" customFormat="1" ht="60" x14ac:dyDescent="0.25">
      <c r="A2" s="450">
        <v>2</v>
      </c>
      <c r="B2" s="357" t="s">
        <v>207</v>
      </c>
      <c r="C2" s="449" t="s">
        <v>200</v>
      </c>
      <c r="D2" s="449"/>
      <c r="E2" s="449"/>
      <c r="F2" s="449"/>
      <c r="G2" s="449"/>
      <c r="H2" s="233">
        <v>1</v>
      </c>
      <c r="I2" s="450">
        <v>3</v>
      </c>
      <c r="J2" s="451">
        <f>SUM(I3:I38)</f>
        <v>25567391.875200003</v>
      </c>
    </row>
    <row r="3" spans="1:11" ht="48" customHeight="1" x14ac:dyDescent="0.25">
      <c r="A3" s="232">
        <v>5</v>
      </c>
      <c r="B3" s="347" t="s">
        <v>5</v>
      </c>
      <c r="C3" s="237" t="s">
        <v>71</v>
      </c>
      <c r="D3" s="238" t="s">
        <v>46</v>
      </c>
      <c r="E3" s="239">
        <v>50000</v>
      </c>
      <c r="F3" s="238">
        <v>0.79500000000000004</v>
      </c>
      <c r="G3" s="240">
        <v>0</v>
      </c>
      <c r="H3" s="446">
        <f>+E3*F3*(1+G3)</f>
        <v>39750</v>
      </c>
      <c r="I3" s="447">
        <f>H3*$I$2</f>
        <v>119250</v>
      </c>
    </row>
    <row r="4" spans="1:11" x14ac:dyDescent="0.25">
      <c r="A4" s="232">
        <v>6</v>
      </c>
      <c r="B4" s="339" t="s">
        <v>5</v>
      </c>
      <c r="C4" s="237" t="s">
        <v>20</v>
      </c>
      <c r="D4" s="238" t="s">
        <v>72</v>
      </c>
      <c r="E4" s="239">
        <f>'APU01'!H50*5%</f>
        <v>83347.400000000009</v>
      </c>
      <c r="F4" s="238">
        <v>1</v>
      </c>
      <c r="G4" s="240">
        <v>0</v>
      </c>
      <c r="H4" s="446">
        <f>+E4*F4*(1+G4)</f>
        <v>83347.400000000009</v>
      </c>
      <c r="I4" s="447">
        <f t="shared" ref="I4:I38" si="0">H4*$I$2</f>
        <v>250042.2</v>
      </c>
    </row>
    <row r="5" spans="1:11" x14ac:dyDescent="0.25">
      <c r="A5" s="232">
        <v>7</v>
      </c>
      <c r="B5" s="339" t="s">
        <v>5</v>
      </c>
      <c r="C5" s="237" t="s">
        <v>70</v>
      </c>
      <c r="D5" s="238" t="s">
        <v>46</v>
      </c>
      <c r="E5" s="239">
        <v>97038</v>
      </c>
      <c r="F5" s="238">
        <v>2</v>
      </c>
      <c r="G5" s="240">
        <v>0</v>
      </c>
      <c r="H5" s="446">
        <f>+E5*F5*(1+G5)</f>
        <v>194076</v>
      </c>
      <c r="I5" s="447">
        <f t="shared" si="0"/>
        <v>582228</v>
      </c>
    </row>
    <row r="6" spans="1:11" x14ac:dyDescent="0.25">
      <c r="A6" s="232">
        <v>8</v>
      </c>
      <c r="B6" s="339" t="s">
        <v>5</v>
      </c>
      <c r="C6" s="237" t="s">
        <v>54</v>
      </c>
      <c r="D6" s="238" t="s">
        <v>46</v>
      </c>
      <c r="E6" s="239">
        <v>10000</v>
      </c>
      <c r="F6" s="238">
        <v>0.79500000000000004</v>
      </c>
      <c r="G6" s="240">
        <v>0</v>
      </c>
      <c r="H6" s="446">
        <f>+E6*F6*(1+G6)</f>
        <v>7950</v>
      </c>
      <c r="I6" s="447">
        <f t="shared" si="0"/>
        <v>23850</v>
      </c>
    </row>
    <row r="7" spans="1:11" ht="45" x14ac:dyDescent="0.25">
      <c r="A7" s="232">
        <v>12</v>
      </c>
      <c r="B7" s="339" t="s">
        <v>15</v>
      </c>
      <c r="C7" s="243" t="s">
        <v>152</v>
      </c>
      <c r="D7" s="244" t="s">
        <v>25</v>
      </c>
      <c r="E7" s="546">
        <v>740300.00000000012</v>
      </c>
      <c r="F7" s="238">
        <v>1</v>
      </c>
      <c r="G7" s="240">
        <v>0</v>
      </c>
      <c r="H7" s="448">
        <f t="shared" ref="H7:H23" si="1">+E7*F7</f>
        <v>740300.00000000012</v>
      </c>
      <c r="I7" s="447">
        <f t="shared" si="0"/>
        <v>2220900.0000000005</v>
      </c>
    </row>
    <row r="8" spans="1:11" ht="30" x14ac:dyDescent="0.25">
      <c r="A8" s="232">
        <v>13</v>
      </c>
      <c r="B8" s="339" t="s">
        <v>15</v>
      </c>
      <c r="C8" s="548" t="s">
        <v>191</v>
      </c>
      <c r="D8" s="244" t="s">
        <v>25</v>
      </c>
      <c r="E8" s="248">
        <f>105000*1.12</f>
        <v>117600.00000000001</v>
      </c>
      <c r="F8" s="238">
        <v>1</v>
      </c>
      <c r="G8" s="240">
        <v>0</v>
      </c>
      <c r="H8" s="448">
        <f t="shared" si="1"/>
        <v>117600.00000000001</v>
      </c>
      <c r="I8" s="447">
        <f t="shared" si="0"/>
        <v>352800.00000000006</v>
      </c>
      <c r="K8" s="573" t="s">
        <v>318</v>
      </c>
    </row>
    <row r="9" spans="1:11" x14ac:dyDescent="0.25">
      <c r="A9" s="232">
        <v>14</v>
      </c>
      <c r="B9" s="339" t="s">
        <v>15</v>
      </c>
      <c r="C9" s="548" t="s">
        <v>192</v>
      </c>
      <c r="D9" s="244" t="s">
        <v>25</v>
      </c>
      <c r="E9" s="248">
        <f>13900*1.2</f>
        <v>16680</v>
      </c>
      <c r="F9" s="238">
        <v>1</v>
      </c>
      <c r="G9" s="240">
        <v>0</v>
      </c>
      <c r="H9" s="448">
        <f t="shared" si="1"/>
        <v>16680</v>
      </c>
      <c r="I9" s="447">
        <f t="shared" si="0"/>
        <v>50040</v>
      </c>
      <c r="K9" s="573" t="s">
        <v>318</v>
      </c>
    </row>
    <row r="10" spans="1:11" ht="30" x14ac:dyDescent="0.25">
      <c r="A10" s="232">
        <v>15</v>
      </c>
      <c r="B10" s="347" t="s">
        <v>15</v>
      </c>
      <c r="C10" s="431" t="s">
        <v>148</v>
      </c>
      <c r="D10" s="378" t="s">
        <v>25</v>
      </c>
      <c r="E10" s="386">
        <v>512800</v>
      </c>
      <c r="F10" s="238">
        <v>2</v>
      </c>
      <c r="G10" s="240">
        <v>0</v>
      </c>
      <c r="H10" s="448">
        <f t="shared" si="1"/>
        <v>1025600</v>
      </c>
      <c r="I10" s="447">
        <f t="shared" si="0"/>
        <v>3076800</v>
      </c>
    </row>
    <row r="11" spans="1:11" x14ac:dyDescent="0.25">
      <c r="A11" s="232">
        <v>16</v>
      </c>
      <c r="B11" s="339" t="s">
        <v>15</v>
      </c>
      <c r="C11" s="250" t="s">
        <v>181</v>
      </c>
      <c r="D11" s="244" t="s">
        <v>25</v>
      </c>
      <c r="E11" s="245">
        <v>451256.75840000005</v>
      </c>
      <c r="F11" s="238">
        <v>1</v>
      </c>
      <c r="G11" s="240">
        <v>0</v>
      </c>
      <c r="H11" s="448">
        <f t="shared" si="1"/>
        <v>451256.75840000005</v>
      </c>
      <c r="I11" s="447">
        <f t="shared" si="0"/>
        <v>1353770.2752</v>
      </c>
      <c r="K11" s="283" t="s">
        <v>319</v>
      </c>
    </row>
    <row r="12" spans="1:11" ht="30" x14ac:dyDescent="0.25">
      <c r="A12" s="232">
        <v>17</v>
      </c>
      <c r="B12" s="339" t="s">
        <v>15</v>
      </c>
      <c r="C12" s="243" t="s">
        <v>329</v>
      </c>
      <c r="D12" s="244" t="s">
        <v>25</v>
      </c>
      <c r="E12" s="245">
        <v>718000</v>
      </c>
      <c r="F12" s="238">
        <v>1</v>
      </c>
      <c r="G12" s="240">
        <v>0</v>
      </c>
      <c r="H12" s="448">
        <f t="shared" si="1"/>
        <v>718000</v>
      </c>
      <c r="I12" s="447">
        <f t="shared" si="0"/>
        <v>2154000</v>
      </c>
      <c r="K12" s="283" t="s">
        <v>320</v>
      </c>
    </row>
    <row r="13" spans="1:11" x14ac:dyDescent="0.25">
      <c r="A13" s="232">
        <v>18</v>
      </c>
      <c r="B13" s="339" t="s">
        <v>15</v>
      </c>
      <c r="C13" s="548" t="s">
        <v>58</v>
      </c>
      <c r="D13" s="244" t="s">
        <v>25</v>
      </c>
      <c r="E13" s="251">
        <v>42920</v>
      </c>
      <c r="F13" s="238">
        <v>1</v>
      </c>
      <c r="G13" s="240">
        <v>0</v>
      </c>
      <c r="H13" s="448">
        <f t="shared" si="1"/>
        <v>42920</v>
      </c>
      <c r="I13" s="447">
        <f t="shared" si="0"/>
        <v>128760</v>
      </c>
      <c r="K13" s="283" t="s">
        <v>322</v>
      </c>
    </row>
    <row r="14" spans="1:11" x14ac:dyDescent="0.25">
      <c r="A14" s="232">
        <v>19</v>
      </c>
      <c r="B14" s="339" t="s">
        <v>15</v>
      </c>
      <c r="C14" s="247" t="s">
        <v>175</v>
      </c>
      <c r="D14" s="253" t="s">
        <v>96</v>
      </c>
      <c r="E14" s="254">
        <v>23880</v>
      </c>
      <c r="F14" s="238">
        <v>0.5</v>
      </c>
      <c r="G14" s="240">
        <v>0</v>
      </c>
      <c r="H14" s="448">
        <f t="shared" si="1"/>
        <v>11940</v>
      </c>
      <c r="I14" s="447">
        <f t="shared" si="0"/>
        <v>35820</v>
      </c>
    </row>
    <row r="15" spans="1:11" x14ac:dyDescent="0.25">
      <c r="A15" s="232">
        <v>20</v>
      </c>
      <c r="B15" s="339" t="s">
        <v>15</v>
      </c>
      <c r="C15" s="243" t="s">
        <v>159</v>
      </c>
      <c r="D15" s="244" t="s">
        <v>25</v>
      </c>
      <c r="E15" s="245">
        <v>114000</v>
      </c>
      <c r="F15" s="238">
        <v>1</v>
      </c>
      <c r="G15" s="240">
        <v>0</v>
      </c>
      <c r="H15" s="448">
        <f t="shared" si="1"/>
        <v>114000</v>
      </c>
      <c r="I15" s="447">
        <f t="shared" si="0"/>
        <v>342000</v>
      </c>
    </row>
    <row r="16" spans="1:11" x14ac:dyDescent="0.25">
      <c r="A16" s="232">
        <v>21</v>
      </c>
      <c r="B16" s="339" t="s">
        <v>15</v>
      </c>
      <c r="C16" s="250" t="s">
        <v>23</v>
      </c>
      <c r="D16" s="244" t="s">
        <v>25</v>
      </c>
      <c r="E16" s="245">
        <v>1111200</v>
      </c>
      <c r="F16" s="238">
        <v>1</v>
      </c>
      <c r="G16" s="240">
        <v>0</v>
      </c>
      <c r="H16" s="448">
        <f t="shared" si="1"/>
        <v>1111200</v>
      </c>
      <c r="I16" s="447">
        <f t="shared" si="0"/>
        <v>3333600</v>
      </c>
    </row>
    <row r="17" spans="1:11" x14ac:dyDescent="0.25">
      <c r="A17" s="232">
        <v>22</v>
      </c>
      <c r="B17" s="339" t="s">
        <v>15</v>
      </c>
      <c r="C17" s="243" t="s">
        <v>161</v>
      </c>
      <c r="D17" s="244" t="s">
        <v>24</v>
      </c>
      <c r="E17" s="255">
        <v>5316</v>
      </c>
      <c r="F17" s="238">
        <v>4</v>
      </c>
      <c r="G17" s="240">
        <v>0</v>
      </c>
      <c r="H17" s="448">
        <f t="shared" si="1"/>
        <v>21264</v>
      </c>
      <c r="I17" s="447">
        <f t="shared" si="0"/>
        <v>63792</v>
      </c>
    </row>
    <row r="18" spans="1:11" x14ac:dyDescent="0.25">
      <c r="A18" s="232">
        <v>23</v>
      </c>
      <c r="B18" s="339" t="s">
        <v>15</v>
      </c>
      <c r="C18" s="250" t="s">
        <v>162</v>
      </c>
      <c r="D18" s="244" t="s">
        <v>25</v>
      </c>
      <c r="E18" s="255">
        <f>1000*1.2</f>
        <v>1200</v>
      </c>
      <c r="F18" s="238">
        <v>12</v>
      </c>
      <c r="G18" s="240">
        <v>0</v>
      </c>
      <c r="H18" s="448">
        <f t="shared" si="1"/>
        <v>14400</v>
      </c>
      <c r="I18" s="447">
        <f t="shared" si="0"/>
        <v>43200</v>
      </c>
    </row>
    <row r="19" spans="1:11" x14ac:dyDescent="0.25">
      <c r="A19" s="232">
        <v>24</v>
      </c>
      <c r="B19" s="339" t="s">
        <v>15</v>
      </c>
      <c r="C19" s="250" t="s">
        <v>110</v>
      </c>
      <c r="D19" s="244" t="s">
        <v>25</v>
      </c>
      <c r="E19" s="245">
        <v>10890</v>
      </c>
      <c r="F19" s="238">
        <v>2</v>
      </c>
      <c r="G19" s="240">
        <v>0</v>
      </c>
      <c r="H19" s="448">
        <f t="shared" si="1"/>
        <v>21780</v>
      </c>
      <c r="I19" s="447">
        <f t="shared" si="0"/>
        <v>65340</v>
      </c>
    </row>
    <row r="20" spans="1:11" x14ac:dyDescent="0.25">
      <c r="A20" s="232">
        <v>25</v>
      </c>
      <c r="B20" s="339" t="s">
        <v>15</v>
      </c>
      <c r="C20" s="250" t="s">
        <v>31</v>
      </c>
      <c r="D20" s="244" t="s">
        <v>25</v>
      </c>
      <c r="E20" s="245">
        <v>78016.400000000009</v>
      </c>
      <c r="F20" s="238">
        <v>2</v>
      </c>
      <c r="G20" s="240">
        <v>0</v>
      </c>
      <c r="H20" s="448">
        <f t="shared" si="1"/>
        <v>156032.80000000002</v>
      </c>
      <c r="I20" s="447">
        <f t="shared" si="0"/>
        <v>468098.4</v>
      </c>
    </row>
    <row r="21" spans="1:11" x14ac:dyDescent="0.25">
      <c r="A21" s="232">
        <v>26</v>
      </c>
      <c r="B21" s="339" t="s">
        <v>15</v>
      </c>
      <c r="C21" s="250" t="s">
        <v>22</v>
      </c>
      <c r="D21" s="244" t="s">
        <v>24</v>
      </c>
      <c r="E21" s="251">
        <v>7500</v>
      </c>
      <c r="F21" s="238">
        <v>8</v>
      </c>
      <c r="G21" s="240">
        <v>0</v>
      </c>
      <c r="H21" s="448">
        <f t="shared" si="1"/>
        <v>60000</v>
      </c>
      <c r="I21" s="447">
        <f t="shared" si="0"/>
        <v>180000</v>
      </c>
    </row>
    <row r="22" spans="1:11" x14ac:dyDescent="0.25">
      <c r="A22" s="232">
        <v>27</v>
      </c>
      <c r="B22" s="339" t="s">
        <v>15</v>
      </c>
      <c r="C22" s="250" t="s">
        <v>95</v>
      </c>
      <c r="D22" s="244" t="s">
        <v>25</v>
      </c>
      <c r="E22" s="245">
        <v>8200</v>
      </c>
      <c r="F22" s="545">
        <v>10</v>
      </c>
      <c r="G22" s="240">
        <v>0</v>
      </c>
      <c r="H22" s="448">
        <f t="shared" si="1"/>
        <v>82000</v>
      </c>
      <c r="I22" s="447">
        <f t="shared" si="0"/>
        <v>246000</v>
      </c>
    </row>
    <row r="23" spans="1:11" x14ac:dyDescent="0.25">
      <c r="A23" s="232">
        <v>28</v>
      </c>
      <c r="B23" s="339" t="s">
        <v>15</v>
      </c>
      <c r="C23" s="256" t="s">
        <v>28</v>
      </c>
      <c r="D23" s="257" t="s">
        <v>24</v>
      </c>
      <c r="E23" s="245">
        <v>3880</v>
      </c>
      <c r="F23" s="238">
        <v>15</v>
      </c>
      <c r="G23" s="240">
        <v>0</v>
      </c>
      <c r="H23" s="448">
        <f t="shared" si="1"/>
        <v>58200</v>
      </c>
      <c r="I23" s="447">
        <f t="shared" si="0"/>
        <v>174600</v>
      </c>
    </row>
    <row r="24" spans="1:11" x14ac:dyDescent="0.25">
      <c r="A24" s="232">
        <v>29</v>
      </c>
      <c r="B24" s="339" t="s">
        <v>15</v>
      </c>
      <c r="C24" s="256" t="s">
        <v>63</v>
      </c>
      <c r="D24" s="257" t="s">
        <v>25</v>
      </c>
      <c r="E24" s="258">
        <v>20000</v>
      </c>
      <c r="F24" s="238">
        <v>6</v>
      </c>
      <c r="G24" s="544">
        <v>0.1</v>
      </c>
      <c r="H24" s="446">
        <f>+E24*F24*(1+G24)</f>
        <v>132000</v>
      </c>
      <c r="I24" s="447">
        <f t="shared" si="0"/>
        <v>396000</v>
      </c>
    </row>
    <row r="25" spans="1:11" x14ac:dyDescent="0.25">
      <c r="A25" s="232">
        <v>30</v>
      </c>
      <c r="B25" s="339" t="s">
        <v>15</v>
      </c>
      <c r="C25" s="243" t="s">
        <v>174</v>
      </c>
      <c r="D25" s="259" t="s">
        <v>25</v>
      </c>
      <c r="E25" s="245">
        <v>700</v>
      </c>
      <c r="F25" s="238">
        <v>6</v>
      </c>
      <c r="G25" s="240">
        <v>0</v>
      </c>
      <c r="H25" s="448">
        <f t="shared" ref="H25:H32" si="2">+E25*F25</f>
        <v>4200</v>
      </c>
      <c r="I25" s="447">
        <f t="shared" si="0"/>
        <v>12600</v>
      </c>
    </row>
    <row r="26" spans="1:11" x14ac:dyDescent="0.25">
      <c r="A26" s="232">
        <v>31</v>
      </c>
      <c r="B26" s="339" t="s">
        <v>15</v>
      </c>
      <c r="C26" s="250" t="s">
        <v>29</v>
      </c>
      <c r="D26" s="244" t="s">
        <v>24</v>
      </c>
      <c r="E26" s="251">
        <v>6870</v>
      </c>
      <c r="F26" s="545">
        <v>81</v>
      </c>
      <c r="G26" s="240">
        <v>0</v>
      </c>
      <c r="H26" s="448">
        <f t="shared" si="2"/>
        <v>556470</v>
      </c>
      <c r="I26" s="447">
        <f t="shared" si="0"/>
        <v>1669410</v>
      </c>
    </row>
    <row r="27" spans="1:11" x14ac:dyDescent="0.25">
      <c r="A27" s="232">
        <v>32</v>
      </c>
      <c r="B27" s="339" t="s">
        <v>15</v>
      </c>
      <c r="C27" s="260" t="s">
        <v>172</v>
      </c>
      <c r="D27" s="259" t="s">
        <v>24</v>
      </c>
      <c r="E27" s="245">
        <v>26307.5</v>
      </c>
      <c r="F27" s="238">
        <v>8</v>
      </c>
      <c r="G27" s="240">
        <v>0</v>
      </c>
      <c r="H27" s="448">
        <f t="shared" si="2"/>
        <v>210460</v>
      </c>
      <c r="I27" s="447">
        <f t="shared" si="0"/>
        <v>631380</v>
      </c>
    </row>
    <row r="28" spans="1:11" ht="30" x14ac:dyDescent="0.25">
      <c r="A28" s="232">
        <v>33</v>
      </c>
      <c r="B28" s="339" t="s">
        <v>15</v>
      </c>
      <c r="C28" s="260" t="s">
        <v>330</v>
      </c>
      <c r="D28" s="244" t="s">
        <v>25</v>
      </c>
      <c r="E28" s="245">
        <v>16010.800000000001</v>
      </c>
      <c r="F28" s="238">
        <v>1</v>
      </c>
      <c r="G28" s="240">
        <v>0</v>
      </c>
      <c r="H28" s="448">
        <f t="shared" si="2"/>
        <v>16010.800000000001</v>
      </c>
      <c r="I28" s="447">
        <f t="shared" si="0"/>
        <v>48032.4</v>
      </c>
      <c r="K28" s="283" t="s">
        <v>321</v>
      </c>
    </row>
    <row r="29" spans="1:11" x14ac:dyDescent="0.25">
      <c r="A29" s="232">
        <v>34</v>
      </c>
      <c r="B29" s="339" t="s">
        <v>15</v>
      </c>
      <c r="C29" s="261" t="s">
        <v>102</v>
      </c>
      <c r="D29" s="244" t="s">
        <v>25</v>
      </c>
      <c r="E29" s="245">
        <v>3740</v>
      </c>
      <c r="F29" s="545">
        <v>2</v>
      </c>
      <c r="G29" s="240">
        <v>0</v>
      </c>
      <c r="H29" s="448">
        <f t="shared" si="2"/>
        <v>7480</v>
      </c>
      <c r="I29" s="447">
        <f t="shared" si="0"/>
        <v>22440</v>
      </c>
    </row>
    <row r="30" spans="1:11" x14ac:dyDescent="0.25">
      <c r="A30" s="232">
        <v>35</v>
      </c>
      <c r="B30" s="339" t="s">
        <v>15</v>
      </c>
      <c r="C30" s="250" t="s">
        <v>30</v>
      </c>
      <c r="D30" s="244" t="s">
        <v>24</v>
      </c>
      <c r="E30" s="245">
        <v>2000</v>
      </c>
      <c r="F30" s="545">
        <v>120</v>
      </c>
      <c r="G30" s="240">
        <v>0</v>
      </c>
      <c r="H30" s="448">
        <f t="shared" si="2"/>
        <v>240000</v>
      </c>
      <c r="I30" s="447">
        <f t="shared" si="0"/>
        <v>720000</v>
      </c>
    </row>
    <row r="31" spans="1:11" x14ac:dyDescent="0.25">
      <c r="A31" s="232">
        <v>36</v>
      </c>
      <c r="B31" s="339" t="s">
        <v>15</v>
      </c>
      <c r="C31" s="262" t="s">
        <v>178</v>
      </c>
      <c r="D31" s="244" t="s">
        <v>24</v>
      </c>
      <c r="E31" s="251">
        <v>19900</v>
      </c>
      <c r="F31" s="543">
        <v>2</v>
      </c>
      <c r="G31" s="240">
        <v>0</v>
      </c>
      <c r="H31" s="448">
        <f t="shared" si="2"/>
        <v>39800</v>
      </c>
      <c r="I31" s="447">
        <f t="shared" si="0"/>
        <v>119400</v>
      </c>
    </row>
    <row r="32" spans="1:11" x14ac:dyDescent="0.25">
      <c r="A32" s="232">
        <v>37</v>
      </c>
      <c r="B32" s="339" t="s">
        <v>15</v>
      </c>
      <c r="C32" s="250" t="s">
        <v>27</v>
      </c>
      <c r="D32" s="244" t="s">
        <v>25</v>
      </c>
      <c r="E32" s="546">
        <v>91620</v>
      </c>
      <c r="F32" s="238">
        <v>1</v>
      </c>
      <c r="G32" s="240">
        <v>0</v>
      </c>
      <c r="H32" s="448">
        <f t="shared" si="2"/>
        <v>91620</v>
      </c>
      <c r="I32" s="447">
        <f t="shared" si="0"/>
        <v>274860</v>
      </c>
    </row>
    <row r="33" spans="1:11" x14ac:dyDescent="0.25">
      <c r="A33" s="232">
        <v>41</v>
      </c>
      <c r="B33" s="339" t="s">
        <v>16</v>
      </c>
      <c r="C33" s="250" t="s">
        <v>41</v>
      </c>
      <c r="D33" s="238" t="s">
        <v>46</v>
      </c>
      <c r="E33" s="272">
        <v>350000</v>
      </c>
      <c r="F33" s="545">
        <v>1</v>
      </c>
      <c r="G33" s="240">
        <v>0</v>
      </c>
      <c r="H33" s="446">
        <f t="shared" ref="H33:H38" si="3">IF(E33="-","-",E33*F33*(1+G33))</f>
        <v>350000</v>
      </c>
      <c r="I33" s="447">
        <f t="shared" si="0"/>
        <v>1050000</v>
      </c>
    </row>
    <row r="34" spans="1:11" ht="30" x14ac:dyDescent="0.25">
      <c r="A34" s="232">
        <v>42</v>
      </c>
      <c r="B34" s="339" t="s">
        <v>16</v>
      </c>
      <c r="C34" s="273" t="s">
        <v>184</v>
      </c>
      <c r="D34" s="238" t="s">
        <v>46</v>
      </c>
      <c r="E34" s="274">
        <v>33333</v>
      </c>
      <c r="F34" s="545">
        <v>0.4</v>
      </c>
      <c r="G34" s="240">
        <v>0</v>
      </c>
      <c r="H34" s="446">
        <f t="shared" si="3"/>
        <v>13333.2</v>
      </c>
      <c r="I34" s="447">
        <f t="shared" si="0"/>
        <v>39999.600000000006</v>
      </c>
    </row>
    <row r="35" spans="1:11" x14ac:dyDescent="0.25">
      <c r="A35" s="232">
        <v>43</v>
      </c>
      <c r="B35" s="339" t="s">
        <v>16</v>
      </c>
      <c r="C35" s="250" t="s">
        <v>73</v>
      </c>
      <c r="D35" s="238" t="s">
        <v>111</v>
      </c>
      <c r="E35" s="274">
        <v>121666</v>
      </c>
      <c r="F35" s="545">
        <v>9</v>
      </c>
      <c r="G35" s="240">
        <v>0</v>
      </c>
      <c r="H35" s="446">
        <f t="shared" si="3"/>
        <v>1094994</v>
      </c>
      <c r="I35" s="447">
        <f t="shared" si="0"/>
        <v>3284982</v>
      </c>
    </row>
    <row r="36" spans="1:11" x14ac:dyDescent="0.25">
      <c r="A36" s="232">
        <v>47</v>
      </c>
      <c r="B36" s="339" t="s">
        <v>17</v>
      </c>
      <c r="C36" s="250" t="s">
        <v>33</v>
      </c>
      <c r="D36" s="238" t="s">
        <v>59</v>
      </c>
      <c r="E36" s="272">
        <v>140000</v>
      </c>
      <c r="F36" s="545">
        <v>2</v>
      </c>
      <c r="G36" s="240">
        <v>0</v>
      </c>
      <c r="H36" s="446">
        <f t="shared" si="3"/>
        <v>280000</v>
      </c>
      <c r="I36" s="447">
        <f t="shared" si="0"/>
        <v>840000</v>
      </c>
      <c r="K36" s="283" t="s">
        <v>325</v>
      </c>
    </row>
    <row r="37" spans="1:11" ht="30" x14ac:dyDescent="0.25">
      <c r="A37" s="232">
        <v>48</v>
      </c>
      <c r="B37" s="339" t="s">
        <v>17</v>
      </c>
      <c r="C37" s="250" t="s">
        <v>32</v>
      </c>
      <c r="D37" s="238" t="s">
        <v>59</v>
      </c>
      <c r="E37" s="272">
        <v>97799</v>
      </c>
      <c r="F37" s="238">
        <v>1</v>
      </c>
      <c r="G37" s="240">
        <v>0</v>
      </c>
      <c r="H37" s="446">
        <f t="shared" si="3"/>
        <v>97799</v>
      </c>
      <c r="I37" s="447">
        <f t="shared" si="0"/>
        <v>293397</v>
      </c>
    </row>
    <row r="38" spans="1:11" x14ac:dyDescent="0.25">
      <c r="A38" s="232">
        <v>49</v>
      </c>
      <c r="B38" s="339" t="s">
        <v>17</v>
      </c>
      <c r="C38" s="250" t="s">
        <v>64</v>
      </c>
      <c r="D38" s="238" t="s">
        <v>59</v>
      </c>
      <c r="E38" s="272">
        <v>150000</v>
      </c>
      <c r="F38" s="238">
        <v>2</v>
      </c>
      <c r="G38" s="240">
        <v>0</v>
      </c>
      <c r="H38" s="446">
        <f t="shared" si="3"/>
        <v>300000</v>
      </c>
      <c r="I38" s="447">
        <f t="shared" si="0"/>
        <v>900000</v>
      </c>
    </row>
    <row r="39" spans="1:11" s="450" customFormat="1" ht="60" x14ac:dyDescent="0.25">
      <c r="A39" s="450">
        <v>60</v>
      </c>
      <c r="B39" s="429" t="s">
        <v>207</v>
      </c>
      <c r="C39" s="452" t="s">
        <v>201</v>
      </c>
      <c r="D39" s="453"/>
      <c r="E39" s="454"/>
      <c r="F39" s="455"/>
      <c r="G39" s="455"/>
      <c r="H39" s="445">
        <v>2</v>
      </c>
      <c r="I39" s="450">
        <v>6</v>
      </c>
      <c r="J39" s="451">
        <f>SUM(I40:I75)</f>
        <v>46931156.030400001</v>
      </c>
    </row>
    <row r="40" spans="1:11" x14ac:dyDescent="0.25">
      <c r="A40" s="232">
        <v>63</v>
      </c>
      <c r="B40" s="339" t="s">
        <v>5</v>
      </c>
      <c r="C40" s="281" t="s">
        <v>71</v>
      </c>
      <c r="D40" s="238" t="s">
        <v>46</v>
      </c>
      <c r="E40" s="239">
        <v>50000</v>
      </c>
      <c r="F40" s="238">
        <v>0.71599999999999997</v>
      </c>
      <c r="G40" s="240">
        <v>0</v>
      </c>
      <c r="H40" s="241">
        <f>+E40*F40*(1+G40)</f>
        <v>35800</v>
      </c>
      <c r="I40" s="447">
        <f>H40*$I$39</f>
        <v>214800</v>
      </c>
    </row>
    <row r="41" spans="1:11" x14ac:dyDescent="0.25">
      <c r="A41" s="232">
        <v>64</v>
      </c>
      <c r="B41" s="339" t="s">
        <v>5</v>
      </c>
      <c r="C41" s="237" t="s">
        <v>20</v>
      </c>
      <c r="D41" s="238" t="s">
        <v>72</v>
      </c>
      <c r="E41" s="239">
        <f>'APU02'!H51*5%</f>
        <v>79276.5</v>
      </c>
      <c r="F41" s="338">
        <v>1</v>
      </c>
      <c r="G41" s="404">
        <v>0</v>
      </c>
      <c r="H41" s="241">
        <f>+E41*F41*(1+G41)</f>
        <v>79276.5</v>
      </c>
      <c r="I41" s="447">
        <f t="shared" ref="I41:I75" si="4">H41*$I$39</f>
        <v>475659</v>
      </c>
    </row>
    <row r="42" spans="1:11" x14ac:dyDescent="0.25">
      <c r="A42" s="232">
        <v>65</v>
      </c>
      <c r="B42" s="339" t="s">
        <v>5</v>
      </c>
      <c r="C42" s="281" t="s">
        <v>70</v>
      </c>
      <c r="D42" s="238" t="s">
        <v>46</v>
      </c>
      <c r="E42" s="239">
        <v>97038</v>
      </c>
      <c r="F42" s="238">
        <v>2</v>
      </c>
      <c r="G42" s="240">
        <v>0</v>
      </c>
      <c r="H42" s="241">
        <f>+E42*F42*(1+G42)</f>
        <v>194076</v>
      </c>
      <c r="I42" s="447">
        <f t="shared" si="4"/>
        <v>1164456</v>
      </c>
    </row>
    <row r="43" spans="1:11" x14ac:dyDescent="0.25">
      <c r="A43" s="232">
        <v>66</v>
      </c>
      <c r="B43" s="339" t="s">
        <v>5</v>
      </c>
      <c r="C43" s="281" t="s">
        <v>54</v>
      </c>
      <c r="D43" s="238" t="s">
        <v>46</v>
      </c>
      <c r="E43" s="239">
        <v>10000</v>
      </c>
      <c r="F43" s="238">
        <v>0.71599999999999997</v>
      </c>
      <c r="G43" s="240">
        <v>0</v>
      </c>
      <c r="H43" s="241">
        <f>+E43*F43*(1+G43)</f>
        <v>7160</v>
      </c>
      <c r="I43" s="447">
        <f t="shared" si="4"/>
        <v>42960</v>
      </c>
    </row>
    <row r="44" spans="1:11" ht="45" x14ac:dyDescent="0.25">
      <c r="A44" s="232">
        <v>70</v>
      </c>
      <c r="B44" s="339" t="s">
        <v>15</v>
      </c>
      <c r="C44" s="243" t="s">
        <v>152</v>
      </c>
      <c r="D44" s="244" t="s">
        <v>25</v>
      </c>
      <c r="E44" s="245">
        <v>740300.00000000012</v>
      </c>
      <c r="F44" s="238">
        <v>1</v>
      </c>
      <c r="G44" s="240">
        <v>0</v>
      </c>
      <c r="H44" s="246">
        <f t="shared" ref="H44:H60" si="5">+E44*F44</f>
        <v>740300.00000000012</v>
      </c>
      <c r="I44" s="447">
        <f t="shared" si="4"/>
        <v>4441800.0000000009</v>
      </c>
    </row>
    <row r="45" spans="1:11" ht="30" x14ac:dyDescent="0.25">
      <c r="A45" s="232">
        <v>71</v>
      </c>
      <c r="B45" s="347" t="s">
        <v>15</v>
      </c>
      <c r="C45" s="547" t="s">
        <v>191</v>
      </c>
      <c r="D45" s="378" t="s">
        <v>25</v>
      </c>
      <c r="E45" s="395">
        <f>105000*1.12</f>
        <v>117600.00000000001</v>
      </c>
      <c r="F45" s="238">
        <v>1</v>
      </c>
      <c r="G45" s="240">
        <v>0</v>
      </c>
      <c r="H45" s="246">
        <f t="shared" si="5"/>
        <v>117600.00000000001</v>
      </c>
      <c r="I45" s="447">
        <f t="shared" si="4"/>
        <v>705600.00000000012</v>
      </c>
    </row>
    <row r="46" spans="1:11" x14ac:dyDescent="0.25">
      <c r="A46" s="232">
        <v>72</v>
      </c>
      <c r="B46" s="339" t="s">
        <v>15</v>
      </c>
      <c r="C46" s="548" t="s">
        <v>192</v>
      </c>
      <c r="D46" s="244" t="s">
        <v>25</v>
      </c>
      <c r="E46" s="248">
        <f>13900*1.2</f>
        <v>16680</v>
      </c>
      <c r="F46" s="238">
        <v>1</v>
      </c>
      <c r="G46" s="240">
        <v>0</v>
      </c>
      <c r="H46" s="246">
        <f t="shared" si="5"/>
        <v>16680</v>
      </c>
      <c r="I46" s="447">
        <f t="shared" si="4"/>
        <v>100080</v>
      </c>
    </row>
    <row r="47" spans="1:11" ht="30" x14ac:dyDescent="0.25">
      <c r="A47" s="232">
        <v>73</v>
      </c>
      <c r="B47" s="347" t="s">
        <v>15</v>
      </c>
      <c r="C47" s="430" t="s">
        <v>148</v>
      </c>
      <c r="D47" s="244" t="s">
        <v>25</v>
      </c>
      <c r="E47" s="245">
        <v>512800</v>
      </c>
      <c r="F47" s="238">
        <v>1</v>
      </c>
      <c r="G47" s="240">
        <v>0</v>
      </c>
      <c r="H47" s="246">
        <f t="shared" si="5"/>
        <v>512800</v>
      </c>
      <c r="I47" s="447">
        <f t="shared" si="4"/>
        <v>3076800</v>
      </c>
    </row>
    <row r="48" spans="1:11" x14ac:dyDescent="0.25">
      <c r="A48" s="232">
        <v>74</v>
      </c>
      <c r="B48" s="339" t="s">
        <v>15</v>
      </c>
      <c r="C48" s="247" t="s">
        <v>181</v>
      </c>
      <c r="D48" s="244" t="s">
        <v>25</v>
      </c>
      <c r="E48" s="245">
        <v>451256.75840000005</v>
      </c>
      <c r="F48" s="238">
        <v>1</v>
      </c>
      <c r="G48" s="240">
        <v>0</v>
      </c>
      <c r="H48" s="246">
        <f t="shared" si="5"/>
        <v>451256.75840000005</v>
      </c>
      <c r="I48" s="447">
        <f t="shared" si="4"/>
        <v>2707540.5504000001</v>
      </c>
    </row>
    <row r="49" spans="1:11" ht="30" x14ac:dyDescent="0.25">
      <c r="A49" s="232">
        <v>75</v>
      </c>
      <c r="B49" s="339" t="s">
        <v>15</v>
      </c>
      <c r="C49" s="243" t="s">
        <v>160</v>
      </c>
      <c r="D49" s="244" t="s">
        <v>25</v>
      </c>
      <c r="E49" s="245">
        <v>718000</v>
      </c>
      <c r="F49" s="238">
        <v>1</v>
      </c>
      <c r="G49" s="240">
        <v>0</v>
      </c>
      <c r="H49" s="246">
        <f t="shared" si="5"/>
        <v>718000</v>
      </c>
      <c r="I49" s="447">
        <f t="shared" si="4"/>
        <v>4308000</v>
      </c>
    </row>
    <row r="50" spans="1:11" x14ac:dyDescent="0.25">
      <c r="A50" s="232">
        <v>76</v>
      </c>
      <c r="B50" s="339" t="s">
        <v>15</v>
      </c>
      <c r="C50" s="548" t="s">
        <v>58</v>
      </c>
      <c r="D50" s="244" t="s">
        <v>25</v>
      </c>
      <c r="E50" s="251">
        <v>42920</v>
      </c>
      <c r="F50" s="238">
        <v>1</v>
      </c>
      <c r="G50" s="240">
        <v>0</v>
      </c>
      <c r="H50" s="246">
        <f t="shared" si="5"/>
        <v>42920</v>
      </c>
      <c r="I50" s="447">
        <f t="shared" si="4"/>
        <v>257520</v>
      </c>
      <c r="K50" s="283" t="s">
        <v>322</v>
      </c>
    </row>
    <row r="51" spans="1:11" x14ac:dyDescent="0.25">
      <c r="A51" s="232">
        <v>77</v>
      </c>
      <c r="B51" s="347" t="s">
        <v>15</v>
      </c>
      <c r="C51" s="247" t="s">
        <v>175</v>
      </c>
      <c r="D51" s="253" t="s">
        <v>96</v>
      </c>
      <c r="E51" s="254">
        <v>23880</v>
      </c>
      <c r="F51" s="238">
        <v>0.5</v>
      </c>
      <c r="G51" s="240">
        <v>0</v>
      </c>
      <c r="H51" s="246">
        <f t="shared" si="5"/>
        <v>11940</v>
      </c>
      <c r="I51" s="447">
        <f t="shared" si="4"/>
        <v>71640</v>
      </c>
    </row>
    <row r="52" spans="1:11" x14ac:dyDescent="0.25">
      <c r="A52" s="232">
        <v>78</v>
      </c>
      <c r="B52" s="360" t="s">
        <v>15</v>
      </c>
      <c r="C52" s="372" t="s">
        <v>159</v>
      </c>
      <c r="D52" s="381" t="s">
        <v>25</v>
      </c>
      <c r="E52" s="390">
        <v>114000</v>
      </c>
      <c r="F52" s="398">
        <v>1</v>
      </c>
      <c r="G52" s="407">
        <v>0</v>
      </c>
      <c r="H52" s="246">
        <f t="shared" si="5"/>
        <v>114000</v>
      </c>
      <c r="I52" s="447">
        <f t="shared" si="4"/>
        <v>684000</v>
      </c>
    </row>
    <row r="53" spans="1:11" x14ac:dyDescent="0.25">
      <c r="A53" s="232">
        <v>79</v>
      </c>
      <c r="B53" s="358" t="s">
        <v>15</v>
      </c>
      <c r="C53" s="364" t="s">
        <v>23</v>
      </c>
      <c r="D53" s="380" t="s">
        <v>25</v>
      </c>
      <c r="E53" s="391">
        <v>1111210</v>
      </c>
      <c r="F53" s="293">
        <v>1</v>
      </c>
      <c r="G53" s="405">
        <v>0</v>
      </c>
      <c r="H53" s="412">
        <f t="shared" si="5"/>
        <v>1111210</v>
      </c>
      <c r="I53" s="447">
        <f t="shared" si="4"/>
        <v>6667260</v>
      </c>
    </row>
    <row r="54" spans="1:11" x14ac:dyDescent="0.25">
      <c r="A54" s="232">
        <v>80</v>
      </c>
      <c r="B54" s="358" t="s">
        <v>15</v>
      </c>
      <c r="C54" s="372" t="s">
        <v>161</v>
      </c>
      <c r="D54" s="380" t="s">
        <v>24</v>
      </c>
      <c r="E54" s="394">
        <v>5316</v>
      </c>
      <c r="F54" s="238">
        <v>4</v>
      </c>
      <c r="G54" s="240">
        <v>0</v>
      </c>
      <c r="H54" s="246">
        <f t="shared" si="5"/>
        <v>21264</v>
      </c>
      <c r="I54" s="447">
        <f t="shared" si="4"/>
        <v>127584</v>
      </c>
    </row>
    <row r="55" spans="1:11" x14ac:dyDescent="0.25">
      <c r="A55" s="232">
        <v>81</v>
      </c>
      <c r="B55" s="358" t="s">
        <v>15</v>
      </c>
      <c r="C55" s="370" t="s">
        <v>162</v>
      </c>
      <c r="D55" s="380" t="s">
        <v>25</v>
      </c>
      <c r="E55" s="394">
        <f>1000*1.2</f>
        <v>1200</v>
      </c>
      <c r="F55" s="400">
        <v>12</v>
      </c>
      <c r="G55" s="407">
        <v>0</v>
      </c>
      <c r="H55" s="413">
        <f t="shared" si="5"/>
        <v>14400</v>
      </c>
      <c r="I55" s="447">
        <f t="shared" si="4"/>
        <v>86400</v>
      </c>
    </row>
    <row r="56" spans="1:11" x14ac:dyDescent="0.25">
      <c r="A56" s="232">
        <v>82</v>
      </c>
      <c r="B56" s="358" t="s">
        <v>15</v>
      </c>
      <c r="C56" s="364" t="s">
        <v>21</v>
      </c>
      <c r="D56" s="380" t="s">
        <v>25</v>
      </c>
      <c r="E56" s="391">
        <v>10890</v>
      </c>
      <c r="F56" s="293">
        <v>1</v>
      </c>
      <c r="G56" s="405">
        <v>0</v>
      </c>
      <c r="H56" s="416">
        <f t="shared" si="5"/>
        <v>10890</v>
      </c>
      <c r="I56" s="447">
        <f t="shared" si="4"/>
        <v>65340</v>
      </c>
    </row>
    <row r="57" spans="1:11" x14ac:dyDescent="0.25">
      <c r="A57" s="232">
        <v>83</v>
      </c>
      <c r="B57" s="358" t="s">
        <v>15</v>
      </c>
      <c r="C57" s="364" t="s">
        <v>31</v>
      </c>
      <c r="D57" s="380" t="s">
        <v>25</v>
      </c>
      <c r="E57" s="391">
        <v>78016.400000000009</v>
      </c>
      <c r="F57" s="293">
        <v>1</v>
      </c>
      <c r="G57" s="405">
        <v>0</v>
      </c>
      <c r="H57" s="412">
        <f t="shared" si="5"/>
        <v>78016.400000000009</v>
      </c>
      <c r="I57" s="447">
        <f t="shared" si="4"/>
        <v>468098.4</v>
      </c>
    </row>
    <row r="58" spans="1:11" x14ac:dyDescent="0.25">
      <c r="A58" s="232">
        <v>84</v>
      </c>
      <c r="B58" s="358" t="s">
        <v>15</v>
      </c>
      <c r="C58" s="364" t="s">
        <v>22</v>
      </c>
      <c r="D58" s="380" t="s">
        <v>24</v>
      </c>
      <c r="E58" s="388">
        <v>7500</v>
      </c>
      <c r="F58" s="293">
        <v>6</v>
      </c>
      <c r="G58" s="405">
        <v>0</v>
      </c>
      <c r="H58" s="412">
        <f t="shared" si="5"/>
        <v>45000</v>
      </c>
      <c r="I58" s="447">
        <f t="shared" si="4"/>
        <v>270000</v>
      </c>
    </row>
    <row r="59" spans="1:11" x14ac:dyDescent="0.25">
      <c r="A59" s="232">
        <v>85</v>
      </c>
      <c r="B59" s="359" t="s">
        <v>15</v>
      </c>
      <c r="C59" s="365" t="s">
        <v>95</v>
      </c>
      <c r="D59" s="379" t="s">
        <v>25</v>
      </c>
      <c r="E59" s="389">
        <v>8200</v>
      </c>
      <c r="F59" s="549">
        <v>6</v>
      </c>
      <c r="G59" s="406">
        <v>0</v>
      </c>
      <c r="H59" s="411">
        <f t="shared" si="5"/>
        <v>49200</v>
      </c>
      <c r="I59" s="447">
        <f t="shared" si="4"/>
        <v>295200</v>
      </c>
    </row>
    <row r="60" spans="1:11" x14ac:dyDescent="0.25">
      <c r="A60" s="232">
        <v>86</v>
      </c>
      <c r="B60" s="339" t="s">
        <v>15</v>
      </c>
      <c r="C60" s="282" t="s">
        <v>28</v>
      </c>
      <c r="D60" s="257" t="s">
        <v>24</v>
      </c>
      <c r="E60" s="245">
        <v>3880</v>
      </c>
      <c r="F60" s="545">
        <v>15</v>
      </c>
      <c r="G60" s="240">
        <v>0</v>
      </c>
      <c r="H60" s="246">
        <f t="shared" si="5"/>
        <v>58200</v>
      </c>
      <c r="I60" s="447">
        <f t="shared" si="4"/>
        <v>349200</v>
      </c>
    </row>
    <row r="61" spans="1:11" ht="14.25" customHeight="1" x14ac:dyDescent="0.25">
      <c r="A61" s="232">
        <v>87</v>
      </c>
      <c r="B61" s="347" t="s">
        <v>15</v>
      </c>
      <c r="C61" s="256" t="s">
        <v>63</v>
      </c>
      <c r="D61" s="257" t="s">
        <v>25</v>
      </c>
      <c r="E61" s="258">
        <v>20000</v>
      </c>
      <c r="F61" s="545">
        <v>6</v>
      </c>
      <c r="G61" s="240">
        <v>0.1</v>
      </c>
      <c r="H61" s="241">
        <f>+E61*F61*(1+G61)</f>
        <v>132000</v>
      </c>
      <c r="I61" s="447">
        <f t="shared" si="4"/>
        <v>792000</v>
      </c>
    </row>
    <row r="62" spans="1:11" x14ac:dyDescent="0.25">
      <c r="A62" s="232">
        <v>88</v>
      </c>
      <c r="B62" s="339" t="s">
        <v>15</v>
      </c>
      <c r="C62" s="243" t="s">
        <v>174</v>
      </c>
      <c r="D62" s="259" t="s">
        <v>25</v>
      </c>
      <c r="E62" s="245">
        <v>700</v>
      </c>
      <c r="F62" s="238">
        <v>6</v>
      </c>
      <c r="G62" s="240">
        <v>0</v>
      </c>
      <c r="H62" s="246">
        <f t="shared" ref="H62:H69" si="6">+E62*F62</f>
        <v>4200</v>
      </c>
      <c r="I62" s="447">
        <f t="shared" si="4"/>
        <v>25200</v>
      </c>
    </row>
    <row r="63" spans="1:11" x14ac:dyDescent="0.25">
      <c r="A63" s="232">
        <v>89</v>
      </c>
      <c r="B63" s="339" t="s">
        <v>15</v>
      </c>
      <c r="C63" s="247" t="s">
        <v>29</v>
      </c>
      <c r="D63" s="244" t="s">
        <v>24</v>
      </c>
      <c r="E63" s="245">
        <v>6870</v>
      </c>
      <c r="F63" s="545">
        <v>73</v>
      </c>
      <c r="G63" s="240">
        <v>0</v>
      </c>
      <c r="H63" s="246">
        <f t="shared" si="6"/>
        <v>501510</v>
      </c>
      <c r="I63" s="447">
        <f t="shared" si="4"/>
        <v>3009060</v>
      </c>
    </row>
    <row r="64" spans="1:11" x14ac:dyDescent="0.25">
      <c r="A64" s="232">
        <v>90</v>
      </c>
      <c r="B64" s="339" t="s">
        <v>15</v>
      </c>
      <c r="C64" s="260" t="s">
        <v>172</v>
      </c>
      <c r="D64" s="259" t="s">
        <v>24</v>
      </c>
      <c r="E64" s="245">
        <v>26307.5</v>
      </c>
      <c r="F64" s="545">
        <v>4</v>
      </c>
      <c r="G64" s="240">
        <v>0</v>
      </c>
      <c r="H64" s="246">
        <f t="shared" si="6"/>
        <v>105230</v>
      </c>
      <c r="I64" s="447">
        <f t="shared" si="4"/>
        <v>631380</v>
      </c>
    </row>
    <row r="65" spans="1:11" x14ac:dyDescent="0.25">
      <c r="A65" s="232">
        <v>91</v>
      </c>
      <c r="B65" s="339" t="s">
        <v>15</v>
      </c>
      <c r="C65" s="260" t="s">
        <v>173</v>
      </c>
      <c r="D65" s="244" t="s">
        <v>25</v>
      </c>
      <c r="E65" s="245">
        <v>16010.800000000001</v>
      </c>
      <c r="F65" s="238">
        <v>1</v>
      </c>
      <c r="G65" s="240">
        <v>0</v>
      </c>
      <c r="H65" s="246">
        <f t="shared" si="6"/>
        <v>16010.800000000001</v>
      </c>
      <c r="I65" s="447">
        <f t="shared" si="4"/>
        <v>96064.8</v>
      </c>
    </row>
    <row r="66" spans="1:11" x14ac:dyDescent="0.25">
      <c r="A66" s="232">
        <v>92</v>
      </c>
      <c r="B66" s="339" t="s">
        <v>15</v>
      </c>
      <c r="C66" s="261" t="s">
        <v>102</v>
      </c>
      <c r="D66" s="244" t="s">
        <v>25</v>
      </c>
      <c r="E66" s="245">
        <v>3740</v>
      </c>
      <c r="F66" s="238">
        <v>2</v>
      </c>
      <c r="G66" s="240">
        <v>0</v>
      </c>
      <c r="H66" s="246">
        <f t="shared" si="6"/>
        <v>7480</v>
      </c>
      <c r="I66" s="447">
        <f t="shared" si="4"/>
        <v>44880</v>
      </c>
    </row>
    <row r="67" spans="1:11" x14ac:dyDescent="0.25">
      <c r="A67" s="232">
        <v>93</v>
      </c>
      <c r="B67" s="339" t="s">
        <v>15</v>
      </c>
      <c r="C67" s="247" t="s">
        <v>30</v>
      </c>
      <c r="D67" s="244" t="s">
        <v>24</v>
      </c>
      <c r="E67" s="245">
        <v>2000</v>
      </c>
      <c r="F67" s="545">
        <v>120</v>
      </c>
      <c r="G67" s="240">
        <v>0</v>
      </c>
      <c r="H67" s="246">
        <f t="shared" si="6"/>
        <v>240000</v>
      </c>
      <c r="I67" s="447">
        <f t="shared" si="4"/>
        <v>1440000</v>
      </c>
    </row>
    <row r="68" spans="1:11" x14ac:dyDescent="0.25">
      <c r="A68" s="232">
        <v>94</v>
      </c>
      <c r="B68" s="347" t="s">
        <v>15</v>
      </c>
      <c r="C68" s="361" t="s">
        <v>178</v>
      </c>
      <c r="D68" s="378" t="s">
        <v>24</v>
      </c>
      <c r="E68" s="385">
        <v>19900</v>
      </c>
      <c r="F68" s="543">
        <v>2</v>
      </c>
      <c r="G68" s="240">
        <v>0</v>
      </c>
      <c r="H68" s="246">
        <f t="shared" si="6"/>
        <v>39800</v>
      </c>
      <c r="I68" s="447">
        <f t="shared" si="4"/>
        <v>238800</v>
      </c>
    </row>
    <row r="69" spans="1:11" x14ac:dyDescent="0.25">
      <c r="A69" s="232">
        <v>95</v>
      </c>
      <c r="B69" s="339" t="s">
        <v>15</v>
      </c>
      <c r="C69" s="247" t="s">
        <v>27</v>
      </c>
      <c r="D69" s="244" t="s">
        <v>25</v>
      </c>
      <c r="E69" s="251">
        <v>89180</v>
      </c>
      <c r="F69" s="238">
        <v>1</v>
      </c>
      <c r="G69" s="240">
        <v>0</v>
      </c>
      <c r="H69" s="246">
        <f t="shared" si="6"/>
        <v>89180</v>
      </c>
      <c r="I69" s="447">
        <f t="shared" si="4"/>
        <v>535080</v>
      </c>
    </row>
    <row r="70" spans="1:11" x14ac:dyDescent="0.25">
      <c r="A70" s="232">
        <v>99</v>
      </c>
      <c r="B70" s="339" t="s">
        <v>16</v>
      </c>
      <c r="C70" s="247" t="s">
        <v>41</v>
      </c>
      <c r="D70" s="238" t="s">
        <v>46</v>
      </c>
      <c r="E70" s="272">
        <v>350000</v>
      </c>
      <c r="F70" s="238">
        <v>1</v>
      </c>
      <c r="G70" s="240">
        <v>0</v>
      </c>
      <c r="H70" s="241">
        <f t="shared" ref="H70:H75" si="7">IF(E70="-","-",E70*F70*(1+G70))</f>
        <v>350000</v>
      </c>
      <c r="I70" s="447">
        <f t="shared" si="4"/>
        <v>2100000</v>
      </c>
    </row>
    <row r="71" spans="1:11" ht="30" x14ac:dyDescent="0.25">
      <c r="A71" s="232">
        <v>100</v>
      </c>
      <c r="B71" s="339" t="s">
        <v>16</v>
      </c>
      <c r="C71" s="273" t="s">
        <v>184</v>
      </c>
      <c r="D71" s="238" t="s">
        <v>46</v>
      </c>
      <c r="E71" s="274">
        <v>33333</v>
      </c>
      <c r="F71" s="238">
        <v>0.36</v>
      </c>
      <c r="G71" s="240">
        <v>0</v>
      </c>
      <c r="H71" s="241">
        <f t="shared" si="7"/>
        <v>11999.88</v>
      </c>
      <c r="I71" s="447">
        <f t="shared" si="4"/>
        <v>71999.28</v>
      </c>
    </row>
    <row r="72" spans="1:11" x14ac:dyDescent="0.25">
      <c r="A72" s="232">
        <v>101</v>
      </c>
      <c r="B72" s="339" t="s">
        <v>16</v>
      </c>
      <c r="C72" s="247" t="s">
        <v>73</v>
      </c>
      <c r="D72" s="238" t="s">
        <v>111</v>
      </c>
      <c r="E72" s="274">
        <v>121666</v>
      </c>
      <c r="F72" s="545">
        <v>10</v>
      </c>
      <c r="G72" s="240">
        <v>0</v>
      </c>
      <c r="H72" s="241">
        <f t="shared" si="7"/>
        <v>1216660</v>
      </c>
      <c r="I72" s="447">
        <f t="shared" si="4"/>
        <v>7299960</v>
      </c>
    </row>
    <row r="73" spans="1:11" x14ac:dyDescent="0.25">
      <c r="A73" s="232">
        <v>105</v>
      </c>
      <c r="B73" s="339" t="s">
        <v>17</v>
      </c>
      <c r="C73" s="247" t="s">
        <v>33</v>
      </c>
      <c r="D73" s="238" t="s">
        <v>59</v>
      </c>
      <c r="E73" s="272">
        <v>140000</v>
      </c>
      <c r="F73" s="545">
        <v>2</v>
      </c>
      <c r="G73" s="240">
        <v>0</v>
      </c>
      <c r="H73" s="241">
        <f t="shared" si="7"/>
        <v>280000</v>
      </c>
      <c r="I73" s="447">
        <f t="shared" si="4"/>
        <v>1680000</v>
      </c>
      <c r="K73" s="283" t="s">
        <v>325</v>
      </c>
    </row>
    <row r="74" spans="1:11" ht="30" x14ac:dyDescent="0.25">
      <c r="A74" s="232">
        <v>106</v>
      </c>
      <c r="B74" s="339" t="s">
        <v>17</v>
      </c>
      <c r="C74" s="247" t="s">
        <v>32</v>
      </c>
      <c r="D74" s="238" t="s">
        <v>59</v>
      </c>
      <c r="E74" s="272">
        <v>97799</v>
      </c>
      <c r="F74" s="238">
        <v>1</v>
      </c>
      <c r="G74" s="240">
        <v>0</v>
      </c>
      <c r="H74" s="241">
        <f t="shared" si="7"/>
        <v>97799</v>
      </c>
      <c r="I74" s="447">
        <f t="shared" si="4"/>
        <v>586794</v>
      </c>
    </row>
    <row r="75" spans="1:11" x14ac:dyDescent="0.25">
      <c r="A75" s="232">
        <v>107</v>
      </c>
      <c r="B75" s="339" t="s">
        <v>17</v>
      </c>
      <c r="C75" s="247" t="s">
        <v>64</v>
      </c>
      <c r="D75" s="238" t="s">
        <v>59</v>
      </c>
      <c r="E75" s="272">
        <v>150000</v>
      </c>
      <c r="F75" s="238">
        <v>2</v>
      </c>
      <c r="G75" s="240">
        <v>0</v>
      </c>
      <c r="H75" s="241">
        <f t="shared" si="7"/>
        <v>300000</v>
      </c>
      <c r="I75" s="447">
        <f t="shared" si="4"/>
        <v>1800000</v>
      </c>
    </row>
    <row r="76" spans="1:11" s="450" customFormat="1" ht="60" x14ac:dyDescent="0.25">
      <c r="A76" s="450">
        <v>119</v>
      </c>
      <c r="B76" s="357" t="s">
        <v>207</v>
      </c>
      <c r="C76" s="449" t="s">
        <v>195</v>
      </c>
      <c r="D76" s="449"/>
      <c r="E76" s="449"/>
      <c r="F76" s="449"/>
      <c r="G76" s="449"/>
      <c r="H76" s="233">
        <v>3</v>
      </c>
      <c r="I76" s="450">
        <v>5</v>
      </c>
      <c r="J76" s="451">
        <f>SUM(I77:I119)</f>
        <v>95479500.541999996</v>
      </c>
    </row>
    <row r="77" spans="1:11" x14ac:dyDescent="0.25">
      <c r="A77" s="232">
        <v>122</v>
      </c>
      <c r="B77" s="339" t="s">
        <v>5</v>
      </c>
      <c r="C77" s="281" t="s">
        <v>71</v>
      </c>
      <c r="D77" s="238" t="s">
        <v>46</v>
      </c>
      <c r="E77" s="239">
        <v>50000</v>
      </c>
      <c r="F77" s="238">
        <v>1.698</v>
      </c>
      <c r="G77" s="240">
        <v>0</v>
      </c>
      <c r="H77" s="241">
        <f>+E77*F77*(1+G77)</f>
        <v>84900</v>
      </c>
      <c r="I77" s="447">
        <f>H77*$I$76</f>
        <v>424500</v>
      </c>
    </row>
    <row r="78" spans="1:11" x14ac:dyDescent="0.25">
      <c r="A78" s="232">
        <v>123</v>
      </c>
      <c r="B78" s="339" t="s">
        <v>5</v>
      </c>
      <c r="C78" s="237" t="s">
        <v>20</v>
      </c>
      <c r="D78" s="238" t="s">
        <v>72</v>
      </c>
      <c r="E78" s="239">
        <f>'APU03'!H58*5%</f>
        <v>79276.5</v>
      </c>
      <c r="F78" s="238">
        <v>1</v>
      </c>
      <c r="G78" s="240">
        <v>0</v>
      </c>
      <c r="H78" s="241">
        <f>+E78*F78*(1+G78)</f>
        <v>79276.5</v>
      </c>
      <c r="I78" s="447">
        <f t="shared" ref="I78:I119" si="8">H78*$I$76</f>
        <v>396382.5</v>
      </c>
    </row>
    <row r="79" spans="1:11" x14ac:dyDescent="0.25">
      <c r="A79" s="232">
        <v>124</v>
      </c>
      <c r="B79" s="339" t="s">
        <v>5</v>
      </c>
      <c r="C79" s="281" t="s">
        <v>70</v>
      </c>
      <c r="D79" s="238" t="s">
        <v>46</v>
      </c>
      <c r="E79" s="239">
        <v>97038</v>
      </c>
      <c r="F79" s="238">
        <v>2</v>
      </c>
      <c r="G79" s="240">
        <v>0</v>
      </c>
      <c r="H79" s="241">
        <f>+E79*F79*(1+G79)</f>
        <v>194076</v>
      </c>
      <c r="I79" s="447">
        <f t="shared" si="8"/>
        <v>970380</v>
      </c>
    </row>
    <row r="80" spans="1:11" x14ac:dyDescent="0.25">
      <c r="A80" s="232">
        <v>125</v>
      </c>
      <c r="B80" s="339" t="s">
        <v>5</v>
      </c>
      <c r="C80" s="281" t="s">
        <v>54</v>
      </c>
      <c r="D80" s="238" t="s">
        <v>46</v>
      </c>
      <c r="E80" s="239">
        <v>10000</v>
      </c>
      <c r="F80" s="238">
        <v>1.698</v>
      </c>
      <c r="G80" s="240">
        <v>0</v>
      </c>
      <c r="H80" s="241">
        <f>+E80*F80*(1+G80)</f>
        <v>16980</v>
      </c>
      <c r="I80" s="447">
        <f t="shared" si="8"/>
        <v>84900</v>
      </c>
    </row>
    <row r="81" spans="1:9" ht="45" x14ac:dyDescent="0.25">
      <c r="A81" s="232">
        <v>129</v>
      </c>
      <c r="B81" s="339" t="s">
        <v>15</v>
      </c>
      <c r="C81" s="243" t="s">
        <v>152</v>
      </c>
      <c r="D81" s="244" t="s">
        <v>25</v>
      </c>
      <c r="E81" s="245">
        <v>740300.00000000012</v>
      </c>
      <c r="F81" s="263">
        <v>1</v>
      </c>
      <c r="G81" s="240">
        <v>0</v>
      </c>
      <c r="H81" s="246">
        <f t="shared" ref="H81:H100" si="9">+E81*F81</f>
        <v>740300.00000000012</v>
      </c>
      <c r="I81" s="447">
        <f t="shared" si="8"/>
        <v>3701500.0000000005</v>
      </c>
    </row>
    <row r="82" spans="1:9" ht="30" x14ac:dyDescent="0.25">
      <c r="A82" s="232">
        <v>130</v>
      </c>
      <c r="B82" s="339" t="s">
        <v>15</v>
      </c>
      <c r="C82" s="548" t="s">
        <v>191</v>
      </c>
      <c r="D82" s="244" t="s">
        <v>25</v>
      </c>
      <c r="E82" s="248">
        <f>105000*1.12</f>
        <v>117600.00000000001</v>
      </c>
      <c r="F82" s="238">
        <v>1</v>
      </c>
      <c r="G82" s="240">
        <v>0</v>
      </c>
      <c r="H82" s="246">
        <f t="shared" si="9"/>
        <v>117600.00000000001</v>
      </c>
      <c r="I82" s="447">
        <f t="shared" si="8"/>
        <v>588000.00000000012</v>
      </c>
    </row>
    <row r="83" spans="1:9" x14ac:dyDescent="0.25">
      <c r="A83" s="232">
        <v>131</v>
      </c>
      <c r="B83" s="339" t="s">
        <v>15</v>
      </c>
      <c r="C83" s="548" t="s">
        <v>192</v>
      </c>
      <c r="D83" s="244" t="s">
        <v>25</v>
      </c>
      <c r="E83" s="248">
        <f>13900*1.2</f>
        <v>16680</v>
      </c>
      <c r="F83" s="238">
        <v>1</v>
      </c>
      <c r="G83" s="240">
        <v>0</v>
      </c>
      <c r="H83" s="246">
        <f t="shared" si="9"/>
        <v>16680</v>
      </c>
      <c r="I83" s="447">
        <f t="shared" si="8"/>
        <v>83400</v>
      </c>
    </row>
    <row r="84" spans="1:9" x14ac:dyDescent="0.25">
      <c r="A84" s="232">
        <v>132</v>
      </c>
      <c r="B84" s="339" t="s">
        <v>15</v>
      </c>
      <c r="C84" s="247" t="s">
        <v>40</v>
      </c>
      <c r="D84" s="244" t="s">
        <v>25</v>
      </c>
      <c r="E84" s="245">
        <v>3199000</v>
      </c>
      <c r="F84" s="263">
        <v>1</v>
      </c>
      <c r="G84" s="240">
        <v>0</v>
      </c>
      <c r="H84" s="246">
        <f t="shared" si="9"/>
        <v>3199000</v>
      </c>
      <c r="I84" s="447">
        <f t="shared" si="8"/>
        <v>15995000</v>
      </c>
    </row>
    <row r="85" spans="1:9" x14ac:dyDescent="0.25">
      <c r="A85" s="232">
        <v>133</v>
      </c>
      <c r="B85" s="339" t="s">
        <v>15</v>
      </c>
      <c r="C85" s="260" t="s">
        <v>189</v>
      </c>
      <c r="D85" s="259" t="s">
        <v>25</v>
      </c>
      <c r="E85" s="245">
        <v>282625</v>
      </c>
      <c r="F85" s="263">
        <v>1</v>
      </c>
      <c r="G85" s="240">
        <v>0</v>
      </c>
      <c r="H85" s="246">
        <f t="shared" si="9"/>
        <v>282625</v>
      </c>
      <c r="I85" s="447">
        <f t="shared" si="8"/>
        <v>1413125</v>
      </c>
    </row>
    <row r="86" spans="1:9" x14ac:dyDescent="0.25">
      <c r="A86" s="232">
        <v>134</v>
      </c>
      <c r="B86" s="339" t="s">
        <v>15</v>
      </c>
      <c r="C86" s="247" t="s">
        <v>37</v>
      </c>
      <c r="D86" s="244" t="s">
        <v>25</v>
      </c>
      <c r="E86" s="251">
        <v>864900</v>
      </c>
      <c r="F86" s="263">
        <v>1</v>
      </c>
      <c r="G86" s="240">
        <v>0</v>
      </c>
      <c r="H86" s="246">
        <f t="shared" si="9"/>
        <v>864900</v>
      </c>
      <c r="I86" s="447">
        <f t="shared" si="8"/>
        <v>4324500</v>
      </c>
    </row>
    <row r="87" spans="1:9" x14ac:dyDescent="0.25">
      <c r="A87" s="232">
        <v>135</v>
      </c>
      <c r="B87" s="339" t="s">
        <v>15</v>
      </c>
      <c r="C87" s="247" t="s">
        <v>35</v>
      </c>
      <c r="D87" s="244" t="s">
        <v>25</v>
      </c>
      <c r="E87" s="251">
        <v>322000</v>
      </c>
      <c r="F87" s="263">
        <v>1</v>
      </c>
      <c r="G87" s="240">
        <v>0</v>
      </c>
      <c r="H87" s="246">
        <f t="shared" si="9"/>
        <v>322000</v>
      </c>
      <c r="I87" s="447">
        <f t="shared" si="8"/>
        <v>1610000</v>
      </c>
    </row>
    <row r="88" spans="1:9" x14ac:dyDescent="0.25">
      <c r="A88" s="232">
        <v>136</v>
      </c>
      <c r="B88" s="339" t="s">
        <v>15</v>
      </c>
      <c r="C88" s="247" t="s">
        <v>181</v>
      </c>
      <c r="D88" s="244" t="s">
        <v>25</v>
      </c>
      <c r="E88" s="245">
        <v>451256.75840000005</v>
      </c>
      <c r="F88" s="263">
        <v>1</v>
      </c>
      <c r="G88" s="240">
        <v>0</v>
      </c>
      <c r="H88" s="246">
        <f t="shared" si="9"/>
        <v>451256.75840000005</v>
      </c>
      <c r="I88" s="447">
        <f t="shared" si="8"/>
        <v>2256283.7920000004</v>
      </c>
    </row>
    <row r="89" spans="1:9" ht="30" x14ac:dyDescent="0.25">
      <c r="A89" s="232">
        <v>137</v>
      </c>
      <c r="B89" s="339" t="s">
        <v>15</v>
      </c>
      <c r="C89" s="247" t="s">
        <v>100</v>
      </c>
      <c r="D89" s="244" t="s">
        <v>25</v>
      </c>
      <c r="E89" s="245">
        <v>1105000</v>
      </c>
      <c r="F89" s="263">
        <v>1</v>
      </c>
      <c r="G89" s="240">
        <v>0</v>
      </c>
      <c r="H89" s="246">
        <f t="shared" si="9"/>
        <v>1105000</v>
      </c>
      <c r="I89" s="447">
        <f t="shared" si="8"/>
        <v>5525000</v>
      </c>
    </row>
    <row r="90" spans="1:9" ht="30" x14ac:dyDescent="0.25">
      <c r="A90" s="232">
        <v>138</v>
      </c>
      <c r="B90" s="339" t="s">
        <v>15</v>
      </c>
      <c r="C90" s="247" t="s">
        <v>185</v>
      </c>
      <c r="D90" s="244" t="s">
        <v>25</v>
      </c>
      <c r="E90" s="251">
        <v>457000</v>
      </c>
      <c r="F90" s="263">
        <v>1</v>
      </c>
      <c r="G90" s="240">
        <v>0</v>
      </c>
      <c r="H90" s="246">
        <f t="shared" si="9"/>
        <v>457000</v>
      </c>
      <c r="I90" s="447">
        <f t="shared" si="8"/>
        <v>2285000</v>
      </c>
    </row>
    <row r="91" spans="1:9" x14ac:dyDescent="0.25">
      <c r="A91" s="232">
        <v>139</v>
      </c>
      <c r="B91" s="339" t="s">
        <v>15</v>
      </c>
      <c r="C91" s="282" t="s">
        <v>104</v>
      </c>
      <c r="D91" s="257" t="s">
        <v>25</v>
      </c>
      <c r="E91" s="245">
        <v>271000</v>
      </c>
      <c r="F91" s="263">
        <v>1</v>
      </c>
      <c r="G91" s="240">
        <v>0</v>
      </c>
      <c r="H91" s="246">
        <f t="shared" si="9"/>
        <v>271000</v>
      </c>
      <c r="I91" s="447">
        <f t="shared" si="8"/>
        <v>1355000</v>
      </c>
    </row>
    <row r="92" spans="1:9" x14ac:dyDescent="0.25">
      <c r="A92" s="232">
        <v>140</v>
      </c>
      <c r="B92" s="339" t="s">
        <v>15</v>
      </c>
      <c r="C92" s="247" t="s">
        <v>38</v>
      </c>
      <c r="D92" s="244" t="s">
        <v>25</v>
      </c>
      <c r="E92" s="251">
        <v>1340971</v>
      </c>
      <c r="F92" s="263">
        <v>1</v>
      </c>
      <c r="G92" s="240">
        <v>0</v>
      </c>
      <c r="H92" s="246">
        <f t="shared" si="9"/>
        <v>1340971</v>
      </c>
      <c r="I92" s="447">
        <f t="shared" si="8"/>
        <v>6704855</v>
      </c>
    </row>
    <row r="93" spans="1:9" x14ac:dyDescent="0.25">
      <c r="A93" s="232">
        <v>141</v>
      </c>
      <c r="B93" s="339" t="s">
        <v>15</v>
      </c>
      <c r="C93" s="247" t="s">
        <v>107</v>
      </c>
      <c r="D93" s="244" t="s">
        <v>25</v>
      </c>
      <c r="E93" s="251">
        <v>476645</v>
      </c>
      <c r="F93" s="263">
        <v>1</v>
      </c>
      <c r="G93" s="240">
        <v>0</v>
      </c>
      <c r="H93" s="246">
        <f t="shared" si="9"/>
        <v>476645</v>
      </c>
      <c r="I93" s="447">
        <f t="shared" si="8"/>
        <v>2383225</v>
      </c>
    </row>
    <row r="94" spans="1:9" x14ac:dyDescent="0.25">
      <c r="A94" s="232">
        <v>142</v>
      </c>
      <c r="B94" s="339" t="s">
        <v>15</v>
      </c>
      <c r="C94" s="247" t="s">
        <v>26</v>
      </c>
      <c r="D94" s="244" t="s">
        <v>25</v>
      </c>
      <c r="E94" s="251">
        <v>1094800</v>
      </c>
      <c r="F94" s="263">
        <v>2</v>
      </c>
      <c r="G94" s="240">
        <v>0</v>
      </c>
      <c r="H94" s="246">
        <f t="shared" si="9"/>
        <v>2189600</v>
      </c>
      <c r="I94" s="447">
        <f t="shared" si="8"/>
        <v>10948000</v>
      </c>
    </row>
    <row r="95" spans="1:9" x14ac:dyDescent="0.25">
      <c r="A95" s="232">
        <v>143</v>
      </c>
      <c r="B95" s="339" t="s">
        <v>15</v>
      </c>
      <c r="C95" s="247" t="s">
        <v>42</v>
      </c>
      <c r="D95" s="244" t="s">
        <v>25</v>
      </c>
      <c r="E95" s="245">
        <v>2923520</v>
      </c>
      <c r="F95" s="263">
        <v>1</v>
      </c>
      <c r="G95" s="240">
        <v>0</v>
      </c>
      <c r="H95" s="246">
        <f t="shared" si="9"/>
        <v>2923520</v>
      </c>
      <c r="I95" s="447">
        <f t="shared" si="8"/>
        <v>14617600</v>
      </c>
    </row>
    <row r="96" spans="1:9" x14ac:dyDescent="0.25">
      <c r="A96" s="232">
        <v>144</v>
      </c>
      <c r="B96" s="339" t="s">
        <v>15</v>
      </c>
      <c r="C96" s="243" t="s">
        <v>161</v>
      </c>
      <c r="D96" s="244" t="s">
        <v>24</v>
      </c>
      <c r="E96" s="255">
        <v>5316</v>
      </c>
      <c r="F96" s="238">
        <v>4</v>
      </c>
      <c r="G96" s="240">
        <v>0</v>
      </c>
      <c r="H96" s="246">
        <f t="shared" si="9"/>
        <v>21264</v>
      </c>
      <c r="I96" s="447">
        <f t="shared" si="8"/>
        <v>106320</v>
      </c>
    </row>
    <row r="97" spans="1:9" x14ac:dyDescent="0.25">
      <c r="A97" s="232">
        <v>145</v>
      </c>
      <c r="B97" s="359" t="s">
        <v>15</v>
      </c>
      <c r="C97" s="425" t="s">
        <v>162</v>
      </c>
      <c r="D97" s="379" t="s">
        <v>25</v>
      </c>
      <c r="E97" s="394">
        <f>1000*1.2</f>
        <v>1200</v>
      </c>
      <c r="F97" s="401">
        <v>12</v>
      </c>
      <c r="G97" s="408">
        <v>0</v>
      </c>
      <c r="H97" s="415">
        <f t="shared" si="9"/>
        <v>14400</v>
      </c>
      <c r="I97" s="447">
        <f t="shared" si="8"/>
        <v>72000</v>
      </c>
    </row>
    <row r="98" spans="1:9" x14ac:dyDescent="0.25">
      <c r="A98" s="232">
        <v>146</v>
      </c>
      <c r="B98" s="339" t="s">
        <v>15</v>
      </c>
      <c r="C98" s="247" t="s">
        <v>21</v>
      </c>
      <c r="D98" s="244" t="s">
        <v>25</v>
      </c>
      <c r="E98" s="245">
        <v>10890</v>
      </c>
      <c r="F98" s="263">
        <v>1</v>
      </c>
      <c r="G98" s="240">
        <v>0</v>
      </c>
      <c r="H98" s="246">
        <f t="shared" si="9"/>
        <v>10890</v>
      </c>
      <c r="I98" s="447">
        <f t="shared" si="8"/>
        <v>54450</v>
      </c>
    </row>
    <row r="99" spans="1:9" x14ac:dyDescent="0.25">
      <c r="A99" s="232">
        <v>147</v>
      </c>
      <c r="B99" s="339" t="s">
        <v>15</v>
      </c>
      <c r="C99" s="247" t="s">
        <v>22</v>
      </c>
      <c r="D99" s="244" t="s">
        <v>24</v>
      </c>
      <c r="E99" s="251">
        <v>7500</v>
      </c>
      <c r="F99" s="403">
        <v>16</v>
      </c>
      <c r="G99" s="404">
        <v>0</v>
      </c>
      <c r="H99" s="246">
        <f t="shared" si="9"/>
        <v>120000</v>
      </c>
      <c r="I99" s="447">
        <f t="shared" si="8"/>
        <v>600000</v>
      </c>
    </row>
    <row r="100" spans="1:9" x14ac:dyDescent="0.25">
      <c r="A100" s="232">
        <v>148</v>
      </c>
      <c r="B100" s="339" t="s">
        <v>15</v>
      </c>
      <c r="C100" s="247" t="s">
        <v>95</v>
      </c>
      <c r="D100" s="244" t="s">
        <v>25</v>
      </c>
      <c r="E100" s="245">
        <v>8200</v>
      </c>
      <c r="F100" s="238">
        <v>4</v>
      </c>
      <c r="G100" s="240">
        <v>0</v>
      </c>
      <c r="H100" s="246">
        <f t="shared" si="9"/>
        <v>32800</v>
      </c>
      <c r="I100" s="447">
        <f t="shared" si="8"/>
        <v>164000</v>
      </c>
    </row>
    <row r="101" spans="1:9" x14ac:dyDescent="0.25">
      <c r="A101" s="232">
        <v>149</v>
      </c>
      <c r="B101" s="339" t="s">
        <v>15</v>
      </c>
      <c r="C101" s="256" t="s">
        <v>63</v>
      </c>
      <c r="D101" s="257" t="s">
        <v>25</v>
      </c>
      <c r="E101" s="258">
        <v>20000</v>
      </c>
      <c r="F101" s="545">
        <v>6</v>
      </c>
      <c r="G101" s="240">
        <v>0.1</v>
      </c>
      <c r="H101" s="241">
        <f>+E101*F101*(1+G101)</f>
        <v>132000</v>
      </c>
      <c r="I101" s="447">
        <f t="shared" si="8"/>
        <v>660000</v>
      </c>
    </row>
    <row r="102" spans="1:9" x14ac:dyDescent="0.25">
      <c r="A102" s="232">
        <v>150</v>
      </c>
      <c r="B102" s="339" t="s">
        <v>15</v>
      </c>
      <c r="C102" s="243" t="s">
        <v>174</v>
      </c>
      <c r="D102" s="259" t="s">
        <v>25</v>
      </c>
      <c r="E102" s="245">
        <v>700</v>
      </c>
      <c r="F102" s="238">
        <v>6</v>
      </c>
      <c r="G102" s="240">
        <v>0</v>
      </c>
      <c r="H102" s="246">
        <f t="shared" ref="H102:H113" si="10">+E102*F102</f>
        <v>4200</v>
      </c>
      <c r="I102" s="447">
        <f t="shared" si="8"/>
        <v>21000</v>
      </c>
    </row>
    <row r="103" spans="1:9" x14ac:dyDescent="0.25">
      <c r="A103" s="232">
        <v>151</v>
      </c>
      <c r="B103" s="347" t="s">
        <v>15</v>
      </c>
      <c r="C103" s="435" t="s">
        <v>28</v>
      </c>
      <c r="D103" s="378" t="s">
        <v>24</v>
      </c>
      <c r="E103" s="386">
        <v>3880</v>
      </c>
      <c r="F103" s="263">
        <v>9</v>
      </c>
      <c r="G103" s="240">
        <v>0</v>
      </c>
      <c r="H103" s="246">
        <f t="shared" si="10"/>
        <v>34920</v>
      </c>
      <c r="I103" s="447">
        <f t="shared" si="8"/>
        <v>174600</v>
      </c>
    </row>
    <row r="104" spans="1:9" x14ac:dyDescent="0.25">
      <c r="A104" s="232">
        <v>152</v>
      </c>
      <c r="B104" s="339" t="s">
        <v>15</v>
      </c>
      <c r="C104" s="260" t="s">
        <v>173</v>
      </c>
      <c r="D104" s="244" t="s">
        <v>25</v>
      </c>
      <c r="E104" s="245">
        <v>16010.800000000001</v>
      </c>
      <c r="F104" s="545">
        <v>1</v>
      </c>
      <c r="G104" s="240">
        <v>0</v>
      </c>
      <c r="H104" s="246">
        <f t="shared" si="10"/>
        <v>16010.800000000001</v>
      </c>
      <c r="I104" s="447">
        <f t="shared" si="8"/>
        <v>80054</v>
      </c>
    </row>
    <row r="105" spans="1:9" x14ac:dyDescent="0.25">
      <c r="A105" s="232">
        <v>153</v>
      </c>
      <c r="B105" s="347" t="s">
        <v>15</v>
      </c>
      <c r="C105" s="362" t="s">
        <v>29</v>
      </c>
      <c r="D105" s="244" t="s">
        <v>24</v>
      </c>
      <c r="E105" s="245">
        <v>6870</v>
      </c>
      <c r="F105" s="543">
        <v>2</v>
      </c>
      <c r="G105" s="240">
        <v>0</v>
      </c>
      <c r="H105" s="246">
        <f t="shared" si="10"/>
        <v>13740</v>
      </c>
      <c r="I105" s="447">
        <f t="shared" si="8"/>
        <v>68700</v>
      </c>
    </row>
    <row r="106" spans="1:9" x14ac:dyDescent="0.25">
      <c r="A106" s="232">
        <v>154</v>
      </c>
      <c r="B106" s="339" t="s">
        <v>15</v>
      </c>
      <c r="C106" s="247" t="s">
        <v>36</v>
      </c>
      <c r="D106" s="244" t="s">
        <v>24</v>
      </c>
      <c r="E106" s="251">
        <v>6000</v>
      </c>
      <c r="F106" s="543">
        <v>15</v>
      </c>
      <c r="G106" s="240">
        <v>0</v>
      </c>
      <c r="H106" s="246">
        <f t="shared" si="10"/>
        <v>90000</v>
      </c>
      <c r="I106" s="447">
        <f t="shared" si="8"/>
        <v>450000</v>
      </c>
    </row>
    <row r="107" spans="1:9" x14ac:dyDescent="0.25">
      <c r="A107" s="232">
        <v>155</v>
      </c>
      <c r="B107" s="339" t="s">
        <v>15</v>
      </c>
      <c r="C107" s="247" t="s">
        <v>150</v>
      </c>
      <c r="D107" s="244" t="s">
        <v>25</v>
      </c>
      <c r="E107" s="251">
        <v>5500</v>
      </c>
      <c r="F107" s="263">
        <v>2</v>
      </c>
      <c r="G107" s="240">
        <v>0</v>
      </c>
      <c r="H107" s="246">
        <f t="shared" si="10"/>
        <v>11000</v>
      </c>
      <c r="I107" s="447">
        <f t="shared" si="8"/>
        <v>55000</v>
      </c>
    </row>
    <row r="108" spans="1:9" x14ac:dyDescent="0.25">
      <c r="A108" s="232">
        <v>156</v>
      </c>
      <c r="B108" s="339" t="s">
        <v>15</v>
      </c>
      <c r="C108" s="247" t="s">
        <v>58</v>
      </c>
      <c r="D108" s="244" t="s">
        <v>25</v>
      </c>
      <c r="E108" s="251">
        <v>42920</v>
      </c>
      <c r="F108" s="543">
        <v>1</v>
      </c>
      <c r="G108" s="240">
        <v>0</v>
      </c>
      <c r="H108" s="246">
        <f t="shared" si="10"/>
        <v>42920</v>
      </c>
      <c r="I108" s="447">
        <f t="shared" si="8"/>
        <v>214600</v>
      </c>
    </row>
    <row r="109" spans="1:9" x14ac:dyDescent="0.25">
      <c r="A109" s="232">
        <v>157</v>
      </c>
      <c r="B109" s="347" t="s">
        <v>15</v>
      </c>
      <c r="C109" s="247" t="s">
        <v>57</v>
      </c>
      <c r="D109" s="244" t="s">
        <v>25</v>
      </c>
      <c r="E109" s="251">
        <v>126303</v>
      </c>
      <c r="F109" s="543">
        <v>2</v>
      </c>
      <c r="G109" s="240">
        <v>0</v>
      </c>
      <c r="H109" s="246">
        <f t="shared" si="10"/>
        <v>252606</v>
      </c>
      <c r="I109" s="447">
        <f t="shared" si="8"/>
        <v>1263030</v>
      </c>
    </row>
    <row r="110" spans="1:9" x14ac:dyDescent="0.25">
      <c r="A110" s="232">
        <v>158</v>
      </c>
      <c r="B110" s="347" t="s">
        <v>15</v>
      </c>
      <c r="C110" s="247" t="s">
        <v>175</v>
      </c>
      <c r="D110" s="253" t="s">
        <v>96</v>
      </c>
      <c r="E110" s="254">
        <v>23880</v>
      </c>
      <c r="F110" s="238">
        <v>0.5</v>
      </c>
      <c r="G110" s="240">
        <v>0</v>
      </c>
      <c r="H110" s="246">
        <f t="shared" si="10"/>
        <v>11940</v>
      </c>
      <c r="I110" s="447">
        <f t="shared" si="8"/>
        <v>59700</v>
      </c>
    </row>
    <row r="111" spans="1:9" x14ac:dyDescent="0.25">
      <c r="A111" s="232">
        <v>159</v>
      </c>
      <c r="B111" s="360" t="s">
        <v>15</v>
      </c>
      <c r="C111" s="432" t="s">
        <v>178</v>
      </c>
      <c r="D111" s="381" t="s">
        <v>24</v>
      </c>
      <c r="E111" s="396">
        <v>19900</v>
      </c>
      <c r="F111" s="550">
        <v>2</v>
      </c>
      <c r="G111" s="407">
        <v>0</v>
      </c>
      <c r="H111" s="246">
        <f t="shared" si="10"/>
        <v>39800</v>
      </c>
      <c r="I111" s="447">
        <f t="shared" si="8"/>
        <v>199000</v>
      </c>
    </row>
    <row r="112" spans="1:9" x14ac:dyDescent="0.25">
      <c r="A112" s="232">
        <v>160</v>
      </c>
      <c r="B112" s="358" t="s">
        <v>15</v>
      </c>
      <c r="C112" s="364" t="s">
        <v>177</v>
      </c>
      <c r="D112" s="380" t="s">
        <v>24</v>
      </c>
      <c r="E112" s="388">
        <v>8000</v>
      </c>
      <c r="F112" s="551">
        <v>3</v>
      </c>
      <c r="G112" s="405">
        <v>0</v>
      </c>
      <c r="H112" s="412">
        <f t="shared" si="10"/>
        <v>24000</v>
      </c>
      <c r="I112" s="447">
        <f t="shared" si="8"/>
        <v>120000</v>
      </c>
    </row>
    <row r="113" spans="1:11" x14ac:dyDescent="0.25">
      <c r="A113" s="232">
        <v>161</v>
      </c>
      <c r="B113" s="358" t="s">
        <v>15</v>
      </c>
      <c r="C113" s="367" t="s">
        <v>27</v>
      </c>
      <c r="D113" s="380" t="s">
        <v>25</v>
      </c>
      <c r="E113" s="552">
        <v>300000</v>
      </c>
      <c r="F113" s="263">
        <v>1</v>
      </c>
      <c r="G113" s="240">
        <v>0</v>
      </c>
      <c r="H113" s="246">
        <f t="shared" si="10"/>
        <v>300000</v>
      </c>
      <c r="I113" s="447">
        <f t="shared" si="8"/>
        <v>1500000</v>
      </c>
    </row>
    <row r="114" spans="1:11" x14ac:dyDescent="0.25">
      <c r="A114" s="232">
        <v>165</v>
      </c>
      <c r="B114" s="358" t="s">
        <v>16</v>
      </c>
      <c r="C114" s="364" t="s">
        <v>41</v>
      </c>
      <c r="D114" s="293" t="s">
        <v>46</v>
      </c>
      <c r="E114" s="387">
        <v>350000</v>
      </c>
      <c r="F114" s="293">
        <v>1</v>
      </c>
      <c r="G114" s="405">
        <v>0</v>
      </c>
      <c r="H114" s="410">
        <f t="shared" ref="H114:H119" si="11">IF(E114="-","-",E114*F114*(1+G114))</f>
        <v>350000</v>
      </c>
      <c r="I114" s="447">
        <f t="shared" si="8"/>
        <v>1750000</v>
      </c>
    </row>
    <row r="115" spans="1:11" ht="30" x14ac:dyDescent="0.25">
      <c r="A115" s="232">
        <v>166</v>
      </c>
      <c r="B115" s="358" t="s">
        <v>16</v>
      </c>
      <c r="C115" s="419" t="s">
        <v>184</v>
      </c>
      <c r="D115" s="293" t="s">
        <v>46</v>
      </c>
      <c r="E115" s="420">
        <v>33333</v>
      </c>
      <c r="F115" s="293">
        <v>0.85</v>
      </c>
      <c r="G115" s="405">
        <v>0</v>
      </c>
      <c r="H115" s="410">
        <f t="shared" si="11"/>
        <v>28333.05</v>
      </c>
      <c r="I115" s="447">
        <f t="shared" si="8"/>
        <v>141665.25</v>
      </c>
    </row>
    <row r="116" spans="1:11" x14ac:dyDescent="0.25">
      <c r="A116" s="232">
        <v>167</v>
      </c>
      <c r="B116" s="358" t="s">
        <v>16</v>
      </c>
      <c r="C116" s="364" t="s">
        <v>73</v>
      </c>
      <c r="D116" s="293" t="s">
        <v>111</v>
      </c>
      <c r="E116" s="420">
        <v>121666</v>
      </c>
      <c r="F116" s="553">
        <v>5</v>
      </c>
      <c r="G116" s="405">
        <v>0</v>
      </c>
      <c r="H116" s="410">
        <f t="shared" si="11"/>
        <v>608330</v>
      </c>
      <c r="I116" s="447">
        <f t="shared" si="8"/>
        <v>3041650</v>
      </c>
    </row>
    <row r="117" spans="1:11" x14ac:dyDescent="0.25">
      <c r="A117" s="232">
        <v>171</v>
      </c>
      <c r="B117" s="358" t="s">
        <v>17</v>
      </c>
      <c r="C117" s="364" t="s">
        <v>33</v>
      </c>
      <c r="D117" s="293" t="s">
        <v>59</v>
      </c>
      <c r="E117" s="387">
        <v>140000</v>
      </c>
      <c r="F117" s="551">
        <v>4</v>
      </c>
      <c r="G117" s="405">
        <v>0</v>
      </c>
      <c r="H117" s="410">
        <f t="shared" si="11"/>
        <v>560000</v>
      </c>
      <c r="I117" s="447">
        <f t="shared" si="8"/>
        <v>2800000</v>
      </c>
      <c r="K117" s="283" t="s">
        <v>325</v>
      </c>
    </row>
    <row r="118" spans="1:11" ht="30" x14ac:dyDescent="0.25">
      <c r="A118" s="232">
        <v>172</v>
      </c>
      <c r="B118" s="359" t="s">
        <v>17</v>
      </c>
      <c r="C118" s="365" t="s">
        <v>43</v>
      </c>
      <c r="D118" s="382" t="s">
        <v>59</v>
      </c>
      <c r="E118" s="393">
        <v>160854</v>
      </c>
      <c r="F118" s="397">
        <v>4</v>
      </c>
      <c r="G118" s="406">
        <v>0</v>
      </c>
      <c r="H118" s="414">
        <f t="shared" si="11"/>
        <v>643416</v>
      </c>
      <c r="I118" s="447">
        <f t="shared" si="8"/>
        <v>3217080</v>
      </c>
    </row>
    <row r="119" spans="1:11" x14ac:dyDescent="0.25">
      <c r="A119" s="232">
        <v>173</v>
      </c>
      <c r="B119" s="339" t="s">
        <v>17</v>
      </c>
      <c r="C119" s="247" t="s">
        <v>64</v>
      </c>
      <c r="D119" s="238" t="s">
        <v>59</v>
      </c>
      <c r="E119" s="272">
        <v>150000</v>
      </c>
      <c r="F119" s="263">
        <v>4</v>
      </c>
      <c r="G119" s="240">
        <v>0</v>
      </c>
      <c r="H119" s="241">
        <f t="shared" si="11"/>
        <v>600000</v>
      </c>
      <c r="I119" s="447">
        <f t="shared" si="8"/>
        <v>3000000</v>
      </c>
    </row>
    <row r="120" spans="1:11" s="352" customFormat="1" ht="60" x14ac:dyDescent="0.25">
      <c r="A120" s="352">
        <v>183</v>
      </c>
      <c r="B120" s="357" t="s">
        <v>207</v>
      </c>
      <c r="C120" s="449" t="s">
        <v>196</v>
      </c>
      <c r="D120" s="449"/>
      <c r="E120" s="449"/>
      <c r="F120" s="449"/>
      <c r="G120" s="449"/>
      <c r="H120" s="233">
        <v>4</v>
      </c>
      <c r="I120" s="456">
        <v>7</v>
      </c>
      <c r="J120" s="451">
        <f>SUM(I121:I156)</f>
        <v>89299764.528800011</v>
      </c>
    </row>
    <row r="121" spans="1:11" x14ac:dyDescent="0.25">
      <c r="A121" s="232">
        <v>186</v>
      </c>
      <c r="B121" s="339" t="s">
        <v>5</v>
      </c>
      <c r="C121" s="281" t="s">
        <v>71</v>
      </c>
      <c r="D121" s="238" t="s">
        <v>46</v>
      </c>
      <c r="E121" s="239">
        <v>50000</v>
      </c>
      <c r="F121" s="238">
        <v>1.0349999999999999</v>
      </c>
      <c r="G121" s="240">
        <v>0</v>
      </c>
      <c r="H121" s="241">
        <f>+E121*F121*(1+G121)</f>
        <v>51749.999999999993</v>
      </c>
      <c r="I121" s="447">
        <f>H121*$I$120</f>
        <v>362249.99999999994</v>
      </c>
    </row>
    <row r="122" spans="1:11" x14ac:dyDescent="0.25">
      <c r="A122" s="232">
        <v>187</v>
      </c>
      <c r="B122" s="339" t="s">
        <v>5</v>
      </c>
      <c r="C122" s="237" t="s">
        <v>20</v>
      </c>
      <c r="D122" s="238" t="s">
        <v>72</v>
      </c>
      <c r="E122" s="239">
        <f>'APU04'!H51*5%</f>
        <v>79276.5</v>
      </c>
      <c r="F122" s="238">
        <v>1</v>
      </c>
      <c r="G122" s="240">
        <v>0</v>
      </c>
      <c r="H122" s="241">
        <f>+E122*F122*(1+G122)</f>
        <v>79276.5</v>
      </c>
      <c r="I122" s="447">
        <f t="shared" ref="I122:I156" si="12">H122*$I$120</f>
        <v>554935.5</v>
      </c>
    </row>
    <row r="123" spans="1:11" x14ac:dyDescent="0.25">
      <c r="A123" s="232">
        <v>188</v>
      </c>
      <c r="B123" s="339" t="s">
        <v>5</v>
      </c>
      <c r="C123" s="281" t="s">
        <v>70</v>
      </c>
      <c r="D123" s="238" t="s">
        <v>46</v>
      </c>
      <c r="E123" s="239">
        <v>97038</v>
      </c>
      <c r="F123" s="238">
        <v>2</v>
      </c>
      <c r="G123" s="240">
        <v>0</v>
      </c>
      <c r="H123" s="241">
        <f>+E123*F123*(1+G123)</f>
        <v>194076</v>
      </c>
      <c r="I123" s="447">
        <f t="shared" si="12"/>
        <v>1358532</v>
      </c>
    </row>
    <row r="124" spans="1:11" x14ac:dyDescent="0.25">
      <c r="A124" s="232">
        <v>189</v>
      </c>
      <c r="B124" s="339" t="s">
        <v>5</v>
      </c>
      <c r="C124" s="281" t="s">
        <v>54</v>
      </c>
      <c r="D124" s="238" t="s">
        <v>46</v>
      </c>
      <c r="E124" s="239">
        <v>10000</v>
      </c>
      <c r="F124" s="238">
        <f>F121</f>
        <v>1.0349999999999999</v>
      </c>
      <c r="G124" s="240">
        <v>0</v>
      </c>
      <c r="H124" s="241">
        <f>+E124*F124*(1+G124)</f>
        <v>10350</v>
      </c>
      <c r="I124" s="447">
        <f t="shared" si="12"/>
        <v>72450</v>
      </c>
    </row>
    <row r="125" spans="1:11" ht="45" x14ac:dyDescent="0.25">
      <c r="A125" s="232">
        <v>193</v>
      </c>
      <c r="B125" s="339" t="s">
        <v>15</v>
      </c>
      <c r="C125" s="243" t="s">
        <v>152</v>
      </c>
      <c r="D125" s="244" t="s">
        <v>25</v>
      </c>
      <c r="E125" s="245">
        <v>740300.00000000012</v>
      </c>
      <c r="F125" s="238">
        <v>1</v>
      </c>
      <c r="G125" s="240">
        <v>0</v>
      </c>
      <c r="H125" s="246">
        <f t="shared" ref="H125:H142" si="13">+E125*F125</f>
        <v>740300.00000000012</v>
      </c>
      <c r="I125" s="447">
        <f t="shared" si="12"/>
        <v>5182100.0000000009</v>
      </c>
    </row>
    <row r="126" spans="1:11" ht="30" x14ac:dyDescent="0.25">
      <c r="A126" s="232">
        <v>194</v>
      </c>
      <c r="B126" s="339" t="s">
        <v>15</v>
      </c>
      <c r="C126" s="548" t="s">
        <v>191</v>
      </c>
      <c r="D126" s="244" t="s">
        <v>25</v>
      </c>
      <c r="E126" s="248">
        <f>105000*1.12</f>
        <v>117600.00000000001</v>
      </c>
      <c r="F126" s="238">
        <v>1</v>
      </c>
      <c r="G126" s="240">
        <v>0</v>
      </c>
      <c r="H126" s="246">
        <f t="shared" si="13"/>
        <v>117600.00000000001</v>
      </c>
      <c r="I126" s="447">
        <f t="shared" si="12"/>
        <v>823200.00000000012</v>
      </c>
    </row>
    <row r="127" spans="1:11" x14ac:dyDescent="0.25">
      <c r="A127" s="232">
        <v>195</v>
      </c>
      <c r="B127" s="347" t="s">
        <v>15</v>
      </c>
      <c r="C127" s="547" t="s">
        <v>192</v>
      </c>
      <c r="D127" s="378" t="s">
        <v>25</v>
      </c>
      <c r="E127" s="395">
        <f>13900*1.2</f>
        <v>16680</v>
      </c>
      <c r="F127" s="238">
        <v>1</v>
      </c>
      <c r="G127" s="240">
        <v>0</v>
      </c>
      <c r="H127" s="246">
        <f t="shared" si="13"/>
        <v>16680</v>
      </c>
      <c r="I127" s="447">
        <f t="shared" si="12"/>
        <v>116760</v>
      </c>
    </row>
    <row r="128" spans="1:11" x14ac:dyDescent="0.25">
      <c r="A128" s="232">
        <v>196</v>
      </c>
      <c r="B128" s="339" t="s">
        <v>15</v>
      </c>
      <c r="C128" s="247" t="s">
        <v>40</v>
      </c>
      <c r="D128" s="244" t="s">
        <v>25</v>
      </c>
      <c r="E128" s="245">
        <v>3199000</v>
      </c>
      <c r="F128" s="238">
        <v>1</v>
      </c>
      <c r="G128" s="240">
        <v>0</v>
      </c>
      <c r="H128" s="246">
        <f t="shared" si="13"/>
        <v>3199000</v>
      </c>
      <c r="I128" s="447">
        <f t="shared" si="12"/>
        <v>22393000</v>
      </c>
    </row>
    <row r="129" spans="1:9" x14ac:dyDescent="0.25">
      <c r="A129" s="232">
        <v>197</v>
      </c>
      <c r="B129" s="339" t="s">
        <v>15</v>
      </c>
      <c r="C129" s="260" t="s">
        <v>189</v>
      </c>
      <c r="D129" s="259" t="s">
        <v>25</v>
      </c>
      <c r="E129" s="245">
        <v>282625</v>
      </c>
      <c r="F129" s="238">
        <v>1</v>
      </c>
      <c r="G129" s="240">
        <v>0</v>
      </c>
      <c r="H129" s="246">
        <f t="shared" si="13"/>
        <v>282625</v>
      </c>
      <c r="I129" s="447">
        <f t="shared" si="12"/>
        <v>1978375</v>
      </c>
    </row>
    <row r="130" spans="1:9" x14ac:dyDescent="0.25">
      <c r="A130" s="232">
        <v>198</v>
      </c>
      <c r="B130" s="339" t="s">
        <v>15</v>
      </c>
      <c r="C130" s="247" t="s">
        <v>181</v>
      </c>
      <c r="D130" s="244" t="s">
        <v>25</v>
      </c>
      <c r="E130" s="245">
        <v>451256.75840000005</v>
      </c>
      <c r="F130" s="238">
        <v>1</v>
      </c>
      <c r="G130" s="240">
        <v>0</v>
      </c>
      <c r="H130" s="246">
        <f t="shared" si="13"/>
        <v>451256.75840000005</v>
      </c>
      <c r="I130" s="447">
        <f t="shared" si="12"/>
        <v>3158797.3088000002</v>
      </c>
    </row>
    <row r="131" spans="1:9" ht="30" x14ac:dyDescent="0.25">
      <c r="A131" s="232">
        <v>199</v>
      </c>
      <c r="B131" s="339" t="s">
        <v>15</v>
      </c>
      <c r="C131" s="243" t="s">
        <v>160</v>
      </c>
      <c r="D131" s="244" t="s">
        <v>25</v>
      </c>
      <c r="E131" s="245">
        <v>718000</v>
      </c>
      <c r="F131" s="238">
        <v>1</v>
      </c>
      <c r="G131" s="240">
        <v>0</v>
      </c>
      <c r="H131" s="246">
        <f t="shared" si="13"/>
        <v>718000</v>
      </c>
      <c r="I131" s="447">
        <f t="shared" si="12"/>
        <v>5026000</v>
      </c>
    </row>
    <row r="132" spans="1:9" x14ac:dyDescent="0.25">
      <c r="A132" s="232">
        <v>200</v>
      </c>
      <c r="B132" s="339" t="s">
        <v>15</v>
      </c>
      <c r="C132" s="247" t="s">
        <v>58</v>
      </c>
      <c r="D132" s="244" t="s">
        <v>25</v>
      </c>
      <c r="E132" s="251">
        <v>42920</v>
      </c>
      <c r="F132" s="238">
        <v>1</v>
      </c>
      <c r="G132" s="240">
        <v>0</v>
      </c>
      <c r="H132" s="246">
        <f t="shared" si="13"/>
        <v>42920</v>
      </c>
      <c r="I132" s="447">
        <f t="shared" si="12"/>
        <v>300440</v>
      </c>
    </row>
    <row r="133" spans="1:9" x14ac:dyDescent="0.25">
      <c r="A133" s="232">
        <v>201</v>
      </c>
      <c r="B133" s="339" t="s">
        <v>15</v>
      </c>
      <c r="C133" s="247" t="s">
        <v>175</v>
      </c>
      <c r="D133" s="253" t="s">
        <v>96</v>
      </c>
      <c r="E133" s="254">
        <v>23880</v>
      </c>
      <c r="F133" s="238">
        <v>0.5</v>
      </c>
      <c r="G133" s="240">
        <v>0</v>
      </c>
      <c r="H133" s="246">
        <f t="shared" si="13"/>
        <v>11940</v>
      </c>
      <c r="I133" s="447">
        <f t="shared" si="12"/>
        <v>83580</v>
      </c>
    </row>
    <row r="134" spans="1:9" x14ac:dyDescent="0.25">
      <c r="A134" s="232">
        <v>202</v>
      </c>
      <c r="B134" s="339" t="s">
        <v>15</v>
      </c>
      <c r="C134" s="243" t="s">
        <v>159</v>
      </c>
      <c r="D134" s="244" t="s">
        <v>25</v>
      </c>
      <c r="E134" s="245">
        <v>114000</v>
      </c>
      <c r="F134" s="238">
        <v>1</v>
      </c>
      <c r="G134" s="240">
        <v>0</v>
      </c>
      <c r="H134" s="246">
        <f t="shared" si="13"/>
        <v>114000</v>
      </c>
      <c r="I134" s="447">
        <f t="shared" si="12"/>
        <v>798000</v>
      </c>
    </row>
    <row r="135" spans="1:9" x14ac:dyDescent="0.25">
      <c r="A135" s="232">
        <v>203</v>
      </c>
      <c r="B135" s="339" t="s">
        <v>15</v>
      </c>
      <c r="C135" s="247" t="s">
        <v>42</v>
      </c>
      <c r="D135" s="244" t="s">
        <v>25</v>
      </c>
      <c r="E135" s="245">
        <v>2923520</v>
      </c>
      <c r="F135" s="238">
        <v>1</v>
      </c>
      <c r="G135" s="240">
        <v>0</v>
      </c>
      <c r="H135" s="246">
        <f t="shared" si="13"/>
        <v>2923520</v>
      </c>
      <c r="I135" s="447">
        <f t="shared" si="12"/>
        <v>20464640</v>
      </c>
    </row>
    <row r="136" spans="1:9" x14ac:dyDescent="0.25">
      <c r="A136" s="232">
        <v>204</v>
      </c>
      <c r="B136" s="339" t="s">
        <v>15</v>
      </c>
      <c r="C136" s="243" t="s">
        <v>161</v>
      </c>
      <c r="D136" s="244" t="s">
        <v>24</v>
      </c>
      <c r="E136" s="255">
        <v>5316</v>
      </c>
      <c r="F136" s="238">
        <v>4</v>
      </c>
      <c r="G136" s="240">
        <v>0</v>
      </c>
      <c r="H136" s="246">
        <f t="shared" si="13"/>
        <v>21264</v>
      </c>
      <c r="I136" s="447">
        <f t="shared" si="12"/>
        <v>148848</v>
      </c>
    </row>
    <row r="137" spans="1:9" x14ac:dyDescent="0.25">
      <c r="A137" s="232">
        <v>205</v>
      </c>
      <c r="B137" s="339" t="s">
        <v>15</v>
      </c>
      <c r="C137" s="250" t="s">
        <v>162</v>
      </c>
      <c r="D137" s="244" t="s">
        <v>25</v>
      </c>
      <c r="E137" s="255">
        <f>1000*1.2</f>
        <v>1200</v>
      </c>
      <c r="F137" s="238">
        <v>12</v>
      </c>
      <c r="G137" s="240">
        <v>0</v>
      </c>
      <c r="H137" s="246">
        <f t="shared" si="13"/>
        <v>14400</v>
      </c>
      <c r="I137" s="447">
        <f t="shared" si="12"/>
        <v>100800</v>
      </c>
    </row>
    <row r="138" spans="1:9" x14ac:dyDescent="0.25">
      <c r="A138" s="232">
        <v>206</v>
      </c>
      <c r="B138" s="339" t="s">
        <v>15</v>
      </c>
      <c r="C138" s="247" t="s">
        <v>21</v>
      </c>
      <c r="D138" s="244" t="s">
        <v>25</v>
      </c>
      <c r="E138" s="245">
        <v>10890</v>
      </c>
      <c r="F138" s="238">
        <v>1</v>
      </c>
      <c r="G138" s="240">
        <v>0</v>
      </c>
      <c r="H138" s="246">
        <f t="shared" si="13"/>
        <v>10890</v>
      </c>
      <c r="I138" s="447">
        <f t="shared" si="12"/>
        <v>76230</v>
      </c>
    </row>
    <row r="139" spans="1:9" x14ac:dyDescent="0.25">
      <c r="A139" s="232">
        <v>207</v>
      </c>
      <c r="B139" s="339" t="s">
        <v>15</v>
      </c>
      <c r="C139" s="247" t="s">
        <v>95</v>
      </c>
      <c r="D139" s="244" t="s">
        <v>25</v>
      </c>
      <c r="E139" s="245">
        <v>8200</v>
      </c>
      <c r="F139" s="238">
        <v>4</v>
      </c>
      <c r="G139" s="240">
        <v>0</v>
      </c>
      <c r="H139" s="246">
        <f t="shared" si="13"/>
        <v>32800</v>
      </c>
      <c r="I139" s="447">
        <f t="shared" si="12"/>
        <v>229600</v>
      </c>
    </row>
    <row r="140" spans="1:9" x14ac:dyDescent="0.25">
      <c r="A140" s="232">
        <v>208</v>
      </c>
      <c r="B140" s="339" t="s">
        <v>15</v>
      </c>
      <c r="C140" s="247" t="s">
        <v>22</v>
      </c>
      <c r="D140" s="244" t="s">
        <v>24</v>
      </c>
      <c r="E140" s="251">
        <v>7500</v>
      </c>
      <c r="F140" s="238">
        <v>4</v>
      </c>
      <c r="G140" s="240">
        <v>0</v>
      </c>
      <c r="H140" s="246">
        <f t="shared" si="13"/>
        <v>30000</v>
      </c>
      <c r="I140" s="447">
        <f t="shared" si="12"/>
        <v>210000</v>
      </c>
    </row>
    <row r="141" spans="1:9" x14ac:dyDescent="0.25">
      <c r="A141" s="232">
        <v>209</v>
      </c>
      <c r="B141" s="339" t="s">
        <v>15</v>
      </c>
      <c r="C141" s="260" t="s">
        <v>173</v>
      </c>
      <c r="D141" s="244" t="s">
        <v>25</v>
      </c>
      <c r="E141" s="245">
        <v>16010.800000000001</v>
      </c>
      <c r="F141" s="238">
        <v>1</v>
      </c>
      <c r="G141" s="240">
        <v>0</v>
      </c>
      <c r="H141" s="246">
        <f t="shared" si="13"/>
        <v>16010.800000000001</v>
      </c>
      <c r="I141" s="447">
        <f t="shared" si="12"/>
        <v>112075.6</v>
      </c>
    </row>
    <row r="142" spans="1:9" x14ac:dyDescent="0.25">
      <c r="A142" s="232">
        <v>210</v>
      </c>
      <c r="B142" s="339" t="s">
        <v>15</v>
      </c>
      <c r="C142" s="282" t="s">
        <v>28</v>
      </c>
      <c r="D142" s="244" t="s">
        <v>24</v>
      </c>
      <c r="E142" s="245">
        <v>3880</v>
      </c>
      <c r="F142" s="238">
        <v>9</v>
      </c>
      <c r="G142" s="240">
        <v>0</v>
      </c>
      <c r="H142" s="246">
        <f t="shared" si="13"/>
        <v>34920</v>
      </c>
      <c r="I142" s="447">
        <f t="shared" si="12"/>
        <v>244440</v>
      </c>
    </row>
    <row r="143" spans="1:9" x14ac:dyDescent="0.25">
      <c r="A143" s="232">
        <v>211</v>
      </c>
      <c r="B143" s="339" t="s">
        <v>15</v>
      </c>
      <c r="C143" s="256" t="s">
        <v>63</v>
      </c>
      <c r="D143" s="257" t="s">
        <v>25</v>
      </c>
      <c r="E143" s="258">
        <v>20000</v>
      </c>
      <c r="F143" s="238">
        <v>6</v>
      </c>
      <c r="G143" s="240">
        <v>0.1</v>
      </c>
      <c r="H143" s="241">
        <f>+E143*F143*(1+G143)</f>
        <v>132000</v>
      </c>
      <c r="I143" s="447">
        <f t="shared" si="12"/>
        <v>924000</v>
      </c>
    </row>
    <row r="144" spans="1:9" x14ac:dyDescent="0.25">
      <c r="A144" s="232">
        <v>212</v>
      </c>
      <c r="B144" s="339" t="s">
        <v>15</v>
      </c>
      <c r="C144" s="243" t="s">
        <v>174</v>
      </c>
      <c r="D144" s="259" t="s">
        <v>25</v>
      </c>
      <c r="E144" s="245">
        <v>700</v>
      </c>
      <c r="F144" s="238">
        <v>6</v>
      </c>
      <c r="G144" s="240">
        <v>0</v>
      </c>
      <c r="H144" s="246">
        <f t="shared" ref="H144:H150" si="14">+E144*F144</f>
        <v>4200</v>
      </c>
      <c r="I144" s="447">
        <f t="shared" si="12"/>
        <v>29400</v>
      </c>
    </row>
    <row r="145" spans="1:11" x14ac:dyDescent="0.25">
      <c r="A145" s="232">
        <v>213</v>
      </c>
      <c r="B145" s="339" t="s">
        <v>15</v>
      </c>
      <c r="C145" s="247" t="s">
        <v>29</v>
      </c>
      <c r="D145" s="244" t="s">
        <v>24</v>
      </c>
      <c r="E145" s="245">
        <v>6870</v>
      </c>
      <c r="F145" s="545">
        <v>50</v>
      </c>
      <c r="G145" s="240">
        <v>0</v>
      </c>
      <c r="H145" s="246">
        <f t="shared" si="14"/>
        <v>343500</v>
      </c>
      <c r="I145" s="447">
        <f t="shared" si="12"/>
        <v>2404500</v>
      </c>
    </row>
    <row r="146" spans="1:11" x14ac:dyDescent="0.25">
      <c r="A146" s="232">
        <v>214</v>
      </c>
      <c r="B146" s="339" t="s">
        <v>15</v>
      </c>
      <c r="C146" s="261" t="s">
        <v>102</v>
      </c>
      <c r="D146" s="244" t="s">
        <v>25</v>
      </c>
      <c r="E146" s="245">
        <v>3740</v>
      </c>
      <c r="F146" s="238">
        <v>2</v>
      </c>
      <c r="G146" s="240">
        <v>0</v>
      </c>
      <c r="H146" s="246">
        <f t="shared" si="14"/>
        <v>7480</v>
      </c>
      <c r="I146" s="447">
        <f t="shared" si="12"/>
        <v>52360</v>
      </c>
    </row>
    <row r="147" spans="1:11" x14ac:dyDescent="0.25">
      <c r="A147" s="232">
        <v>215</v>
      </c>
      <c r="B147" s="339" t="s">
        <v>15</v>
      </c>
      <c r="C147" s="260" t="s">
        <v>172</v>
      </c>
      <c r="D147" s="259" t="s">
        <v>24</v>
      </c>
      <c r="E147" s="245">
        <v>26307.5</v>
      </c>
      <c r="F147" s="545">
        <v>10</v>
      </c>
      <c r="G147" s="240">
        <v>0</v>
      </c>
      <c r="H147" s="246">
        <f t="shared" si="14"/>
        <v>263075</v>
      </c>
      <c r="I147" s="447">
        <f t="shared" si="12"/>
        <v>1841525</v>
      </c>
    </row>
    <row r="148" spans="1:11" x14ac:dyDescent="0.25">
      <c r="A148" s="232">
        <v>216</v>
      </c>
      <c r="B148" s="339" t="s">
        <v>15</v>
      </c>
      <c r="C148" s="247" t="s">
        <v>30</v>
      </c>
      <c r="D148" s="244" t="s">
        <v>24</v>
      </c>
      <c r="E148" s="245">
        <v>2000</v>
      </c>
      <c r="F148" s="545">
        <v>100</v>
      </c>
      <c r="G148" s="240">
        <v>0</v>
      </c>
      <c r="H148" s="246">
        <f t="shared" si="14"/>
        <v>200000</v>
      </c>
      <c r="I148" s="447">
        <f t="shared" si="12"/>
        <v>1400000</v>
      </c>
    </row>
    <row r="149" spans="1:11" x14ac:dyDescent="0.25">
      <c r="A149" s="232">
        <v>217</v>
      </c>
      <c r="B149" s="339" t="s">
        <v>15</v>
      </c>
      <c r="C149" s="262" t="s">
        <v>178</v>
      </c>
      <c r="D149" s="244" t="s">
        <v>24</v>
      </c>
      <c r="E149" s="251">
        <v>19900</v>
      </c>
      <c r="F149" s="543">
        <v>2</v>
      </c>
      <c r="G149" s="240">
        <v>0</v>
      </c>
      <c r="H149" s="246">
        <f t="shared" si="14"/>
        <v>39800</v>
      </c>
      <c r="I149" s="447">
        <f t="shared" si="12"/>
        <v>278600</v>
      </c>
    </row>
    <row r="150" spans="1:11" x14ac:dyDescent="0.25">
      <c r="A150" s="232">
        <v>218</v>
      </c>
      <c r="B150" s="339" t="s">
        <v>15</v>
      </c>
      <c r="C150" s="247" t="s">
        <v>27</v>
      </c>
      <c r="D150" s="244" t="s">
        <v>25</v>
      </c>
      <c r="E150" s="251">
        <v>143884</v>
      </c>
      <c r="F150" s="238">
        <v>1</v>
      </c>
      <c r="G150" s="240">
        <v>0</v>
      </c>
      <c r="H150" s="246">
        <f t="shared" si="14"/>
        <v>143884</v>
      </c>
      <c r="I150" s="447">
        <f t="shared" si="12"/>
        <v>1007188</v>
      </c>
    </row>
    <row r="151" spans="1:11" x14ac:dyDescent="0.25">
      <c r="A151" s="232">
        <v>222</v>
      </c>
      <c r="B151" s="339" t="s">
        <v>16</v>
      </c>
      <c r="C151" s="247" t="s">
        <v>41</v>
      </c>
      <c r="D151" s="238" t="s">
        <v>46</v>
      </c>
      <c r="E151" s="272">
        <v>350000</v>
      </c>
      <c r="F151" s="238">
        <v>1</v>
      </c>
      <c r="G151" s="240">
        <v>0</v>
      </c>
      <c r="H151" s="241">
        <f t="shared" ref="H151:H156" si="15">IF(E151="-","-",E151*F151*(1+G151))</f>
        <v>350000</v>
      </c>
      <c r="I151" s="447">
        <f t="shared" si="12"/>
        <v>2450000</v>
      </c>
    </row>
    <row r="152" spans="1:11" ht="30" x14ac:dyDescent="0.25">
      <c r="A152" s="232">
        <v>223</v>
      </c>
      <c r="B152" s="339" t="s">
        <v>16</v>
      </c>
      <c r="C152" s="273" t="s">
        <v>184</v>
      </c>
      <c r="D152" s="238" t="s">
        <v>46</v>
      </c>
      <c r="E152" s="274">
        <v>33333</v>
      </c>
      <c r="F152" s="238">
        <v>0.52</v>
      </c>
      <c r="G152" s="240">
        <v>0</v>
      </c>
      <c r="H152" s="241">
        <f t="shared" si="15"/>
        <v>17333.16</v>
      </c>
      <c r="I152" s="447">
        <f t="shared" si="12"/>
        <v>121332.12</v>
      </c>
    </row>
    <row r="153" spans="1:11" x14ac:dyDescent="0.25">
      <c r="A153" s="232">
        <v>224</v>
      </c>
      <c r="B153" s="339" t="s">
        <v>16</v>
      </c>
      <c r="C153" s="247" t="s">
        <v>73</v>
      </c>
      <c r="D153" s="238" t="s">
        <v>111</v>
      </c>
      <c r="E153" s="274">
        <v>121666</v>
      </c>
      <c r="F153" s="545">
        <v>10</v>
      </c>
      <c r="G153" s="240">
        <v>0</v>
      </c>
      <c r="H153" s="241">
        <f t="shared" si="15"/>
        <v>1216660</v>
      </c>
      <c r="I153" s="447">
        <f t="shared" si="12"/>
        <v>8516620</v>
      </c>
    </row>
    <row r="154" spans="1:11" x14ac:dyDescent="0.25">
      <c r="A154" s="232">
        <v>228</v>
      </c>
      <c r="B154" s="339" t="s">
        <v>17</v>
      </c>
      <c r="C154" s="247" t="s">
        <v>33</v>
      </c>
      <c r="D154" s="238" t="s">
        <v>59</v>
      </c>
      <c r="E154" s="272">
        <v>140000</v>
      </c>
      <c r="F154" s="545">
        <v>2</v>
      </c>
      <c r="G154" s="240">
        <v>0</v>
      </c>
      <c r="H154" s="241">
        <f t="shared" si="15"/>
        <v>280000</v>
      </c>
      <c r="I154" s="447">
        <f t="shared" si="12"/>
        <v>1960000</v>
      </c>
      <c r="K154" s="283" t="s">
        <v>326</v>
      </c>
    </row>
    <row r="155" spans="1:11" ht="30" x14ac:dyDescent="0.25">
      <c r="A155" s="232">
        <v>229</v>
      </c>
      <c r="B155" s="339" t="s">
        <v>17</v>
      </c>
      <c r="C155" s="247" t="s">
        <v>32</v>
      </c>
      <c r="D155" s="238" t="s">
        <v>59</v>
      </c>
      <c r="E155" s="272">
        <v>97799</v>
      </c>
      <c r="F155" s="238">
        <v>2</v>
      </c>
      <c r="G155" s="240">
        <v>0</v>
      </c>
      <c r="H155" s="241">
        <f t="shared" si="15"/>
        <v>195598</v>
      </c>
      <c r="I155" s="447">
        <f t="shared" si="12"/>
        <v>1369186</v>
      </c>
    </row>
    <row r="156" spans="1:11" x14ac:dyDescent="0.25">
      <c r="A156" s="232">
        <v>230</v>
      </c>
      <c r="B156" s="339" t="s">
        <v>17</v>
      </c>
      <c r="C156" s="247" t="s">
        <v>34</v>
      </c>
      <c r="D156" s="238" t="s">
        <v>59</v>
      </c>
      <c r="E156" s="272">
        <v>150000</v>
      </c>
      <c r="F156" s="238">
        <v>3</v>
      </c>
      <c r="G156" s="240">
        <v>0</v>
      </c>
      <c r="H156" s="241">
        <f t="shared" si="15"/>
        <v>450000</v>
      </c>
      <c r="I156" s="447">
        <f t="shared" si="12"/>
        <v>3150000</v>
      </c>
    </row>
    <row r="157" spans="1:11" s="450" customFormat="1" ht="47.65" customHeight="1" x14ac:dyDescent="0.25">
      <c r="A157" s="450">
        <v>242</v>
      </c>
      <c r="B157" s="357" t="s">
        <v>207</v>
      </c>
      <c r="C157" s="449" t="s">
        <v>44</v>
      </c>
      <c r="D157" s="449"/>
      <c r="E157" s="449"/>
      <c r="F157" s="449"/>
      <c r="G157" s="449"/>
      <c r="H157" s="233">
        <v>5</v>
      </c>
      <c r="I157" s="450">
        <v>1</v>
      </c>
      <c r="J157" s="451">
        <f>SUM(I158:I197)</f>
        <v>53254301.780000001</v>
      </c>
    </row>
    <row r="158" spans="1:11" x14ac:dyDescent="0.25">
      <c r="A158" s="232">
        <v>245</v>
      </c>
      <c r="B158" s="339" t="s">
        <v>5</v>
      </c>
      <c r="C158" s="281" t="s">
        <v>71</v>
      </c>
      <c r="D158" s="238" t="s">
        <v>46</v>
      </c>
      <c r="E158" s="239">
        <v>50000</v>
      </c>
      <c r="F158" s="238">
        <v>6.4279999999999999</v>
      </c>
      <c r="G158" s="240">
        <v>0</v>
      </c>
      <c r="H158" s="241">
        <f>+E158*F158*(1+G158)</f>
        <v>321400</v>
      </c>
      <c r="I158" s="447">
        <f>H158*$I$157</f>
        <v>321400</v>
      </c>
    </row>
    <row r="159" spans="1:11" x14ac:dyDescent="0.25">
      <c r="A159" s="232">
        <v>246</v>
      </c>
      <c r="B159" s="339" t="s">
        <v>5</v>
      </c>
      <c r="C159" s="237" t="s">
        <v>20</v>
      </c>
      <c r="D159" s="238" t="s">
        <v>72</v>
      </c>
      <c r="E159" s="239">
        <f>'APU05'!H57*5%</f>
        <v>205829.45</v>
      </c>
      <c r="F159" s="238">
        <v>1</v>
      </c>
      <c r="G159" s="240">
        <v>0</v>
      </c>
      <c r="H159" s="241">
        <f>+E159*F159*(1+G159)</f>
        <v>205829.45</v>
      </c>
      <c r="I159" s="447">
        <f t="shared" ref="I159:I197" si="16">H159*$I$157</f>
        <v>205829.45</v>
      </c>
    </row>
    <row r="160" spans="1:11" x14ac:dyDescent="0.25">
      <c r="A160" s="232">
        <v>247</v>
      </c>
      <c r="B160" s="339" t="s">
        <v>5</v>
      </c>
      <c r="C160" s="281" t="s">
        <v>70</v>
      </c>
      <c r="D160" s="238" t="s">
        <v>46</v>
      </c>
      <c r="E160" s="239">
        <v>97038</v>
      </c>
      <c r="F160" s="238">
        <v>2</v>
      </c>
      <c r="G160" s="240">
        <v>0</v>
      </c>
      <c r="H160" s="241">
        <f>+E160*F160*(1+G160)</f>
        <v>194076</v>
      </c>
      <c r="I160" s="447">
        <f t="shared" si="16"/>
        <v>194076</v>
      </c>
    </row>
    <row r="161" spans="1:9" x14ac:dyDescent="0.25">
      <c r="A161" s="232">
        <v>248</v>
      </c>
      <c r="B161" s="339" t="s">
        <v>5</v>
      </c>
      <c r="C161" s="281" t="s">
        <v>54</v>
      </c>
      <c r="D161" s="238" t="s">
        <v>46</v>
      </c>
      <c r="E161" s="239">
        <v>10000</v>
      </c>
      <c r="F161" s="238">
        <v>6.4279999999999999</v>
      </c>
      <c r="G161" s="240">
        <v>0</v>
      </c>
      <c r="H161" s="241">
        <f>+E161*F161*(1+G161)</f>
        <v>64280</v>
      </c>
      <c r="I161" s="447">
        <f t="shared" si="16"/>
        <v>64280</v>
      </c>
    </row>
    <row r="162" spans="1:9" x14ac:dyDescent="0.25">
      <c r="A162" s="232">
        <v>252</v>
      </c>
      <c r="B162" s="339" t="s">
        <v>15</v>
      </c>
      <c r="C162" s="458" t="s">
        <v>153</v>
      </c>
      <c r="D162" s="244" t="s">
        <v>25</v>
      </c>
      <c r="E162" s="245">
        <v>2329824.2000000002</v>
      </c>
      <c r="F162" s="263">
        <v>6</v>
      </c>
      <c r="G162" s="240">
        <v>0</v>
      </c>
      <c r="H162" s="246">
        <f t="shared" ref="H162:H181" si="17">+E162*F162</f>
        <v>13978945.200000001</v>
      </c>
      <c r="I162" s="447">
        <f t="shared" si="16"/>
        <v>13978945.200000001</v>
      </c>
    </row>
    <row r="163" spans="1:9" ht="45" x14ac:dyDescent="0.25">
      <c r="A163" s="232">
        <v>253</v>
      </c>
      <c r="B163" s="359" t="s">
        <v>15</v>
      </c>
      <c r="C163" s="424" t="s">
        <v>152</v>
      </c>
      <c r="D163" s="379" t="s">
        <v>25</v>
      </c>
      <c r="E163" s="391">
        <v>740300.00000000012</v>
      </c>
      <c r="F163" s="554">
        <v>6</v>
      </c>
      <c r="G163" s="408">
        <v>0</v>
      </c>
      <c r="H163" s="415">
        <f t="shared" si="17"/>
        <v>4441800.0000000009</v>
      </c>
      <c r="I163" s="447">
        <f t="shared" si="16"/>
        <v>4441800.0000000009</v>
      </c>
    </row>
    <row r="164" spans="1:9" ht="30" x14ac:dyDescent="0.25">
      <c r="A164" s="232">
        <v>254</v>
      </c>
      <c r="B164" s="339" t="s">
        <v>15</v>
      </c>
      <c r="C164" s="548" t="s">
        <v>191</v>
      </c>
      <c r="D164" s="244" t="s">
        <v>25</v>
      </c>
      <c r="E164" s="248">
        <f>105000*1.12</f>
        <v>117600.00000000001</v>
      </c>
      <c r="F164" s="238">
        <v>6</v>
      </c>
      <c r="G164" s="240">
        <v>0</v>
      </c>
      <c r="H164" s="246">
        <f t="shared" si="17"/>
        <v>705600.00000000012</v>
      </c>
      <c r="I164" s="447">
        <f t="shared" si="16"/>
        <v>705600.00000000012</v>
      </c>
    </row>
    <row r="165" spans="1:9" x14ac:dyDescent="0.25">
      <c r="A165" s="232">
        <v>255</v>
      </c>
      <c r="B165" s="339" t="s">
        <v>15</v>
      </c>
      <c r="C165" s="548" t="s">
        <v>192</v>
      </c>
      <c r="D165" s="244" t="s">
        <v>25</v>
      </c>
      <c r="E165" s="248">
        <f>13900*1.2</f>
        <v>16680</v>
      </c>
      <c r="F165" s="338">
        <v>6</v>
      </c>
      <c r="G165" s="404">
        <v>0</v>
      </c>
      <c r="H165" s="246">
        <f t="shared" si="17"/>
        <v>100080</v>
      </c>
      <c r="I165" s="447">
        <f t="shared" si="16"/>
        <v>100080</v>
      </c>
    </row>
    <row r="166" spans="1:9" x14ac:dyDescent="0.25">
      <c r="A166" s="232">
        <v>256</v>
      </c>
      <c r="B166" s="339" t="s">
        <v>15</v>
      </c>
      <c r="C166" s="247" t="s">
        <v>209</v>
      </c>
      <c r="D166" s="244" t="s">
        <v>25</v>
      </c>
      <c r="E166" s="245">
        <v>1481000</v>
      </c>
      <c r="F166" s="263">
        <v>6</v>
      </c>
      <c r="G166" s="240">
        <v>0</v>
      </c>
      <c r="H166" s="246">
        <f t="shared" si="17"/>
        <v>8886000</v>
      </c>
      <c r="I166" s="447">
        <f t="shared" si="16"/>
        <v>8886000</v>
      </c>
    </row>
    <row r="167" spans="1:9" x14ac:dyDescent="0.25">
      <c r="A167" s="232">
        <v>257</v>
      </c>
      <c r="B167" s="339" t="s">
        <v>15</v>
      </c>
      <c r="C167" s="260" t="s">
        <v>173</v>
      </c>
      <c r="D167" s="244" t="s">
        <v>25</v>
      </c>
      <c r="E167" s="245">
        <v>16010.800000000001</v>
      </c>
      <c r="F167" s="543">
        <v>9</v>
      </c>
      <c r="G167" s="240">
        <v>0</v>
      </c>
      <c r="H167" s="246">
        <f t="shared" si="17"/>
        <v>144097.20000000001</v>
      </c>
      <c r="I167" s="447">
        <f t="shared" si="16"/>
        <v>144097.20000000001</v>
      </c>
    </row>
    <row r="168" spans="1:9" x14ac:dyDescent="0.25">
      <c r="A168" s="232">
        <v>258</v>
      </c>
      <c r="B168" s="339" t="s">
        <v>15</v>
      </c>
      <c r="C168" s="247" t="s">
        <v>66</v>
      </c>
      <c r="D168" s="244" t="s">
        <v>25</v>
      </c>
      <c r="E168" s="251">
        <v>42920</v>
      </c>
      <c r="F168" s="296">
        <v>1</v>
      </c>
      <c r="G168" s="240">
        <v>0</v>
      </c>
      <c r="H168" s="246">
        <f t="shared" si="17"/>
        <v>42920</v>
      </c>
      <c r="I168" s="447">
        <f t="shared" si="16"/>
        <v>42920</v>
      </c>
    </row>
    <row r="169" spans="1:9" x14ac:dyDescent="0.25">
      <c r="A169" s="232">
        <v>259</v>
      </c>
      <c r="B169" s="347" t="s">
        <v>15</v>
      </c>
      <c r="C169" s="317" t="s">
        <v>175</v>
      </c>
      <c r="D169" s="377" t="s">
        <v>96</v>
      </c>
      <c r="E169" s="440">
        <v>23880</v>
      </c>
      <c r="F169" s="238">
        <v>0.5</v>
      </c>
      <c r="G169" s="240">
        <v>0</v>
      </c>
      <c r="H169" s="246">
        <f t="shared" si="17"/>
        <v>11940</v>
      </c>
      <c r="I169" s="447">
        <f t="shared" si="16"/>
        <v>11940</v>
      </c>
    </row>
    <row r="170" spans="1:9" x14ac:dyDescent="0.25">
      <c r="A170" s="232">
        <v>260</v>
      </c>
      <c r="B170" s="339" t="s">
        <v>15</v>
      </c>
      <c r="C170" s="247" t="s">
        <v>182</v>
      </c>
      <c r="D170" s="244" t="s">
        <v>25</v>
      </c>
      <c r="E170" s="245">
        <v>535000</v>
      </c>
      <c r="F170" s="543">
        <v>3</v>
      </c>
      <c r="G170" s="240">
        <v>0</v>
      </c>
      <c r="H170" s="246">
        <f t="shared" si="17"/>
        <v>1605000</v>
      </c>
      <c r="I170" s="447">
        <f t="shared" si="16"/>
        <v>1605000</v>
      </c>
    </row>
    <row r="171" spans="1:9" ht="30" x14ac:dyDescent="0.25">
      <c r="A171" s="232">
        <v>261</v>
      </c>
      <c r="B171" s="347" t="s">
        <v>15</v>
      </c>
      <c r="C171" s="362" t="s">
        <v>208</v>
      </c>
      <c r="D171" s="244" t="s">
        <v>25</v>
      </c>
      <c r="E171" s="245">
        <v>1551000</v>
      </c>
      <c r="F171" s="263">
        <v>1</v>
      </c>
      <c r="G171" s="240">
        <v>0</v>
      </c>
      <c r="H171" s="246">
        <f t="shared" si="17"/>
        <v>1551000</v>
      </c>
      <c r="I171" s="447">
        <f t="shared" si="16"/>
        <v>1551000</v>
      </c>
    </row>
    <row r="172" spans="1:9" x14ac:dyDescent="0.25">
      <c r="A172" s="232">
        <v>262</v>
      </c>
      <c r="B172" s="339" t="s">
        <v>15</v>
      </c>
      <c r="C172" s="282" t="s">
        <v>104</v>
      </c>
      <c r="D172" s="257" t="s">
        <v>25</v>
      </c>
      <c r="E172" s="245">
        <v>271000</v>
      </c>
      <c r="F172" s="543">
        <v>2</v>
      </c>
      <c r="G172" s="240">
        <v>0</v>
      </c>
      <c r="H172" s="246">
        <f t="shared" si="17"/>
        <v>542000</v>
      </c>
      <c r="I172" s="447">
        <f t="shared" si="16"/>
        <v>542000</v>
      </c>
    </row>
    <row r="173" spans="1:9" x14ac:dyDescent="0.25">
      <c r="A173" s="232">
        <v>263</v>
      </c>
      <c r="B173" s="339" t="s">
        <v>15</v>
      </c>
      <c r="C173" s="243" t="s">
        <v>155</v>
      </c>
      <c r="D173" s="244" t="s">
        <v>25</v>
      </c>
      <c r="E173" s="245">
        <v>3428000</v>
      </c>
      <c r="F173" s="263">
        <v>1</v>
      </c>
      <c r="G173" s="240">
        <v>0</v>
      </c>
      <c r="H173" s="246">
        <f t="shared" si="17"/>
        <v>3428000</v>
      </c>
      <c r="I173" s="447">
        <f t="shared" si="16"/>
        <v>3428000</v>
      </c>
    </row>
    <row r="174" spans="1:9" ht="30" x14ac:dyDescent="0.25">
      <c r="A174" s="232">
        <v>264</v>
      </c>
      <c r="B174" s="339" t="s">
        <v>15</v>
      </c>
      <c r="C174" s="260" t="s">
        <v>156</v>
      </c>
      <c r="D174" s="244" t="s">
        <v>25</v>
      </c>
      <c r="E174" s="245">
        <v>2922700</v>
      </c>
      <c r="F174" s="263">
        <v>1</v>
      </c>
      <c r="G174" s="240">
        <v>0</v>
      </c>
      <c r="H174" s="246">
        <f t="shared" si="17"/>
        <v>2922700</v>
      </c>
      <c r="I174" s="447">
        <f t="shared" si="16"/>
        <v>2922700</v>
      </c>
    </row>
    <row r="175" spans="1:9" ht="30" x14ac:dyDescent="0.25">
      <c r="A175" s="232">
        <v>265</v>
      </c>
      <c r="B175" s="360" t="s">
        <v>15</v>
      </c>
      <c r="C175" s="371" t="s">
        <v>167</v>
      </c>
      <c r="D175" s="381" t="s">
        <v>25</v>
      </c>
      <c r="E175" s="390">
        <v>274800</v>
      </c>
      <c r="F175" s="550">
        <v>6</v>
      </c>
      <c r="G175" s="407">
        <v>0</v>
      </c>
      <c r="H175" s="246">
        <f t="shared" si="17"/>
        <v>1648800</v>
      </c>
      <c r="I175" s="447">
        <f t="shared" si="16"/>
        <v>1648800</v>
      </c>
    </row>
    <row r="176" spans="1:9" x14ac:dyDescent="0.25">
      <c r="A176" s="232">
        <v>266</v>
      </c>
      <c r="B176" s="358" t="s">
        <v>15</v>
      </c>
      <c r="C176" s="369" t="s">
        <v>161</v>
      </c>
      <c r="D176" s="380" t="s">
        <v>24</v>
      </c>
      <c r="E176" s="394">
        <v>5316</v>
      </c>
      <c r="F176" s="293">
        <v>4</v>
      </c>
      <c r="G176" s="405">
        <v>0</v>
      </c>
      <c r="H176" s="412">
        <f t="shared" si="17"/>
        <v>21264</v>
      </c>
      <c r="I176" s="447">
        <f t="shared" si="16"/>
        <v>21264</v>
      </c>
    </row>
    <row r="177" spans="1:9" x14ac:dyDescent="0.25">
      <c r="A177" s="232">
        <v>267</v>
      </c>
      <c r="B177" s="358" t="s">
        <v>15</v>
      </c>
      <c r="C177" s="374" t="s">
        <v>162</v>
      </c>
      <c r="D177" s="380" t="s">
        <v>25</v>
      </c>
      <c r="E177" s="394">
        <f>1000*1.2</f>
        <v>1200</v>
      </c>
      <c r="F177" s="238">
        <v>12</v>
      </c>
      <c r="G177" s="240">
        <v>0</v>
      </c>
      <c r="H177" s="246">
        <f t="shared" si="17"/>
        <v>14400</v>
      </c>
      <c r="I177" s="447">
        <f t="shared" si="16"/>
        <v>14400</v>
      </c>
    </row>
    <row r="178" spans="1:9" x14ac:dyDescent="0.25">
      <c r="A178" s="232">
        <v>268</v>
      </c>
      <c r="B178" s="358" t="s">
        <v>15</v>
      </c>
      <c r="C178" s="364" t="s">
        <v>67</v>
      </c>
      <c r="D178" s="380" t="s">
        <v>25</v>
      </c>
      <c r="E178" s="391">
        <v>10890</v>
      </c>
      <c r="F178" s="399">
        <v>6</v>
      </c>
      <c r="G178" s="405">
        <v>0</v>
      </c>
      <c r="H178" s="412">
        <f t="shared" si="17"/>
        <v>65340</v>
      </c>
      <c r="I178" s="447">
        <f t="shared" si="16"/>
        <v>65340</v>
      </c>
    </row>
    <row r="179" spans="1:9" x14ac:dyDescent="0.25">
      <c r="A179" s="232">
        <v>269</v>
      </c>
      <c r="B179" s="358" t="s">
        <v>15</v>
      </c>
      <c r="C179" s="364" t="s">
        <v>22</v>
      </c>
      <c r="D179" s="380" t="s">
        <v>24</v>
      </c>
      <c r="E179" s="388">
        <v>7500</v>
      </c>
      <c r="F179" s="399">
        <v>60</v>
      </c>
      <c r="G179" s="405">
        <v>0</v>
      </c>
      <c r="H179" s="412">
        <f t="shared" si="17"/>
        <v>450000</v>
      </c>
      <c r="I179" s="447">
        <f t="shared" si="16"/>
        <v>450000</v>
      </c>
    </row>
    <row r="180" spans="1:9" x14ac:dyDescent="0.25">
      <c r="A180" s="232">
        <v>270</v>
      </c>
      <c r="B180" s="358" t="s">
        <v>15</v>
      </c>
      <c r="C180" s="364" t="s">
        <v>95</v>
      </c>
      <c r="D180" s="380" t="s">
        <v>25</v>
      </c>
      <c r="E180" s="391">
        <v>8200</v>
      </c>
      <c r="F180" s="553">
        <v>12</v>
      </c>
      <c r="G180" s="405">
        <v>0</v>
      </c>
      <c r="H180" s="412">
        <f t="shared" si="17"/>
        <v>98400</v>
      </c>
      <c r="I180" s="447">
        <f t="shared" si="16"/>
        <v>98400</v>
      </c>
    </row>
    <row r="181" spans="1:9" x14ac:dyDescent="0.25">
      <c r="A181" s="232">
        <v>271</v>
      </c>
      <c r="B181" s="358" t="s">
        <v>15</v>
      </c>
      <c r="C181" s="364" t="s">
        <v>28</v>
      </c>
      <c r="D181" s="380" t="s">
        <v>24</v>
      </c>
      <c r="E181" s="391">
        <v>3880</v>
      </c>
      <c r="F181" s="551">
        <v>100</v>
      </c>
      <c r="G181" s="405">
        <v>0</v>
      </c>
      <c r="H181" s="412">
        <f t="shared" si="17"/>
        <v>388000</v>
      </c>
      <c r="I181" s="447">
        <f t="shared" si="16"/>
        <v>388000</v>
      </c>
    </row>
    <row r="182" spans="1:9" x14ac:dyDescent="0.25">
      <c r="A182" s="232">
        <v>272</v>
      </c>
      <c r="B182" s="359" t="s">
        <v>15</v>
      </c>
      <c r="C182" s="434" t="s">
        <v>63</v>
      </c>
      <c r="D182" s="384" t="s">
        <v>25</v>
      </c>
      <c r="E182" s="442">
        <v>20000</v>
      </c>
      <c r="F182" s="549">
        <v>24</v>
      </c>
      <c r="G182" s="406">
        <v>0.1</v>
      </c>
      <c r="H182" s="414">
        <f>+E182*F182*(1+G182)</f>
        <v>528000</v>
      </c>
      <c r="I182" s="447">
        <f t="shared" si="16"/>
        <v>528000</v>
      </c>
    </row>
    <row r="183" spans="1:9" x14ac:dyDescent="0.25">
      <c r="A183" s="232">
        <v>273</v>
      </c>
      <c r="B183" s="339" t="s">
        <v>15</v>
      </c>
      <c r="C183" s="243" t="s">
        <v>174</v>
      </c>
      <c r="D183" s="259" t="s">
        <v>25</v>
      </c>
      <c r="E183" s="245">
        <v>700</v>
      </c>
      <c r="F183" s="543">
        <v>22</v>
      </c>
      <c r="G183" s="240">
        <v>0</v>
      </c>
      <c r="H183" s="246">
        <f t="shared" ref="H183:H191" si="18">+E183*F183</f>
        <v>15400</v>
      </c>
      <c r="I183" s="447">
        <f t="shared" si="16"/>
        <v>15400</v>
      </c>
    </row>
    <row r="184" spans="1:9" ht="14.25" customHeight="1" x14ac:dyDescent="0.25">
      <c r="A184" s="232">
        <v>274</v>
      </c>
      <c r="B184" s="339" t="s">
        <v>15</v>
      </c>
      <c r="C184" s="247" t="s">
        <v>29</v>
      </c>
      <c r="D184" s="244" t="s">
        <v>24</v>
      </c>
      <c r="E184" s="245">
        <v>6870</v>
      </c>
      <c r="F184" s="543">
        <v>30</v>
      </c>
      <c r="G184" s="240">
        <v>0</v>
      </c>
      <c r="H184" s="246">
        <f t="shared" si="18"/>
        <v>206100</v>
      </c>
      <c r="I184" s="447">
        <f t="shared" si="16"/>
        <v>206100</v>
      </c>
    </row>
    <row r="185" spans="1:9" x14ac:dyDescent="0.25">
      <c r="A185" s="232">
        <v>275</v>
      </c>
      <c r="B185" s="339" t="s">
        <v>15</v>
      </c>
      <c r="C185" s="247" t="s">
        <v>30</v>
      </c>
      <c r="D185" s="244" t="s">
        <v>24</v>
      </c>
      <c r="E185" s="245">
        <v>2000</v>
      </c>
      <c r="F185" s="543">
        <v>64</v>
      </c>
      <c r="G185" s="240">
        <v>0</v>
      </c>
      <c r="H185" s="246">
        <f t="shared" si="18"/>
        <v>128000</v>
      </c>
      <c r="I185" s="447">
        <f t="shared" si="16"/>
        <v>128000</v>
      </c>
    </row>
    <row r="186" spans="1:9" x14ac:dyDescent="0.25">
      <c r="A186" s="232">
        <v>276</v>
      </c>
      <c r="B186" s="339" t="s">
        <v>15</v>
      </c>
      <c r="C186" s="247" t="s">
        <v>98</v>
      </c>
      <c r="D186" s="244" t="s">
        <v>25</v>
      </c>
      <c r="E186" s="251">
        <v>13500</v>
      </c>
      <c r="F186" s="263">
        <v>2</v>
      </c>
      <c r="G186" s="240">
        <v>0</v>
      </c>
      <c r="H186" s="246">
        <f t="shared" si="18"/>
        <v>27000</v>
      </c>
      <c r="I186" s="447">
        <f t="shared" si="16"/>
        <v>27000</v>
      </c>
    </row>
    <row r="187" spans="1:9" x14ac:dyDescent="0.25">
      <c r="A187" s="232">
        <v>277</v>
      </c>
      <c r="B187" s="339" t="s">
        <v>15</v>
      </c>
      <c r="C187" s="247" t="s">
        <v>99</v>
      </c>
      <c r="D187" s="244" t="s">
        <v>25</v>
      </c>
      <c r="E187" s="251">
        <v>1000</v>
      </c>
      <c r="F187" s="263">
        <v>6</v>
      </c>
      <c r="G187" s="240">
        <v>0</v>
      </c>
      <c r="H187" s="246">
        <f t="shared" si="18"/>
        <v>6000</v>
      </c>
      <c r="I187" s="447">
        <f t="shared" si="16"/>
        <v>6000</v>
      </c>
    </row>
    <row r="188" spans="1:9" x14ac:dyDescent="0.25">
      <c r="A188" s="232">
        <v>278</v>
      </c>
      <c r="B188" s="339" t="s">
        <v>15</v>
      </c>
      <c r="C188" s="261" t="s">
        <v>102</v>
      </c>
      <c r="D188" s="244" t="s">
        <v>25</v>
      </c>
      <c r="E188" s="245">
        <v>3740</v>
      </c>
      <c r="F188" s="238">
        <v>2</v>
      </c>
      <c r="G188" s="240">
        <v>0</v>
      </c>
      <c r="H188" s="246">
        <f t="shared" si="18"/>
        <v>7480</v>
      </c>
      <c r="I188" s="447">
        <f t="shared" si="16"/>
        <v>7480</v>
      </c>
    </row>
    <row r="189" spans="1:9" x14ac:dyDescent="0.25">
      <c r="A189" s="232">
        <v>279</v>
      </c>
      <c r="B189" s="339" t="s">
        <v>15</v>
      </c>
      <c r="C189" s="260" t="s">
        <v>172</v>
      </c>
      <c r="D189" s="259" t="s">
        <v>24</v>
      </c>
      <c r="E189" s="245">
        <v>26307.5</v>
      </c>
      <c r="F189" s="543">
        <v>26</v>
      </c>
      <c r="G189" s="240">
        <v>0</v>
      </c>
      <c r="H189" s="246">
        <f t="shared" si="18"/>
        <v>683995</v>
      </c>
      <c r="I189" s="447">
        <f t="shared" si="16"/>
        <v>683995</v>
      </c>
    </row>
    <row r="190" spans="1:9" x14ac:dyDescent="0.25">
      <c r="A190" s="232">
        <v>280</v>
      </c>
      <c r="B190" s="339" t="s">
        <v>15</v>
      </c>
      <c r="C190" s="262" t="s">
        <v>178</v>
      </c>
      <c r="D190" s="244" t="s">
        <v>24</v>
      </c>
      <c r="E190" s="251">
        <v>19900</v>
      </c>
      <c r="F190" s="263">
        <v>2</v>
      </c>
      <c r="G190" s="240">
        <v>0</v>
      </c>
      <c r="H190" s="246">
        <f t="shared" si="18"/>
        <v>39800</v>
      </c>
      <c r="I190" s="447">
        <f t="shared" si="16"/>
        <v>39800</v>
      </c>
    </row>
    <row r="191" spans="1:9" x14ac:dyDescent="0.25">
      <c r="A191" s="232">
        <v>281</v>
      </c>
      <c r="B191" s="347" t="s">
        <v>15</v>
      </c>
      <c r="C191" s="317" t="s">
        <v>27</v>
      </c>
      <c r="D191" s="378" t="s">
        <v>25</v>
      </c>
      <c r="E191" s="555">
        <v>650000</v>
      </c>
      <c r="F191" s="263">
        <v>1</v>
      </c>
      <c r="G191" s="240">
        <v>0</v>
      </c>
      <c r="H191" s="246">
        <f t="shared" si="18"/>
        <v>650000</v>
      </c>
      <c r="I191" s="447">
        <f t="shared" si="16"/>
        <v>650000</v>
      </c>
    </row>
    <row r="192" spans="1:9" x14ac:dyDescent="0.25">
      <c r="A192" s="232">
        <v>285</v>
      </c>
      <c r="B192" s="339" t="s">
        <v>16</v>
      </c>
      <c r="C192" s="247" t="s">
        <v>41</v>
      </c>
      <c r="D192" s="238" t="s">
        <v>46</v>
      </c>
      <c r="E192" s="272">
        <v>350000</v>
      </c>
      <c r="F192" s="238">
        <v>1</v>
      </c>
      <c r="G192" s="240">
        <v>0</v>
      </c>
      <c r="H192" s="241">
        <f t="shared" ref="H192:H197" si="19">IF(E192="-","-",E192*F192*(1+G192))</f>
        <v>350000</v>
      </c>
      <c r="I192" s="447">
        <f t="shared" si="16"/>
        <v>350000</v>
      </c>
    </row>
    <row r="193" spans="1:11" ht="30" x14ac:dyDescent="0.25">
      <c r="A193" s="232">
        <v>286</v>
      </c>
      <c r="B193" s="339" t="s">
        <v>16</v>
      </c>
      <c r="C193" s="273" t="s">
        <v>184</v>
      </c>
      <c r="D193" s="238" t="s">
        <v>46</v>
      </c>
      <c r="E193" s="274">
        <v>33333</v>
      </c>
      <c r="F193" s="238">
        <v>3.21</v>
      </c>
      <c r="G193" s="240">
        <v>0</v>
      </c>
      <c r="H193" s="241">
        <f t="shared" si="19"/>
        <v>106998.93</v>
      </c>
      <c r="I193" s="447">
        <f t="shared" si="16"/>
        <v>106998.93</v>
      </c>
    </row>
    <row r="194" spans="1:11" x14ac:dyDescent="0.25">
      <c r="A194" s="232">
        <v>287</v>
      </c>
      <c r="B194" s="339" t="s">
        <v>16</v>
      </c>
      <c r="C194" s="247" t="s">
        <v>73</v>
      </c>
      <c r="D194" s="238" t="s">
        <v>111</v>
      </c>
      <c r="E194" s="274">
        <v>121666</v>
      </c>
      <c r="F194" s="545">
        <v>12</v>
      </c>
      <c r="G194" s="240">
        <v>0</v>
      </c>
      <c r="H194" s="241">
        <f t="shared" si="19"/>
        <v>1459992</v>
      </c>
      <c r="I194" s="447">
        <f t="shared" si="16"/>
        <v>1459992</v>
      </c>
    </row>
    <row r="195" spans="1:11" x14ac:dyDescent="0.25">
      <c r="A195" s="232">
        <v>291</v>
      </c>
      <c r="B195" s="339" t="s">
        <v>17</v>
      </c>
      <c r="C195" s="247" t="s">
        <v>33</v>
      </c>
      <c r="D195" s="238" t="s">
        <v>59</v>
      </c>
      <c r="E195" s="272">
        <v>140000</v>
      </c>
      <c r="F195" s="543">
        <v>16</v>
      </c>
      <c r="G195" s="240">
        <v>0</v>
      </c>
      <c r="H195" s="241">
        <f t="shared" si="19"/>
        <v>2240000</v>
      </c>
      <c r="I195" s="447">
        <f t="shared" si="16"/>
        <v>2240000</v>
      </c>
      <c r="K195" s="283" t="s">
        <v>327</v>
      </c>
    </row>
    <row r="196" spans="1:11" ht="30" x14ac:dyDescent="0.25">
      <c r="A196" s="232">
        <v>292</v>
      </c>
      <c r="B196" s="339" t="s">
        <v>17</v>
      </c>
      <c r="C196" s="247" t="s">
        <v>43</v>
      </c>
      <c r="D196" s="238" t="s">
        <v>59</v>
      </c>
      <c r="E196" s="272">
        <v>160854</v>
      </c>
      <c r="F196" s="263">
        <v>16</v>
      </c>
      <c r="G196" s="240">
        <v>0</v>
      </c>
      <c r="H196" s="241">
        <f t="shared" si="19"/>
        <v>2573664</v>
      </c>
      <c r="I196" s="447">
        <f t="shared" si="16"/>
        <v>2573664</v>
      </c>
    </row>
    <row r="197" spans="1:11" x14ac:dyDescent="0.25">
      <c r="A197" s="232">
        <v>293</v>
      </c>
      <c r="B197" s="339" t="s">
        <v>17</v>
      </c>
      <c r="C197" s="247" t="s">
        <v>64</v>
      </c>
      <c r="D197" s="238" t="s">
        <v>59</v>
      </c>
      <c r="E197" s="272">
        <v>150000</v>
      </c>
      <c r="F197" s="263">
        <v>16</v>
      </c>
      <c r="G197" s="240">
        <v>0</v>
      </c>
      <c r="H197" s="241">
        <f t="shared" si="19"/>
        <v>2400000</v>
      </c>
      <c r="I197" s="447">
        <f t="shared" si="16"/>
        <v>2400000</v>
      </c>
    </row>
    <row r="198" spans="1:11" s="450" customFormat="1" ht="60" x14ac:dyDescent="0.25">
      <c r="A198" s="450">
        <v>305</v>
      </c>
      <c r="B198" s="357" t="s">
        <v>207</v>
      </c>
      <c r="C198" s="449" t="s">
        <v>202</v>
      </c>
      <c r="D198" s="449"/>
      <c r="E198" s="449"/>
      <c r="F198" s="449"/>
      <c r="G198" s="449"/>
      <c r="H198" s="233">
        <v>6</v>
      </c>
      <c r="I198" s="456">
        <v>4</v>
      </c>
      <c r="J198" s="451">
        <f>SUM(I199:I241)</f>
        <v>58230166.313600004</v>
      </c>
    </row>
    <row r="199" spans="1:11" x14ac:dyDescent="0.25">
      <c r="A199" s="232">
        <v>308</v>
      </c>
      <c r="B199" s="339" t="s">
        <v>5</v>
      </c>
      <c r="C199" s="281" t="s">
        <v>71</v>
      </c>
      <c r="D199" s="238" t="s">
        <v>46</v>
      </c>
      <c r="E199" s="239">
        <v>50000</v>
      </c>
      <c r="F199" s="238">
        <v>1.2709999999999999</v>
      </c>
      <c r="G199" s="240">
        <v>0</v>
      </c>
      <c r="H199" s="241">
        <f>+E199*F199*(1+G199)</f>
        <v>63549.999999999993</v>
      </c>
      <c r="I199" s="447">
        <f>H199*$I$198</f>
        <v>254199.99999999997</v>
      </c>
    </row>
    <row r="200" spans="1:11" x14ac:dyDescent="0.25">
      <c r="A200" s="232">
        <v>309</v>
      </c>
      <c r="B200" s="339" t="s">
        <v>5</v>
      </c>
      <c r="C200" s="237" t="s">
        <v>20</v>
      </c>
      <c r="D200" s="238" t="s">
        <v>72</v>
      </c>
      <c r="E200" s="239">
        <f>'APU06'!H58*5%</f>
        <v>79276.5</v>
      </c>
      <c r="F200" s="238">
        <v>1</v>
      </c>
      <c r="G200" s="240">
        <v>0</v>
      </c>
      <c r="H200" s="241">
        <f>+E200*F200*(1+G200)</f>
        <v>79276.5</v>
      </c>
      <c r="I200" s="447">
        <f t="shared" ref="I200:I241" si="20">H200*$I$198</f>
        <v>317106</v>
      </c>
    </row>
    <row r="201" spans="1:11" x14ac:dyDescent="0.25">
      <c r="A201" s="232">
        <v>310</v>
      </c>
      <c r="B201" s="339" t="s">
        <v>5</v>
      </c>
      <c r="C201" s="281" t="s">
        <v>70</v>
      </c>
      <c r="D201" s="238" t="s">
        <v>46</v>
      </c>
      <c r="E201" s="239">
        <v>97038</v>
      </c>
      <c r="F201" s="238">
        <v>2</v>
      </c>
      <c r="G201" s="240">
        <v>0</v>
      </c>
      <c r="H201" s="241">
        <f>+E201*F201*(1+G201)</f>
        <v>194076</v>
      </c>
      <c r="I201" s="447">
        <f t="shared" si="20"/>
        <v>776304</v>
      </c>
    </row>
    <row r="202" spans="1:11" x14ac:dyDescent="0.25">
      <c r="A202" s="232">
        <v>311</v>
      </c>
      <c r="B202" s="339" t="s">
        <v>5</v>
      </c>
      <c r="C202" s="281" t="s">
        <v>54</v>
      </c>
      <c r="D202" s="238" t="s">
        <v>46</v>
      </c>
      <c r="E202" s="239">
        <v>10000</v>
      </c>
      <c r="F202" s="238">
        <v>1.2709999999999999</v>
      </c>
      <c r="G202" s="240">
        <v>0</v>
      </c>
      <c r="H202" s="241">
        <f>+E202*F202*(1+G202)</f>
        <v>12709.999999999998</v>
      </c>
      <c r="I202" s="447">
        <f t="shared" si="20"/>
        <v>50839.999999999993</v>
      </c>
    </row>
    <row r="203" spans="1:11" ht="45" x14ac:dyDescent="0.25">
      <c r="A203" s="232">
        <v>315</v>
      </c>
      <c r="B203" s="339" t="s">
        <v>15</v>
      </c>
      <c r="C203" s="243" t="s">
        <v>152</v>
      </c>
      <c r="D203" s="244" t="s">
        <v>25</v>
      </c>
      <c r="E203" s="245">
        <v>740300.00000000012</v>
      </c>
      <c r="F203" s="238">
        <v>1</v>
      </c>
      <c r="G203" s="240">
        <v>0</v>
      </c>
      <c r="H203" s="246">
        <f t="shared" ref="H203:H222" si="21">+E203*F203</f>
        <v>740300.00000000012</v>
      </c>
      <c r="I203" s="447">
        <f t="shared" si="20"/>
        <v>2961200.0000000005</v>
      </c>
    </row>
    <row r="204" spans="1:11" ht="30" x14ac:dyDescent="0.25">
      <c r="A204" s="232">
        <v>316</v>
      </c>
      <c r="B204" s="339" t="s">
        <v>15</v>
      </c>
      <c r="C204" s="247" t="s">
        <v>191</v>
      </c>
      <c r="D204" s="244" t="s">
        <v>25</v>
      </c>
      <c r="E204" s="248">
        <f>105000*1.12</f>
        <v>117600.00000000001</v>
      </c>
      <c r="F204" s="238">
        <v>1</v>
      </c>
      <c r="G204" s="240">
        <v>0</v>
      </c>
      <c r="H204" s="246">
        <f t="shared" si="21"/>
        <v>117600.00000000001</v>
      </c>
      <c r="I204" s="447">
        <f t="shared" si="20"/>
        <v>470400.00000000006</v>
      </c>
    </row>
    <row r="205" spans="1:11" x14ac:dyDescent="0.25">
      <c r="A205" s="232">
        <v>317</v>
      </c>
      <c r="B205" s="339" t="s">
        <v>15</v>
      </c>
      <c r="C205" s="247" t="s">
        <v>192</v>
      </c>
      <c r="D205" s="244" t="s">
        <v>25</v>
      </c>
      <c r="E205" s="248">
        <f>13900*1.2</f>
        <v>16680</v>
      </c>
      <c r="F205" s="238">
        <v>1</v>
      </c>
      <c r="G205" s="240">
        <v>0</v>
      </c>
      <c r="H205" s="246">
        <f t="shared" si="21"/>
        <v>16680</v>
      </c>
      <c r="I205" s="447">
        <f t="shared" si="20"/>
        <v>66720</v>
      </c>
    </row>
    <row r="206" spans="1:11" ht="30" x14ac:dyDescent="0.25">
      <c r="A206" s="232">
        <v>318</v>
      </c>
      <c r="B206" s="339" t="s">
        <v>15</v>
      </c>
      <c r="C206" s="249" t="s">
        <v>148</v>
      </c>
      <c r="D206" s="244" t="s">
        <v>25</v>
      </c>
      <c r="E206" s="245">
        <v>512800</v>
      </c>
      <c r="F206" s="238">
        <v>1</v>
      </c>
      <c r="G206" s="240">
        <v>0</v>
      </c>
      <c r="H206" s="246">
        <f t="shared" si="21"/>
        <v>512800</v>
      </c>
      <c r="I206" s="447">
        <f t="shared" si="20"/>
        <v>2051200</v>
      </c>
    </row>
    <row r="207" spans="1:11" x14ac:dyDescent="0.25">
      <c r="A207" s="232">
        <v>319</v>
      </c>
      <c r="B207" s="339" t="s">
        <v>15</v>
      </c>
      <c r="C207" s="247" t="s">
        <v>37</v>
      </c>
      <c r="D207" s="244" t="s">
        <v>25</v>
      </c>
      <c r="E207" s="251">
        <v>864900</v>
      </c>
      <c r="F207" s="238">
        <v>1</v>
      </c>
      <c r="G207" s="240">
        <v>0</v>
      </c>
      <c r="H207" s="246">
        <f t="shared" si="21"/>
        <v>864900</v>
      </c>
      <c r="I207" s="447">
        <f t="shared" si="20"/>
        <v>3459600</v>
      </c>
    </row>
    <row r="208" spans="1:11" x14ac:dyDescent="0.25">
      <c r="A208" s="232">
        <v>320</v>
      </c>
      <c r="B208" s="339" t="s">
        <v>15</v>
      </c>
      <c r="C208" s="247" t="s">
        <v>35</v>
      </c>
      <c r="D208" s="244" t="s">
        <v>25</v>
      </c>
      <c r="E208" s="251">
        <v>322000</v>
      </c>
      <c r="F208" s="238">
        <v>1</v>
      </c>
      <c r="G208" s="240">
        <v>0</v>
      </c>
      <c r="H208" s="246">
        <f t="shared" si="21"/>
        <v>322000</v>
      </c>
      <c r="I208" s="447">
        <f t="shared" si="20"/>
        <v>1288000</v>
      </c>
    </row>
    <row r="209" spans="1:9" x14ac:dyDescent="0.25">
      <c r="A209" s="232">
        <v>321</v>
      </c>
      <c r="B209" s="339" t="s">
        <v>15</v>
      </c>
      <c r="C209" s="247" t="s">
        <v>181</v>
      </c>
      <c r="D209" s="244" t="s">
        <v>25</v>
      </c>
      <c r="E209" s="245">
        <v>451256.75840000005</v>
      </c>
      <c r="F209" s="238">
        <v>1</v>
      </c>
      <c r="G209" s="240">
        <v>0</v>
      </c>
      <c r="H209" s="246">
        <f t="shared" si="21"/>
        <v>451256.75840000005</v>
      </c>
      <c r="I209" s="447">
        <f t="shared" si="20"/>
        <v>1805027.0336000002</v>
      </c>
    </row>
    <row r="210" spans="1:9" ht="30" x14ac:dyDescent="0.25">
      <c r="A210" s="232">
        <v>322</v>
      </c>
      <c r="B210" s="339" t="s">
        <v>15</v>
      </c>
      <c r="C210" s="247" t="s">
        <v>105</v>
      </c>
      <c r="D210" s="244" t="s">
        <v>25</v>
      </c>
      <c r="E210" s="245">
        <v>1105000</v>
      </c>
      <c r="F210" s="238">
        <v>1</v>
      </c>
      <c r="G210" s="240">
        <v>0</v>
      </c>
      <c r="H210" s="246">
        <f t="shared" si="21"/>
        <v>1105000</v>
      </c>
      <c r="I210" s="447">
        <f t="shared" si="20"/>
        <v>4420000</v>
      </c>
    </row>
    <row r="211" spans="1:9" ht="30" x14ac:dyDescent="0.25">
      <c r="A211" s="232">
        <v>323</v>
      </c>
      <c r="B211" s="339" t="s">
        <v>15</v>
      </c>
      <c r="C211" s="247" t="s">
        <v>185</v>
      </c>
      <c r="D211" s="244" t="s">
        <v>25</v>
      </c>
      <c r="E211" s="251">
        <v>457000</v>
      </c>
      <c r="F211" s="238">
        <v>1</v>
      </c>
      <c r="G211" s="240">
        <v>0</v>
      </c>
      <c r="H211" s="246">
        <f t="shared" si="21"/>
        <v>457000</v>
      </c>
      <c r="I211" s="447">
        <f t="shared" si="20"/>
        <v>1828000</v>
      </c>
    </row>
    <row r="212" spans="1:9" x14ac:dyDescent="0.25">
      <c r="A212" s="232">
        <v>324</v>
      </c>
      <c r="B212" s="339" t="s">
        <v>15</v>
      </c>
      <c r="C212" s="282" t="s">
        <v>104</v>
      </c>
      <c r="D212" s="257" t="s">
        <v>25</v>
      </c>
      <c r="E212" s="245">
        <v>271000</v>
      </c>
      <c r="F212" s="238">
        <v>1</v>
      </c>
      <c r="G212" s="240">
        <v>0</v>
      </c>
      <c r="H212" s="246">
        <f t="shared" si="21"/>
        <v>271000</v>
      </c>
      <c r="I212" s="447">
        <f t="shared" si="20"/>
        <v>1084000</v>
      </c>
    </row>
    <row r="213" spans="1:9" x14ac:dyDescent="0.25">
      <c r="A213" s="232">
        <v>325</v>
      </c>
      <c r="B213" s="339" t="s">
        <v>15</v>
      </c>
      <c r="C213" s="247" t="s">
        <v>38</v>
      </c>
      <c r="D213" s="244" t="s">
        <v>25</v>
      </c>
      <c r="E213" s="251">
        <v>1340971</v>
      </c>
      <c r="F213" s="238">
        <v>1</v>
      </c>
      <c r="G213" s="240">
        <v>0</v>
      </c>
      <c r="H213" s="246">
        <f t="shared" si="21"/>
        <v>1340971</v>
      </c>
      <c r="I213" s="447">
        <f t="shared" si="20"/>
        <v>5363884</v>
      </c>
    </row>
    <row r="214" spans="1:9" x14ac:dyDescent="0.25">
      <c r="A214" s="232">
        <v>326</v>
      </c>
      <c r="B214" s="339" t="s">
        <v>15</v>
      </c>
      <c r="C214" s="247" t="s">
        <v>107</v>
      </c>
      <c r="D214" s="244" t="s">
        <v>25</v>
      </c>
      <c r="E214" s="251">
        <v>476645</v>
      </c>
      <c r="F214" s="238">
        <v>1</v>
      </c>
      <c r="G214" s="240">
        <v>0</v>
      </c>
      <c r="H214" s="246">
        <f t="shared" si="21"/>
        <v>476645</v>
      </c>
      <c r="I214" s="447">
        <f t="shared" si="20"/>
        <v>1906580</v>
      </c>
    </row>
    <row r="215" spans="1:9" x14ac:dyDescent="0.25">
      <c r="A215" s="232">
        <v>327</v>
      </c>
      <c r="B215" s="339" t="s">
        <v>15</v>
      </c>
      <c r="C215" s="247" t="s">
        <v>26</v>
      </c>
      <c r="D215" s="244" t="s">
        <v>25</v>
      </c>
      <c r="E215" s="251">
        <v>1094800</v>
      </c>
      <c r="F215" s="238">
        <v>2</v>
      </c>
      <c r="G215" s="240">
        <v>0</v>
      </c>
      <c r="H215" s="246">
        <f t="shared" si="21"/>
        <v>2189600</v>
      </c>
      <c r="I215" s="447">
        <f t="shared" si="20"/>
        <v>8758400</v>
      </c>
    </row>
    <row r="216" spans="1:9" x14ac:dyDescent="0.25">
      <c r="A216" s="232">
        <v>328</v>
      </c>
      <c r="B216" s="339" t="s">
        <v>15</v>
      </c>
      <c r="C216" s="247" t="s">
        <v>23</v>
      </c>
      <c r="D216" s="244" t="s">
        <v>25</v>
      </c>
      <c r="E216" s="245">
        <v>1111210</v>
      </c>
      <c r="F216" s="238">
        <v>1</v>
      </c>
      <c r="G216" s="240">
        <v>0</v>
      </c>
      <c r="H216" s="246">
        <f t="shared" si="21"/>
        <v>1111210</v>
      </c>
      <c r="I216" s="447">
        <f t="shared" si="20"/>
        <v>4444840</v>
      </c>
    </row>
    <row r="217" spans="1:9" x14ac:dyDescent="0.25">
      <c r="A217" s="232">
        <v>329</v>
      </c>
      <c r="B217" s="339" t="s">
        <v>15</v>
      </c>
      <c r="C217" s="243" t="s">
        <v>161</v>
      </c>
      <c r="D217" s="244" t="s">
        <v>24</v>
      </c>
      <c r="E217" s="255">
        <v>5316</v>
      </c>
      <c r="F217" s="238">
        <v>4</v>
      </c>
      <c r="G217" s="240">
        <v>0</v>
      </c>
      <c r="H217" s="246">
        <f t="shared" si="21"/>
        <v>21264</v>
      </c>
      <c r="I217" s="447">
        <f t="shared" si="20"/>
        <v>85056</v>
      </c>
    </row>
    <row r="218" spans="1:9" x14ac:dyDescent="0.25">
      <c r="A218" s="232">
        <v>330</v>
      </c>
      <c r="B218" s="339" t="s">
        <v>15</v>
      </c>
      <c r="C218" s="250" t="s">
        <v>162</v>
      </c>
      <c r="D218" s="244" t="s">
        <v>25</v>
      </c>
      <c r="E218" s="255">
        <f>1000*1.2</f>
        <v>1200</v>
      </c>
      <c r="F218" s="238">
        <v>12</v>
      </c>
      <c r="G218" s="240">
        <v>0</v>
      </c>
      <c r="H218" s="246">
        <f t="shared" si="21"/>
        <v>14400</v>
      </c>
      <c r="I218" s="447">
        <f t="shared" si="20"/>
        <v>57600</v>
      </c>
    </row>
    <row r="219" spans="1:9" x14ac:dyDescent="0.25">
      <c r="A219" s="232">
        <v>331</v>
      </c>
      <c r="B219" s="339" t="s">
        <v>15</v>
      </c>
      <c r="C219" s="247" t="s">
        <v>21</v>
      </c>
      <c r="D219" s="244" t="s">
        <v>25</v>
      </c>
      <c r="E219" s="245">
        <v>10890</v>
      </c>
      <c r="F219" s="238">
        <v>3</v>
      </c>
      <c r="G219" s="240">
        <v>0</v>
      </c>
      <c r="H219" s="246">
        <f t="shared" si="21"/>
        <v>32670</v>
      </c>
      <c r="I219" s="447">
        <f t="shared" si="20"/>
        <v>130680</v>
      </c>
    </row>
    <row r="220" spans="1:9" x14ac:dyDescent="0.25">
      <c r="A220" s="232">
        <v>332</v>
      </c>
      <c r="B220" s="359" t="s">
        <v>15</v>
      </c>
      <c r="C220" s="375" t="s">
        <v>31</v>
      </c>
      <c r="D220" s="379" t="s">
        <v>25</v>
      </c>
      <c r="E220" s="391">
        <v>78016.400000000009</v>
      </c>
      <c r="F220" s="401">
        <v>1</v>
      </c>
      <c r="G220" s="408">
        <v>0</v>
      </c>
      <c r="H220" s="415">
        <f t="shared" si="21"/>
        <v>78016.400000000009</v>
      </c>
      <c r="I220" s="447">
        <f t="shared" si="20"/>
        <v>312065.60000000003</v>
      </c>
    </row>
    <row r="221" spans="1:9" x14ac:dyDescent="0.25">
      <c r="A221" s="232">
        <v>333</v>
      </c>
      <c r="B221" s="339" t="s">
        <v>15</v>
      </c>
      <c r="C221" s="247" t="s">
        <v>22</v>
      </c>
      <c r="D221" s="244" t="s">
        <v>24</v>
      </c>
      <c r="E221" s="251">
        <v>7500</v>
      </c>
      <c r="F221" s="238">
        <v>4</v>
      </c>
      <c r="G221" s="240">
        <v>0</v>
      </c>
      <c r="H221" s="246">
        <f t="shared" si="21"/>
        <v>30000</v>
      </c>
      <c r="I221" s="447">
        <f t="shared" si="20"/>
        <v>120000</v>
      </c>
    </row>
    <row r="222" spans="1:9" x14ac:dyDescent="0.25">
      <c r="A222" s="232">
        <v>334</v>
      </c>
      <c r="B222" s="339" t="s">
        <v>15</v>
      </c>
      <c r="C222" s="247" t="s">
        <v>95</v>
      </c>
      <c r="D222" s="244" t="s">
        <v>25</v>
      </c>
      <c r="E222" s="245">
        <v>8200</v>
      </c>
      <c r="F222" s="338">
        <v>12</v>
      </c>
      <c r="G222" s="404">
        <v>0</v>
      </c>
      <c r="H222" s="246">
        <f t="shared" si="21"/>
        <v>98400</v>
      </c>
      <c r="I222" s="447">
        <f t="shared" si="20"/>
        <v>393600</v>
      </c>
    </row>
    <row r="223" spans="1:9" x14ac:dyDescent="0.25">
      <c r="A223" s="232">
        <v>335</v>
      </c>
      <c r="B223" s="339" t="s">
        <v>15</v>
      </c>
      <c r="C223" s="256" t="s">
        <v>63</v>
      </c>
      <c r="D223" s="257" t="s">
        <v>25</v>
      </c>
      <c r="E223" s="258">
        <v>20000</v>
      </c>
      <c r="F223" s="238">
        <v>6</v>
      </c>
      <c r="G223" s="240">
        <v>0.1</v>
      </c>
      <c r="H223" s="241">
        <f>+E223*F223*(1+G223)</f>
        <v>132000</v>
      </c>
      <c r="I223" s="447">
        <f t="shared" si="20"/>
        <v>528000</v>
      </c>
    </row>
    <row r="224" spans="1:9" x14ac:dyDescent="0.25">
      <c r="A224" s="232">
        <v>336</v>
      </c>
      <c r="B224" s="339" t="s">
        <v>15</v>
      </c>
      <c r="C224" s="243" t="s">
        <v>174</v>
      </c>
      <c r="D224" s="259" t="s">
        <v>25</v>
      </c>
      <c r="E224" s="245">
        <v>700</v>
      </c>
      <c r="F224" s="238">
        <v>6</v>
      </c>
      <c r="G224" s="240">
        <v>0</v>
      </c>
      <c r="H224" s="246">
        <f t="shared" ref="H224:H235" si="22">+E224*F224</f>
        <v>4200</v>
      </c>
      <c r="I224" s="447">
        <f t="shared" si="20"/>
        <v>16800</v>
      </c>
    </row>
    <row r="225" spans="1:11" x14ac:dyDescent="0.25">
      <c r="A225" s="232">
        <v>337</v>
      </c>
      <c r="B225" s="339" t="s">
        <v>15</v>
      </c>
      <c r="C225" s="247" t="s">
        <v>28</v>
      </c>
      <c r="D225" s="244" t="s">
        <v>24</v>
      </c>
      <c r="E225" s="245">
        <v>3880</v>
      </c>
      <c r="F225" s="238">
        <v>9</v>
      </c>
      <c r="G225" s="240">
        <v>0</v>
      </c>
      <c r="H225" s="246">
        <f t="shared" si="22"/>
        <v>34920</v>
      </c>
      <c r="I225" s="447">
        <f t="shared" si="20"/>
        <v>139680</v>
      </c>
    </row>
    <row r="226" spans="1:11" x14ac:dyDescent="0.25">
      <c r="A226" s="232">
        <v>338</v>
      </c>
      <c r="B226" s="347" t="s">
        <v>15</v>
      </c>
      <c r="C226" s="363" t="s">
        <v>173</v>
      </c>
      <c r="D226" s="378" t="s">
        <v>25</v>
      </c>
      <c r="E226" s="386">
        <v>16010.800000000001</v>
      </c>
      <c r="F226" s="238">
        <v>1</v>
      </c>
      <c r="G226" s="240">
        <v>0</v>
      </c>
      <c r="H226" s="246">
        <f t="shared" si="22"/>
        <v>16010.800000000001</v>
      </c>
      <c r="I226" s="447">
        <f t="shared" si="20"/>
        <v>64043.200000000004</v>
      </c>
    </row>
    <row r="227" spans="1:11" x14ac:dyDescent="0.25">
      <c r="A227" s="232">
        <v>339</v>
      </c>
      <c r="B227" s="339" t="s">
        <v>15</v>
      </c>
      <c r="C227" s="247" t="s">
        <v>29</v>
      </c>
      <c r="D227" s="244" t="s">
        <v>24</v>
      </c>
      <c r="E227" s="251">
        <v>6870</v>
      </c>
      <c r="F227" s="238">
        <v>2</v>
      </c>
      <c r="G227" s="240">
        <v>0</v>
      </c>
      <c r="H227" s="246">
        <f t="shared" si="22"/>
        <v>13740</v>
      </c>
      <c r="I227" s="447">
        <f t="shared" si="20"/>
        <v>54960</v>
      </c>
    </row>
    <row r="228" spans="1:11" x14ac:dyDescent="0.25">
      <c r="A228" s="232">
        <v>340</v>
      </c>
      <c r="B228" s="347" t="s">
        <v>15</v>
      </c>
      <c r="C228" s="362" t="s">
        <v>36</v>
      </c>
      <c r="D228" s="244" t="s">
        <v>24</v>
      </c>
      <c r="E228" s="251">
        <v>6000</v>
      </c>
      <c r="F228" s="238">
        <v>10</v>
      </c>
      <c r="G228" s="240">
        <v>0</v>
      </c>
      <c r="H228" s="246">
        <f t="shared" si="22"/>
        <v>60000</v>
      </c>
      <c r="I228" s="447">
        <f t="shared" si="20"/>
        <v>240000</v>
      </c>
    </row>
    <row r="229" spans="1:11" x14ac:dyDescent="0.25">
      <c r="A229" s="232">
        <v>341</v>
      </c>
      <c r="B229" s="339" t="s">
        <v>15</v>
      </c>
      <c r="C229" s="247" t="s">
        <v>58</v>
      </c>
      <c r="D229" s="244" t="s">
        <v>25</v>
      </c>
      <c r="E229" s="251">
        <v>42920</v>
      </c>
      <c r="F229" s="238">
        <v>1</v>
      </c>
      <c r="G229" s="240">
        <v>0</v>
      </c>
      <c r="H229" s="246">
        <f t="shared" si="22"/>
        <v>42920</v>
      </c>
      <c r="I229" s="447">
        <f t="shared" si="20"/>
        <v>171680</v>
      </c>
    </row>
    <row r="230" spans="1:11" x14ac:dyDescent="0.25">
      <c r="A230" s="232">
        <v>342</v>
      </c>
      <c r="B230" s="339" t="s">
        <v>15</v>
      </c>
      <c r="C230" s="247" t="s">
        <v>57</v>
      </c>
      <c r="D230" s="244" t="s">
        <v>25</v>
      </c>
      <c r="E230" s="251">
        <v>126303</v>
      </c>
      <c r="F230" s="238">
        <v>2</v>
      </c>
      <c r="G230" s="240">
        <v>0</v>
      </c>
      <c r="H230" s="246">
        <f t="shared" si="22"/>
        <v>252606</v>
      </c>
      <c r="I230" s="447">
        <f t="shared" si="20"/>
        <v>1010424</v>
      </c>
    </row>
    <row r="231" spans="1:11" x14ac:dyDescent="0.25">
      <c r="A231" s="232">
        <v>343</v>
      </c>
      <c r="B231" s="339" t="s">
        <v>15</v>
      </c>
      <c r="C231" s="247" t="s">
        <v>175</v>
      </c>
      <c r="D231" s="253" t="s">
        <v>96</v>
      </c>
      <c r="E231" s="254">
        <v>23880</v>
      </c>
      <c r="F231" s="238">
        <v>0.5</v>
      </c>
      <c r="G231" s="240">
        <v>0</v>
      </c>
      <c r="H231" s="246">
        <f t="shared" si="22"/>
        <v>11940</v>
      </c>
      <c r="I231" s="447">
        <f t="shared" si="20"/>
        <v>47760</v>
      </c>
    </row>
    <row r="232" spans="1:11" x14ac:dyDescent="0.25">
      <c r="A232" s="232">
        <v>344</v>
      </c>
      <c r="B232" s="347" t="s">
        <v>15</v>
      </c>
      <c r="C232" s="247" t="s">
        <v>150</v>
      </c>
      <c r="D232" s="244" t="s">
        <v>25</v>
      </c>
      <c r="E232" s="251">
        <v>5500</v>
      </c>
      <c r="F232" s="238">
        <v>2</v>
      </c>
      <c r="G232" s="240">
        <v>0</v>
      </c>
      <c r="H232" s="246">
        <f t="shared" si="22"/>
        <v>11000</v>
      </c>
      <c r="I232" s="447">
        <f t="shared" si="20"/>
        <v>44000</v>
      </c>
    </row>
    <row r="233" spans="1:11" x14ac:dyDescent="0.25">
      <c r="A233" s="232">
        <v>345</v>
      </c>
      <c r="B233" s="347" t="s">
        <v>15</v>
      </c>
      <c r="C233" s="262" t="s">
        <v>178</v>
      </c>
      <c r="D233" s="244" t="s">
        <v>24</v>
      </c>
      <c r="E233" s="251">
        <v>19900</v>
      </c>
      <c r="F233" s="263">
        <v>2</v>
      </c>
      <c r="G233" s="240">
        <v>0</v>
      </c>
      <c r="H233" s="246">
        <f t="shared" si="22"/>
        <v>39800</v>
      </c>
      <c r="I233" s="447">
        <f t="shared" si="20"/>
        <v>159200</v>
      </c>
    </row>
    <row r="234" spans="1:11" x14ac:dyDescent="0.25">
      <c r="A234" s="232">
        <v>346</v>
      </c>
      <c r="B234" s="360" t="s">
        <v>15</v>
      </c>
      <c r="C234" s="367" t="s">
        <v>177</v>
      </c>
      <c r="D234" s="381" t="s">
        <v>24</v>
      </c>
      <c r="E234" s="396">
        <v>8000</v>
      </c>
      <c r="F234" s="402">
        <v>3</v>
      </c>
      <c r="G234" s="407">
        <v>0</v>
      </c>
      <c r="H234" s="246">
        <f t="shared" si="22"/>
        <v>24000</v>
      </c>
      <c r="I234" s="447">
        <f t="shared" si="20"/>
        <v>96000</v>
      </c>
    </row>
    <row r="235" spans="1:11" x14ac:dyDescent="0.25">
      <c r="A235" s="232">
        <v>347</v>
      </c>
      <c r="B235" s="358" t="s">
        <v>15</v>
      </c>
      <c r="C235" s="364" t="s">
        <v>27</v>
      </c>
      <c r="D235" s="380" t="s">
        <v>25</v>
      </c>
      <c r="E235" s="388">
        <v>250000</v>
      </c>
      <c r="F235" s="293">
        <v>1</v>
      </c>
      <c r="G235" s="405">
        <v>0</v>
      </c>
      <c r="H235" s="412">
        <f t="shared" si="22"/>
        <v>250000</v>
      </c>
      <c r="I235" s="447">
        <f t="shared" si="20"/>
        <v>1000000</v>
      </c>
    </row>
    <row r="236" spans="1:11" x14ac:dyDescent="0.25">
      <c r="A236" s="232">
        <v>351</v>
      </c>
      <c r="B236" s="358" t="s">
        <v>16</v>
      </c>
      <c r="C236" s="367" t="s">
        <v>41</v>
      </c>
      <c r="D236" s="293" t="s">
        <v>46</v>
      </c>
      <c r="E236" s="387">
        <v>350000</v>
      </c>
      <c r="F236" s="238">
        <v>1</v>
      </c>
      <c r="G236" s="240">
        <v>0</v>
      </c>
      <c r="H236" s="241">
        <f t="shared" ref="H236:H241" si="23">IF(E236="-","-",E236*F236*(1+G236))</f>
        <v>350000</v>
      </c>
      <c r="I236" s="447">
        <f t="shared" si="20"/>
        <v>1400000</v>
      </c>
    </row>
    <row r="237" spans="1:11" ht="30" x14ac:dyDescent="0.25">
      <c r="A237" s="232">
        <v>352</v>
      </c>
      <c r="B237" s="358" t="s">
        <v>16</v>
      </c>
      <c r="C237" s="419" t="s">
        <v>184</v>
      </c>
      <c r="D237" s="293" t="s">
        <v>46</v>
      </c>
      <c r="E237" s="420">
        <v>33333</v>
      </c>
      <c r="F237" s="293">
        <v>0.64</v>
      </c>
      <c r="G237" s="405">
        <v>0</v>
      </c>
      <c r="H237" s="410">
        <f t="shared" si="23"/>
        <v>21333.119999999999</v>
      </c>
      <c r="I237" s="447">
        <f t="shared" si="20"/>
        <v>85332.479999999996</v>
      </c>
    </row>
    <row r="238" spans="1:11" x14ac:dyDescent="0.25">
      <c r="A238" s="232">
        <v>353</v>
      </c>
      <c r="B238" s="358" t="s">
        <v>16</v>
      </c>
      <c r="C238" s="364" t="s">
        <v>73</v>
      </c>
      <c r="D238" s="293" t="s">
        <v>111</v>
      </c>
      <c r="E238" s="420">
        <v>121666</v>
      </c>
      <c r="F238" s="293">
        <v>5</v>
      </c>
      <c r="G238" s="405">
        <v>0</v>
      </c>
      <c r="H238" s="410">
        <f t="shared" si="23"/>
        <v>608330</v>
      </c>
      <c r="I238" s="447">
        <f t="shared" si="20"/>
        <v>2433320</v>
      </c>
    </row>
    <row r="239" spans="1:11" x14ac:dyDescent="0.25">
      <c r="A239" s="232">
        <v>357</v>
      </c>
      <c r="B239" s="358" t="s">
        <v>17</v>
      </c>
      <c r="C239" s="364" t="s">
        <v>33</v>
      </c>
      <c r="D239" s="293" t="s">
        <v>59</v>
      </c>
      <c r="E239" s="387">
        <v>140000</v>
      </c>
      <c r="F239" s="553">
        <v>6</v>
      </c>
      <c r="G239" s="405">
        <v>0</v>
      </c>
      <c r="H239" s="410">
        <f t="shared" si="23"/>
        <v>840000</v>
      </c>
      <c r="I239" s="447">
        <f t="shared" si="20"/>
        <v>3360000</v>
      </c>
      <c r="K239" s="283" t="s">
        <v>326</v>
      </c>
    </row>
    <row r="240" spans="1:11" ht="30" x14ac:dyDescent="0.25">
      <c r="A240" s="232">
        <v>358</v>
      </c>
      <c r="B240" s="358" t="s">
        <v>17</v>
      </c>
      <c r="C240" s="364" t="s">
        <v>43</v>
      </c>
      <c r="D240" s="293" t="s">
        <v>59</v>
      </c>
      <c r="E240" s="387">
        <v>160854</v>
      </c>
      <c r="F240" s="293">
        <v>4</v>
      </c>
      <c r="G240" s="405">
        <v>0</v>
      </c>
      <c r="H240" s="410">
        <f t="shared" si="23"/>
        <v>643416</v>
      </c>
      <c r="I240" s="447">
        <f t="shared" si="20"/>
        <v>2573664</v>
      </c>
    </row>
    <row r="241" spans="1:10" x14ac:dyDescent="0.25">
      <c r="A241" s="232">
        <v>359</v>
      </c>
      <c r="B241" s="359" t="s">
        <v>17</v>
      </c>
      <c r="C241" s="365" t="s">
        <v>34</v>
      </c>
      <c r="D241" s="382" t="s">
        <v>59</v>
      </c>
      <c r="E241" s="393">
        <v>150000</v>
      </c>
      <c r="F241" s="382">
        <v>4</v>
      </c>
      <c r="G241" s="406">
        <v>0</v>
      </c>
      <c r="H241" s="414">
        <f t="shared" si="23"/>
        <v>600000</v>
      </c>
      <c r="I241" s="447">
        <f t="shared" si="20"/>
        <v>2400000</v>
      </c>
    </row>
    <row r="242" spans="1:10" s="450" customFormat="1" ht="60" x14ac:dyDescent="0.25">
      <c r="A242" s="450">
        <v>369</v>
      </c>
      <c r="B242" s="357" t="s">
        <v>207</v>
      </c>
      <c r="C242" s="449" t="s">
        <v>198</v>
      </c>
      <c r="D242" s="449"/>
      <c r="E242" s="449"/>
      <c r="F242" s="449"/>
      <c r="G242" s="449"/>
      <c r="H242" s="233">
        <v>7</v>
      </c>
      <c r="I242" s="450">
        <v>6</v>
      </c>
      <c r="J242" s="451">
        <f>SUM(I243:I285)</f>
        <v>97078139.690400004</v>
      </c>
    </row>
    <row r="243" spans="1:10" ht="14.25" customHeight="1" x14ac:dyDescent="0.25">
      <c r="A243" s="232">
        <v>372</v>
      </c>
      <c r="B243" s="339" t="s">
        <v>5</v>
      </c>
      <c r="C243" s="281" t="s">
        <v>71</v>
      </c>
      <c r="D243" s="238" t="s">
        <v>46</v>
      </c>
      <c r="E243" s="239">
        <v>50000</v>
      </c>
      <c r="F243" s="238">
        <v>1.452</v>
      </c>
      <c r="G243" s="240">
        <v>0</v>
      </c>
      <c r="H243" s="241">
        <f>+E243*F243*(1+G243)</f>
        <v>72600</v>
      </c>
      <c r="I243" s="447">
        <f>H243*$I$242</f>
        <v>435600</v>
      </c>
    </row>
    <row r="244" spans="1:10" x14ac:dyDescent="0.25">
      <c r="A244" s="232">
        <v>373</v>
      </c>
      <c r="B244" s="339" t="s">
        <v>5</v>
      </c>
      <c r="C244" s="237" t="s">
        <v>20</v>
      </c>
      <c r="D244" s="238" t="s">
        <v>72</v>
      </c>
      <c r="E244" s="239">
        <f>'APU07'!H59*5%</f>
        <v>79276.5</v>
      </c>
      <c r="F244" s="238">
        <v>1</v>
      </c>
      <c r="G244" s="240">
        <v>0</v>
      </c>
      <c r="H244" s="241">
        <f>+E244*F244*(1+G244)</f>
        <v>79276.5</v>
      </c>
      <c r="I244" s="447">
        <f t="shared" ref="I244:I285" si="24">H244*$I$242</f>
        <v>475659</v>
      </c>
    </row>
    <row r="245" spans="1:10" x14ac:dyDescent="0.25">
      <c r="A245" s="232">
        <v>374</v>
      </c>
      <c r="B245" s="339" t="s">
        <v>5</v>
      </c>
      <c r="C245" s="281" t="s">
        <v>70</v>
      </c>
      <c r="D245" s="238" t="s">
        <v>46</v>
      </c>
      <c r="E245" s="239">
        <v>97038</v>
      </c>
      <c r="F245" s="238">
        <v>2</v>
      </c>
      <c r="G245" s="240">
        <v>0</v>
      </c>
      <c r="H245" s="241">
        <f>+E245*F245*(1+G245)</f>
        <v>194076</v>
      </c>
      <c r="I245" s="447">
        <f t="shared" si="24"/>
        <v>1164456</v>
      </c>
    </row>
    <row r="246" spans="1:10" x14ac:dyDescent="0.25">
      <c r="A246" s="232">
        <v>375</v>
      </c>
      <c r="B246" s="339" t="s">
        <v>5</v>
      </c>
      <c r="C246" s="281" t="s">
        <v>54</v>
      </c>
      <c r="D246" s="238" t="s">
        <v>46</v>
      </c>
      <c r="E246" s="239">
        <v>10000</v>
      </c>
      <c r="F246" s="238">
        <v>1.452</v>
      </c>
      <c r="G246" s="240">
        <v>0</v>
      </c>
      <c r="H246" s="241">
        <f>+E246*F246*(1+G246)</f>
        <v>14520</v>
      </c>
      <c r="I246" s="447">
        <f t="shared" si="24"/>
        <v>87120</v>
      </c>
    </row>
    <row r="247" spans="1:10" ht="45" x14ac:dyDescent="0.25">
      <c r="A247" s="232">
        <v>380</v>
      </c>
      <c r="B247" s="339" t="s">
        <v>15</v>
      </c>
      <c r="C247" s="300" t="s">
        <v>152</v>
      </c>
      <c r="D247" s="244" t="s">
        <v>25</v>
      </c>
      <c r="E247" s="301">
        <v>740300.00000000012</v>
      </c>
      <c r="F247" s="238">
        <v>1</v>
      </c>
      <c r="G247" s="240">
        <v>0</v>
      </c>
      <c r="H247" s="246">
        <f t="shared" ref="H247:H279" si="25">+E247*F247</f>
        <v>740300.00000000012</v>
      </c>
      <c r="I247" s="447">
        <f t="shared" si="24"/>
        <v>4441800.0000000009</v>
      </c>
    </row>
    <row r="248" spans="1:10" ht="30" x14ac:dyDescent="0.25">
      <c r="A248" s="232">
        <v>381</v>
      </c>
      <c r="B248" s="339" t="s">
        <v>15</v>
      </c>
      <c r="C248" s="548" t="s">
        <v>191</v>
      </c>
      <c r="D248" s="244" t="s">
        <v>25</v>
      </c>
      <c r="E248" s="248">
        <f>105000*1.12</f>
        <v>117600.00000000001</v>
      </c>
      <c r="F248" s="238">
        <v>1</v>
      </c>
      <c r="G248" s="240">
        <v>0</v>
      </c>
      <c r="H248" s="246">
        <f t="shared" si="25"/>
        <v>117600.00000000001</v>
      </c>
      <c r="I248" s="447">
        <f t="shared" si="24"/>
        <v>705600.00000000012</v>
      </c>
    </row>
    <row r="249" spans="1:10" x14ac:dyDescent="0.25">
      <c r="A249" s="232">
        <v>382</v>
      </c>
      <c r="B249" s="339" t="s">
        <v>15</v>
      </c>
      <c r="C249" s="548" t="s">
        <v>192</v>
      </c>
      <c r="D249" s="244" t="s">
        <v>25</v>
      </c>
      <c r="E249" s="248">
        <f>13900*1.2</f>
        <v>16680</v>
      </c>
      <c r="F249" s="238">
        <v>1</v>
      </c>
      <c r="G249" s="240">
        <v>0</v>
      </c>
      <c r="H249" s="246">
        <f t="shared" si="25"/>
        <v>16680</v>
      </c>
      <c r="I249" s="447">
        <f t="shared" si="24"/>
        <v>100080</v>
      </c>
    </row>
    <row r="250" spans="1:10" ht="30" x14ac:dyDescent="0.25">
      <c r="A250" s="232">
        <v>383</v>
      </c>
      <c r="B250" s="347" t="s">
        <v>15</v>
      </c>
      <c r="C250" s="431" t="s">
        <v>148</v>
      </c>
      <c r="D250" s="437" t="s">
        <v>25</v>
      </c>
      <c r="E250" s="439">
        <v>512800</v>
      </c>
      <c r="F250" s="238">
        <v>2</v>
      </c>
      <c r="G250" s="240">
        <v>0</v>
      </c>
      <c r="H250" s="246">
        <f t="shared" si="25"/>
        <v>1025600</v>
      </c>
      <c r="I250" s="447">
        <f t="shared" si="24"/>
        <v>6153600</v>
      </c>
    </row>
    <row r="251" spans="1:10" x14ac:dyDescent="0.25">
      <c r="A251" s="232">
        <v>384</v>
      </c>
      <c r="B251" s="339" t="s">
        <v>15</v>
      </c>
      <c r="C251" s="247" t="s">
        <v>37</v>
      </c>
      <c r="D251" s="244" t="s">
        <v>25</v>
      </c>
      <c r="E251" s="251">
        <v>864900</v>
      </c>
      <c r="F251" s="238">
        <v>1</v>
      </c>
      <c r="G251" s="240">
        <v>0</v>
      </c>
      <c r="H251" s="246">
        <f t="shared" si="25"/>
        <v>864900</v>
      </c>
      <c r="I251" s="447">
        <f t="shared" si="24"/>
        <v>5189400</v>
      </c>
    </row>
    <row r="252" spans="1:10" x14ac:dyDescent="0.25">
      <c r="A252" s="232">
        <v>385</v>
      </c>
      <c r="B252" s="339" t="s">
        <v>15</v>
      </c>
      <c r="C252" s="247" t="s">
        <v>35</v>
      </c>
      <c r="D252" s="244" t="s">
        <v>25</v>
      </c>
      <c r="E252" s="251">
        <v>322000</v>
      </c>
      <c r="F252" s="238">
        <v>1</v>
      </c>
      <c r="G252" s="240">
        <v>0</v>
      </c>
      <c r="H252" s="246">
        <f t="shared" si="25"/>
        <v>322000</v>
      </c>
      <c r="I252" s="447">
        <f t="shared" si="24"/>
        <v>1932000</v>
      </c>
    </row>
    <row r="253" spans="1:10" x14ac:dyDescent="0.25">
      <c r="A253" s="232">
        <v>386</v>
      </c>
      <c r="B253" s="339" t="s">
        <v>15</v>
      </c>
      <c r="C253" s="247" t="s">
        <v>181</v>
      </c>
      <c r="D253" s="244" t="s">
        <v>25</v>
      </c>
      <c r="E253" s="245">
        <v>451256.75840000005</v>
      </c>
      <c r="F253" s="238">
        <v>1</v>
      </c>
      <c r="G253" s="240">
        <v>0</v>
      </c>
      <c r="H253" s="246">
        <f t="shared" si="25"/>
        <v>451256.75840000005</v>
      </c>
      <c r="I253" s="447">
        <f t="shared" si="24"/>
        <v>2707540.5504000001</v>
      </c>
    </row>
    <row r="254" spans="1:10" ht="30" x14ac:dyDescent="0.25">
      <c r="A254" s="232">
        <v>387</v>
      </c>
      <c r="B254" s="339" t="s">
        <v>15</v>
      </c>
      <c r="C254" s="247" t="s">
        <v>100</v>
      </c>
      <c r="D254" s="244" t="s">
        <v>25</v>
      </c>
      <c r="E254" s="245">
        <v>1105000</v>
      </c>
      <c r="F254" s="238">
        <v>1</v>
      </c>
      <c r="G254" s="240">
        <v>0</v>
      </c>
      <c r="H254" s="246">
        <f t="shared" si="25"/>
        <v>1105000</v>
      </c>
      <c r="I254" s="447">
        <f t="shared" si="24"/>
        <v>6630000</v>
      </c>
    </row>
    <row r="255" spans="1:10" ht="30" x14ac:dyDescent="0.25">
      <c r="A255" s="232">
        <v>388</v>
      </c>
      <c r="B255" s="339" t="s">
        <v>15</v>
      </c>
      <c r="C255" s="247" t="s">
        <v>185</v>
      </c>
      <c r="D255" s="244" t="s">
        <v>25</v>
      </c>
      <c r="E255" s="251">
        <v>457000</v>
      </c>
      <c r="F255" s="238">
        <v>1</v>
      </c>
      <c r="G255" s="240">
        <v>0</v>
      </c>
      <c r="H255" s="246">
        <f t="shared" si="25"/>
        <v>457000</v>
      </c>
      <c r="I255" s="447">
        <f t="shared" si="24"/>
        <v>2742000</v>
      </c>
    </row>
    <row r="256" spans="1:10" x14ac:dyDescent="0.25">
      <c r="A256" s="232">
        <v>389</v>
      </c>
      <c r="B256" s="339" t="s">
        <v>15</v>
      </c>
      <c r="C256" s="282" t="s">
        <v>104</v>
      </c>
      <c r="D256" s="257" t="s">
        <v>25</v>
      </c>
      <c r="E256" s="245">
        <v>271000</v>
      </c>
      <c r="F256" s="238">
        <v>1</v>
      </c>
      <c r="G256" s="240">
        <v>0</v>
      </c>
      <c r="H256" s="246">
        <f t="shared" si="25"/>
        <v>271000</v>
      </c>
      <c r="I256" s="447">
        <f t="shared" si="24"/>
        <v>1626000</v>
      </c>
    </row>
    <row r="257" spans="1:9" x14ac:dyDescent="0.25">
      <c r="A257" s="232">
        <v>390</v>
      </c>
      <c r="B257" s="339" t="s">
        <v>15</v>
      </c>
      <c r="C257" s="247" t="s">
        <v>38</v>
      </c>
      <c r="D257" s="244" t="s">
        <v>25</v>
      </c>
      <c r="E257" s="251">
        <v>1340971</v>
      </c>
      <c r="F257" s="238">
        <v>1</v>
      </c>
      <c r="G257" s="240">
        <v>0</v>
      </c>
      <c r="H257" s="246">
        <f t="shared" si="25"/>
        <v>1340971</v>
      </c>
      <c r="I257" s="447">
        <f t="shared" si="24"/>
        <v>8045826</v>
      </c>
    </row>
    <row r="258" spans="1:9" x14ac:dyDescent="0.25">
      <c r="A258" s="232">
        <v>391</v>
      </c>
      <c r="B258" s="339" t="s">
        <v>15</v>
      </c>
      <c r="C258" s="247" t="s">
        <v>107</v>
      </c>
      <c r="D258" s="244" t="s">
        <v>25</v>
      </c>
      <c r="E258" s="251">
        <v>476645</v>
      </c>
      <c r="F258" s="238">
        <v>1</v>
      </c>
      <c r="G258" s="240">
        <v>0</v>
      </c>
      <c r="H258" s="246">
        <f t="shared" si="25"/>
        <v>476645</v>
      </c>
      <c r="I258" s="447">
        <f t="shared" si="24"/>
        <v>2859870</v>
      </c>
    </row>
    <row r="259" spans="1:9" x14ac:dyDescent="0.25">
      <c r="A259" s="232">
        <v>392</v>
      </c>
      <c r="B259" s="339" t="s">
        <v>15</v>
      </c>
      <c r="C259" s="247" t="s">
        <v>58</v>
      </c>
      <c r="D259" s="244" t="s">
        <v>25</v>
      </c>
      <c r="E259" s="251">
        <v>42920</v>
      </c>
      <c r="F259" s="238">
        <v>1</v>
      </c>
      <c r="G259" s="240">
        <v>0</v>
      </c>
      <c r="H259" s="246">
        <f t="shared" si="25"/>
        <v>42920</v>
      </c>
      <c r="I259" s="447">
        <f t="shared" si="24"/>
        <v>257520</v>
      </c>
    </row>
    <row r="260" spans="1:9" x14ac:dyDescent="0.25">
      <c r="A260" s="232">
        <v>393</v>
      </c>
      <c r="B260" s="339" t="s">
        <v>15</v>
      </c>
      <c r="C260" s="247" t="s">
        <v>57</v>
      </c>
      <c r="D260" s="244" t="s">
        <v>25</v>
      </c>
      <c r="E260" s="251">
        <v>126303</v>
      </c>
      <c r="F260" s="238">
        <v>2</v>
      </c>
      <c r="G260" s="240">
        <v>0</v>
      </c>
      <c r="H260" s="246">
        <f t="shared" si="25"/>
        <v>252606</v>
      </c>
      <c r="I260" s="447">
        <f t="shared" si="24"/>
        <v>1515636</v>
      </c>
    </row>
    <row r="261" spans="1:9" x14ac:dyDescent="0.25">
      <c r="A261" s="232">
        <v>394</v>
      </c>
      <c r="B261" s="339" t="s">
        <v>15</v>
      </c>
      <c r="C261" s="247" t="s">
        <v>175</v>
      </c>
      <c r="D261" s="253" t="s">
        <v>96</v>
      </c>
      <c r="E261" s="254">
        <v>23880</v>
      </c>
      <c r="F261" s="238">
        <v>0.5</v>
      </c>
      <c r="G261" s="240">
        <v>0</v>
      </c>
      <c r="H261" s="246">
        <f t="shared" si="25"/>
        <v>11940</v>
      </c>
      <c r="I261" s="447">
        <f t="shared" si="24"/>
        <v>71640</v>
      </c>
    </row>
    <row r="262" spans="1:9" x14ac:dyDescent="0.25">
      <c r="A262" s="232">
        <v>395</v>
      </c>
      <c r="B262" s="339" t="s">
        <v>15</v>
      </c>
      <c r="C262" s="247" t="s">
        <v>26</v>
      </c>
      <c r="D262" s="244" t="s">
        <v>25</v>
      </c>
      <c r="E262" s="251">
        <v>1094800</v>
      </c>
      <c r="F262" s="238">
        <v>2</v>
      </c>
      <c r="G262" s="240">
        <v>0</v>
      </c>
      <c r="H262" s="246">
        <f t="shared" si="25"/>
        <v>2189600</v>
      </c>
      <c r="I262" s="447">
        <f t="shared" si="24"/>
        <v>13137600</v>
      </c>
    </row>
    <row r="263" spans="1:9" x14ac:dyDescent="0.25">
      <c r="A263" s="232">
        <v>396</v>
      </c>
      <c r="B263" s="339" t="s">
        <v>15</v>
      </c>
      <c r="C263" s="247" t="s">
        <v>23</v>
      </c>
      <c r="D263" s="244" t="s">
        <v>25</v>
      </c>
      <c r="E263" s="245">
        <v>1111210</v>
      </c>
      <c r="F263" s="238">
        <v>1</v>
      </c>
      <c r="G263" s="240">
        <v>0</v>
      </c>
      <c r="H263" s="246">
        <f t="shared" si="25"/>
        <v>1111210</v>
      </c>
      <c r="I263" s="447">
        <f t="shared" si="24"/>
        <v>6667260</v>
      </c>
    </row>
    <row r="264" spans="1:9" x14ac:dyDescent="0.25">
      <c r="A264" s="232">
        <v>397</v>
      </c>
      <c r="B264" s="339" t="s">
        <v>15</v>
      </c>
      <c r="C264" s="243" t="s">
        <v>161</v>
      </c>
      <c r="D264" s="244" t="s">
        <v>24</v>
      </c>
      <c r="E264" s="255">
        <v>5316</v>
      </c>
      <c r="F264" s="238">
        <v>4</v>
      </c>
      <c r="G264" s="240">
        <v>0</v>
      </c>
      <c r="H264" s="246">
        <f t="shared" si="25"/>
        <v>21264</v>
      </c>
      <c r="I264" s="447">
        <f t="shared" si="24"/>
        <v>127584</v>
      </c>
    </row>
    <row r="265" spans="1:9" x14ac:dyDescent="0.25">
      <c r="A265" s="232">
        <v>398</v>
      </c>
      <c r="B265" s="339" t="s">
        <v>15</v>
      </c>
      <c r="C265" s="250" t="s">
        <v>162</v>
      </c>
      <c r="D265" s="244" t="s">
        <v>25</v>
      </c>
      <c r="E265" s="255">
        <f>1000*1.2</f>
        <v>1200</v>
      </c>
      <c r="F265" s="238">
        <v>12</v>
      </c>
      <c r="G265" s="240">
        <v>0</v>
      </c>
      <c r="H265" s="246">
        <f t="shared" si="25"/>
        <v>14400</v>
      </c>
      <c r="I265" s="447">
        <f t="shared" si="24"/>
        <v>86400</v>
      </c>
    </row>
    <row r="266" spans="1:9" x14ac:dyDescent="0.25">
      <c r="A266" s="232">
        <v>399</v>
      </c>
      <c r="B266" s="339" t="s">
        <v>15</v>
      </c>
      <c r="C266" s="247" t="s">
        <v>103</v>
      </c>
      <c r="D266" s="244" t="s">
        <v>25</v>
      </c>
      <c r="E266" s="245">
        <v>10890</v>
      </c>
      <c r="F266" s="238">
        <v>2</v>
      </c>
      <c r="G266" s="240">
        <v>0</v>
      </c>
      <c r="H266" s="246">
        <f t="shared" si="25"/>
        <v>21780</v>
      </c>
      <c r="I266" s="447">
        <f t="shared" si="24"/>
        <v>130680</v>
      </c>
    </row>
    <row r="267" spans="1:9" x14ac:dyDescent="0.25">
      <c r="A267" s="232">
        <v>400</v>
      </c>
      <c r="B267" s="339" t="s">
        <v>15</v>
      </c>
      <c r="C267" s="247" t="s">
        <v>31</v>
      </c>
      <c r="D267" s="244" t="s">
        <v>25</v>
      </c>
      <c r="E267" s="245">
        <v>78016.400000000009</v>
      </c>
      <c r="F267" s="238">
        <v>2</v>
      </c>
      <c r="G267" s="240">
        <v>0</v>
      </c>
      <c r="H267" s="246">
        <f t="shared" si="25"/>
        <v>156032.80000000002</v>
      </c>
      <c r="I267" s="447">
        <f t="shared" si="24"/>
        <v>936196.8</v>
      </c>
    </row>
    <row r="268" spans="1:9" x14ac:dyDescent="0.25">
      <c r="A268" s="232">
        <v>401</v>
      </c>
      <c r="B268" s="339" t="s">
        <v>15</v>
      </c>
      <c r="C268" s="247" t="s">
        <v>22</v>
      </c>
      <c r="D268" s="244" t="s">
        <v>24</v>
      </c>
      <c r="E268" s="251">
        <v>7500</v>
      </c>
      <c r="F268" s="238">
        <v>6</v>
      </c>
      <c r="G268" s="240">
        <v>0</v>
      </c>
      <c r="H268" s="246">
        <f t="shared" si="25"/>
        <v>45000</v>
      </c>
      <c r="I268" s="447">
        <f t="shared" si="24"/>
        <v>270000</v>
      </c>
    </row>
    <row r="269" spans="1:9" x14ac:dyDescent="0.25">
      <c r="A269" s="232">
        <v>402</v>
      </c>
      <c r="B269" s="339" t="s">
        <v>15</v>
      </c>
      <c r="C269" s="247" t="s">
        <v>95</v>
      </c>
      <c r="D269" s="244" t="s">
        <v>25</v>
      </c>
      <c r="E269" s="245">
        <v>8200</v>
      </c>
      <c r="F269" s="238">
        <v>6</v>
      </c>
      <c r="G269" s="240">
        <v>0</v>
      </c>
      <c r="H269" s="246">
        <f t="shared" si="25"/>
        <v>49200</v>
      </c>
      <c r="I269" s="447">
        <f t="shared" si="24"/>
        <v>295200</v>
      </c>
    </row>
    <row r="270" spans="1:9" x14ac:dyDescent="0.25">
      <c r="A270" s="232">
        <v>403</v>
      </c>
      <c r="B270" s="339" t="s">
        <v>15</v>
      </c>
      <c r="C270" s="256" t="s">
        <v>63</v>
      </c>
      <c r="D270" s="257" t="s">
        <v>25</v>
      </c>
      <c r="E270" s="258">
        <v>22000</v>
      </c>
      <c r="F270" s="238">
        <v>6</v>
      </c>
      <c r="G270" s="240">
        <v>0</v>
      </c>
      <c r="H270" s="246">
        <f t="shared" si="25"/>
        <v>132000</v>
      </c>
      <c r="I270" s="447">
        <f t="shared" si="24"/>
        <v>792000</v>
      </c>
    </row>
    <row r="271" spans="1:9" x14ac:dyDescent="0.25">
      <c r="A271" s="232">
        <v>404</v>
      </c>
      <c r="B271" s="339" t="s">
        <v>15</v>
      </c>
      <c r="C271" s="243" t="s">
        <v>174</v>
      </c>
      <c r="D271" s="259" t="s">
        <v>25</v>
      </c>
      <c r="E271" s="245">
        <v>700</v>
      </c>
      <c r="F271" s="238">
        <v>6</v>
      </c>
      <c r="G271" s="240">
        <v>0</v>
      </c>
      <c r="H271" s="246">
        <f t="shared" si="25"/>
        <v>4200</v>
      </c>
      <c r="I271" s="447">
        <f t="shared" si="24"/>
        <v>25200</v>
      </c>
    </row>
    <row r="272" spans="1:9" x14ac:dyDescent="0.25">
      <c r="A272" s="232">
        <v>405</v>
      </c>
      <c r="B272" s="339" t="s">
        <v>15</v>
      </c>
      <c r="C272" s="260" t="s">
        <v>173</v>
      </c>
      <c r="D272" s="244" t="s">
        <v>25</v>
      </c>
      <c r="E272" s="245">
        <v>16010.800000000001</v>
      </c>
      <c r="F272" s="238">
        <v>1</v>
      </c>
      <c r="G272" s="240">
        <v>0</v>
      </c>
      <c r="H272" s="246">
        <f t="shared" si="25"/>
        <v>16010.800000000001</v>
      </c>
      <c r="I272" s="447">
        <f t="shared" si="24"/>
        <v>96064.8</v>
      </c>
    </row>
    <row r="273" spans="1:11" x14ac:dyDescent="0.25">
      <c r="A273" s="232">
        <v>406</v>
      </c>
      <c r="B273" s="339" t="s">
        <v>15</v>
      </c>
      <c r="C273" s="247" t="s">
        <v>28</v>
      </c>
      <c r="D273" s="244" t="s">
        <v>24</v>
      </c>
      <c r="E273" s="245">
        <v>3880</v>
      </c>
      <c r="F273" s="238">
        <v>9</v>
      </c>
      <c r="G273" s="240">
        <v>0</v>
      </c>
      <c r="H273" s="246">
        <f t="shared" si="25"/>
        <v>34920</v>
      </c>
      <c r="I273" s="447">
        <f t="shared" si="24"/>
        <v>209520</v>
      </c>
    </row>
    <row r="274" spans="1:11" x14ac:dyDescent="0.25">
      <c r="A274" s="232">
        <v>407</v>
      </c>
      <c r="B274" s="339" t="s">
        <v>15</v>
      </c>
      <c r="C274" s="247" t="s">
        <v>29</v>
      </c>
      <c r="D274" s="244" t="s">
        <v>24</v>
      </c>
      <c r="E274" s="245">
        <v>6870</v>
      </c>
      <c r="F274" s="238">
        <v>2</v>
      </c>
      <c r="G274" s="240">
        <v>0</v>
      </c>
      <c r="H274" s="246">
        <f t="shared" si="25"/>
        <v>13740</v>
      </c>
      <c r="I274" s="447">
        <f t="shared" si="24"/>
        <v>82440</v>
      </c>
    </row>
    <row r="275" spans="1:11" x14ac:dyDescent="0.25">
      <c r="A275" s="232">
        <v>408</v>
      </c>
      <c r="B275" s="339" t="s">
        <v>15</v>
      </c>
      <c r="C275" s="247" t="s">
        <v>36</v>
      </c>
      <c r="D275" s="244" t="s">
        <v>24</v>
      </c>
      <c r="E275" s="251">
        <v>6000</v>
      </c>
      <c r="F275" s="238">
        <v>10</v>
      </c>
      <c r="G275" s="240">
        <v>0</v>
      </c>
      <c r="H275" s="246">
        <f t="shared" si="25"/>
        <v>60000</v>
      </c>
      <c r="I275" s="447">
        <f t="shared" si="24"/>
        <v>360000</v>
      </c>
    </row>
    <row r="276" spans="1:11" x14ac:dyDescent="0.25">
      <c r="A276" s="232">
        <v>409</v>
      </c>
      <c r="B276" s="339" t="s">
        <v>15</v>
      </c>
      <c r="C276" s="247" t="s">
        <v>150</v>
      </c>
      <c r="D276" s="244" t="s">
        <v>25</v>
      </c>
      <c r="E276" s="251">
        <v>5500</v>
      </c>
      <c r="F276" s="238">
        <v>2</v>
      </c>
      <c r="G276" s="240">
        <v>0</v>
      </c>
      <c r="H276" s="246">
        <f t="shared" si="25"/>
        <v>11000</v>
      </c>
      <c r="I276" s="447">
        <f t="shared" si="24"/>
        <v>66000</v>
      </c>
    </row>
    <row r="277" spans="1:11" x14ac:dyDescent="0.25">
      <c r="A277" s="232">
        <v>410</v>
      </c>
      <c r="B277" s="339" t="s">
        <v>15</v>
      </c>
      <c r="C277" s="262" t="s">
        <v>178</v>
      </c>
      <c r="D277" s="244" t="s">
        <v>24</v>
      </c>
      <c r="E277" s="251">
        <v>19900</v>
      </c>
      <c r="F277" s="263">
        <v>2</v>
      </c>
      <c r="G277" s="240">
        <v>0</v>
      </c>
      <c r="H277" s="246">
        <f t="shared" si="25"/>
        <v>39800</v>
      </c>
      <c r="I277" s="447">
        <f t="shared" si="24"/>
        <v>238800</v>
      </c>
    </row>
    <row r="278" spans="1:11" x14ac:dyDescent="0.25">
      <c r="A278" s="232">
        <v>411</v>
      </c>
      <c r="B278" s="339" t="s">
        <v>15</v>
      </c>
      <c r="C278" s="247" t="s">
        <v>177</v>
      </c>
      <c r="D278" s="244" t="s">
        <v>24</v>
      </c>
      <c r="E278" s="251">
        <v>8000</v>
      </c>
      <c r="F278" s="263">
        <v>3</v>
      </c>
      <c r="G278" s="240">
        <v>0</v>
      </c>
      <c r="H278" s="246">
        <f t="shared" si="25"/>
        <v>24000</v>
      </c>
      <c r="I278" s="447">
        <f t="shared" si="24"/>
        <v>144000</v>
      </c>
    </row>
    <row r="279" spans="1:11" x14ac:dyDescent="0.25">
      <c r="A279" s="232">
        <v>412</v>
      </c>
      <c r="B279" s="339" t="s">
        <v>15</v>
      </c>
      <c r="C279" s="247" t="s">
        <v>27</v>
      </c>
      <c r="D279" s="244" t="s">
        <v>25</v>
      </c>
      <c r="E279" s="251">
        <v>250000</v>
      </c>
      <c r="F279" s="238">
        <v>1</v>
      </c>
      <c r="G279" s="240">
        <v>0</v>
      </c>
      <c r="H279" s="246">
        <f t="shared" si="25"/>
        <v>250000</v>
      </c>
      <c r="I279" s="447">
        <f t="shared" si="24"/>
        <v>1500000</v>
      </c>
    </row>
    <row r="280" spans="1:11" x14ac:dyDescent="0.25">
      <c r="A280" s="232">
        <v>416</v>
      </c>
      <c r="B280" s="339" t="s">
        <v>16</v>
      </c>
      <c r="C280" s="247" t="s">
        <v>41</v>
      </c>
      <c r="D280" s="238" t="s">
        <v>46</v>
      </c>
      <c r="E280" s="272">
        <v>350000</v>
      </c>
      <c r="F280" s="238">
        <v>1</v>
      </c>
      <c r="G280" s="240">
        <v>0</v>
      </c>
      <c r="H280" s="241">
        <f t="shared" ref="H280:H285" si="26">IF(E280="-","-",E280*F280*(1+G280))</f>
        <v>350000</v>
      </c>
      <c r="I280" s="447">
        <f t="shared" si="24"/>
        <v>2100000</v>
      </c>
    </row>
    <row r="281" spans="1:11" ht="30" x14ac:dyDescent="0.25">
      <c r="A281" s="232">
        <v>417</v>
      </c>
      <c r="B281" s="339" t="s">
        <v>16</v>
      </c>
      <c r="C281" s="273" t="s">
        <v>184</v>
      </c>
      <c r="D281" s="238" t="s">
        <v>46</v>
      </c>
      <c r="E281" s="274">
        <v>33333</v>
      </c>
      <c r="F281" s="238">
        <v>0.73</v>
      </c>
      <c r="G281" s="240">
        <v>0</v>
      </c>
      <c r="H281" s="241">
        <f t="shared" si="26"/>
        <v>24333.09</v>
      </c>
      <c r="I281" s="447">
        <f t="shared" si="24"/>
        <v>145998.54</v>
      </c>
    </row>
    <row r="282" spans="1:11" x14ac:dyDescent="0.25">
      <c r="A282" s="232">
        <v>418</v>
      </c>
      <c r="B282" s="339" t="s">
        <v>16</v>
      </c>
      <c r="C282" s="247" t="s">
        <v>73</v>
      </c>
      <c r="D282" s="238" t="s">
        <v>111</v>
      </c>
      <c r="E282" s="274">
        <v>121666</v>
      </c>
      <c r="F282" s="238">
        <v>5</v>
      </c>
      <c r="G282" s="240">
        <v>0</v>
      </c>
      <c r="H282" s="241">
        <f t="shared" si="26"/>
        <v>608330</v>
      </c>
      <c r="I282" s="447">
        <f t="shared" si="24"/>
        <v>3649980</v>
      </c>
    </row>
    <row r="283" spans="1:11" x14ac:dyDescent="0.25">
      <c r="A283" s="232">
        <v>422</v>
      </c>
      <c r="B283" s="359" t="s">
        <v>17</v>
      </c>
      <c r="C283" s="375" t="s">
        <v>33</v>
      </c>
      <c r="D283" s="382" t="s">
        <v>59</v>
      </c>
      <c r="E283" s="387">
        <v>140000</v>
      </c>
      <c r="F283" s="554">
        <v>8</v>
      </c>
      <c r="G283" s="408">
        <v>0</v>
      </c>
      <c r="H283" s="417">
        <f t="shared" si="26"/>
        <v>1120000</v>
      </c>
      <c r="I283" s="447">
        <f t="shared" si="24"/>
        <v>6720000</v>
      </c>
      <c r="K283" s="283" t="s">
        <v>326</v>
      </c>
    </row>
    <row r="284" spans="1:11" ht="30" x14ac:dyDescent="0.25">
      <c r="A284" s="232">
        <v>423</v>
      </c>
      <c r="B284" s="339" t="s">
        <v>17</v>
      </c>
      <c r="C284" s="247" t="s">
        <v>43</v>
      </c>
      <c r="D284" s="238" t="s">
        <v>59</v>
      </c>
      <c r="E284" s="272">
        <v>160854</v>
      </c>
      <c r="F284" s="238">
        <v>7</v>
      </c>
      <c r="G284" s="240">
        <v>0</v>
      </c>
      <c r="H284" s="241">
        <f t="shared" si="26"/>
        <v>1125978</v>
      </c>
      <c r="I284" s="447">
        <f t="shared" si="24"/>
        <v>6755868</v>
      </c>
    </row>
    <row r="285" spans="1:11" x14ac:dyDescent="0.25">
      <c r="A285" s="232">
        <v>424</v>
      </c>
      <c r="B285" s="339" t="s">
        <v>17</v>
      </c>
      <c r="C285" s="247" t="s">
        <v>34</v>
      </c>
      <c r="D285" s="238" t="s">
        <v>59</v>
      </c>
      <c r="E285" s="272">
        <v>150000</v>
      </c>
      <c r="F285" s="338">
        <v>6</v>
      </c>
      <c r="G285" s="404">
        <v>0</v>
      </c>
      <c r="H285" s="241">
        <f t="shared" si="26"/>
        <v>900000</v>
      </c>
      <c r="I285" s="447">
        <f t="shared" si="24"/>
        <v>5400000</v>
      </c>
    </row>
    <row r="286" spans="1:11" s="450" customFormat="1" ht="180" x14ac:dyDescent="0.25">
      <c r="A286" s="450">
        <v>434</v>
      </c>
      <c r="B286" s="357" t="s">
        <v>207</v>
      </c>
      <c r="C286" s="449" t="s">
        <v>210</v>
      </c>
      <c r="D286" s="449"/>
      <c r="E286" s="449"/>
      <c r="F286" s="449"/>
      <c r="G286" s="449"/>
      <c r="H286" s="233">
        <v>8</v>
      </c>
      <c r="I286" s="450">
        <v>1</v>
      </c>
      <c r="J286" s="451">
        <f>SUM(I287:I334)</f>
        <v>105174445.60000001</v>
      </c>
    </row>
    <row r="287" spans="1:11" x14ac:dyDescent="0.25">
      <c r="A287" s="232">
        <v>437</v>
      </c>
      <c r="B287" s="339" t="s">
        <v>5</v>
      </c>
      <c r="C287" s="281" t="s">
        <v>71</v>
      </c>
      <c r="D287" s="238" t="s">
        <v>46</v>
      </c>
      <c r="E287" s="239">
        <v>50000</v>
      </c>
      <c r="F287" s="238">
        <v>8.9529999999999994</v>
      </c>
      <c r="G287" s="240">
        <v>0</v>
      </c>
      <c r="H287" s="241">
        <f>+E287*F287*(1+G287)</f>
        <v>447649.99999999994</v>
      </c>
      <c r="I287" s="447">
        <f>H287*$I$286</f>
        <v>447649.99999999994</v>
      </c>
    </row>
    <row r="288" spans="1:11" x14ac:dyDescent="0.25">
      <c r="A288" s="232">
        <v>438</v>
      </c>
      <c r="B288" s="339" t="s">
        <v>5</v>
      </c>
      <c r="C288" s="237" t="s">
        <v>20</v>
      </c>
      <c r="D288" s="238" t="s">
        <v>72</v>
      </c>
      <c r="E288" s="239">
        <f>'APU08'!H61*5%</f>
        <v>1378881</v>
      </c>
      <c r="F288" s="238">
        <v>1</v>
      </c>
      <c r="G288" s="240">
        <v>0</v>
      </c>
      <c r="H288" s="241">
        <f>+E288*F288*(1+G288)</f>
        <v>1378881</v>
      </c>
      <c r="I288" s="447">
        <f t="shared" ref="I288:I334" si="27">H288*$I$286</f>
        <v>1378881</v>
      </c>
    </row>
    <row r="289" spans="1:9" x14ac:dyDescent="0.25">
      <c r="A289" s="232">
        <v>439</v>
      </c>
      <c r="B289" s="347" t="s">
        <v>5</v>
      </c>
      <c r="C289" s="368" t="s">
        <v>54</v>
      </c>
      <c r="D289" s="318" t="s">
        <v>46</v>
      </c>
      <c r="E289" s="392">
        <v>10000</v>
      </c>
      <c r="F289" s="238">
        <v>8.9529999999999994</v>
      </c>
      <c r="G289" s="240">
        <v>0</v>
      </c>
      <c r="H289" s="241">
        <f>+E289*F289*(1+G289)</f>
        <v>89530</v>
      </c>
      <c r="I289" s="447">
        <f t="shared" si="27"/>
        <v>89530</v>
      </c>
    </row>
    <row r="290" spans="1:9" x14ac:dyDescent="0.25">
      <c r="A290" s="232">
        <v>443</v>
      </c>
      <c r="B290" s="339" t="s">
        <v>15</v>
      </c>
      <c r="C290" s="548" t="s">
        <v>93</v>
      </c>
      <c r="D290" s="244" t="s">
        <v>25</v>
      </c>
      <c r="E290" s="303">
        <v>5319000</v>
      </c>
      <c r="F290" s="253">
        <v>1</v>
      </c>
      <c r="G290" s="240">
        <v>0</v>
      </c>
      <c r="H290" s="246">
        <f t="shared" ref="H290:H310" si="28">+E290*F290</f>
        <v>5319000</v>
      </c>
      <c r="I290" s="447">
        <f t="shared" si="27"/>
        <v>5319000</v>
      </c>
    </row>
    <row r="291" spans="1:9" ht="30" x14ac:dyDescent="0.25">
      <c r="A291" s="232">
        <v>444</v>
      </c>
      <c r="B291" s="347" t="s">
        <v>15</v>
      </c>
      <c r="C291" s="423" t="s">
        <v>188</v>
      </c>
      <c r="D291" s="244" t="s">
        <v>25</v>
      </c>
      <c r="E291" s="304">
        <v>54264</v>
      </c>
      <c r="F291" s="253">
        <v>2</v>
      </c>
      <c r="G291" s="240">
        <v>0</v>
      </c>
      <c r="H291" s="246">
        <f t="shared" si="28"/>
        <v>108528</v>
      </c>
      <c r="I291" s="447">
        <f t="shared" si="27"/>
        <v>108528</v>
      </c>
    </row>
    <row r="292" spans="1:9" ht="30" x14ac:dyDescent="0.25">
      <c r="A292" s="232">
        <v>445</v>
      </c>
      <c r="B292" s="339" t="s">
        <v>15</v>
      </c>
      <c r="C292" s="260" t="s">
        <v>166</v>
      </c>
      <c r="D292" s="244" t="s">
        <v>25</v>
      </c>
      <c r="E292" s="304">
        <v>80563</v>
      </c>
      <c r="F292" s="253">
        <v>3</v>
      </c>
      <c r="G292" s="240">
        <v>0</v>
      </c>
      <c r="H292" s="246">
        <f t="shared" si="28"/>
        <v>241689</v>
      </c>
      <c r="I292" s="447">
        <f t="shared" si="27"/>
        <v>241689</v>
      </c>
    </row>
    <row r="293" spans="1:9" x14ac:dyDescent="0.25">
      <c r="A293" s="232">
        <v>446</v>
      </c>
      <c r="B293" s="339" t="s">
        <v>15</v>
      </c>
      <c r="C293" s="282" t="s">
        <v>190</v>
      </c>
      <c r="D293" s="244" t="s">
        <v>25</v>
      </c>
      <c r="E293" s="303">
        <v>12000000</v>
      </c>
      <c r="F293" s="305">
        <v>1</v>
      </c>
      <c r="G293" s="240">
        <v>0</v>
      </c>
      <c r="H293" s="246">
        <f t="shared" si="28"/>
        <v>12000000</v>
      </c>
      <c r="I293" s="447">
        <f t="shared" si="27"/>
        <v>12000000</v>
      </c>
    </row>
    <row r="294" spans="1:9" x14ac:dyDescent="0.25">
      <c r="A294" s="232">
        <v>447</v>
      </c>
      <c r="B294" s="339" t="s">
        <v>15</v>
      </c>
      <c r="C294" s="247" t="s">
        <v>48</v>
      </c>
      <c r="D294" s="244" t="s">
        <v>25</v>
      </c>
      <c r="E294" s="306">
        <v>4028000</v>
      </c>
      <c r="F294" s="253">
        <v>1</v>
      </c>
      <c r="G294" s="240">
        <v>0</v>
      </c>
      <c r="H294" s="246">
        <f t="shared" si="28"/>
        <v>4028000</v>
      </c>
      <c r="I294" s="447">
        <f t="shared" si="27"/>
        <v>4028000</v>
      </c>
    </row>
    <row r="295" spans="1:9" x14ac:dyDescent="0.25">
      <c r="A295" s="232">
        <v>448</v>
      </c>
      <c r="B295" s="347" t="s">
        <v>15</v>
      </c>
      <c r="C295" s="282" t="s">
        <v>94</v>
      </c>
      <c r="D295" s="244" t="s">
        <v>25</v>
      </c>
      <c r="E295" s="303">
        <v>915000</v>
      </c>
      <c r="F295" s="557">
        <v>2</v>
      </c>
      <c r="G295" s="240">
        <v>0</v>
      </c>
      <c r="H295" s="246">
        <f t="shared" si="28"/>
        <v>1830000</v>
      </c>
      <c r="I295" s="447">
        <f t="shared" si="27"/>
        <v>1830000</v>
      </c>
    </row>
    <row r="296" spans="1:9" x14ac:dyDescent="0.25">
      <c r="A296" s="232">
        <v>449</v>
      </c>
      <c r="B296" s="347" t="s">
        <v>15</v>
      </c>
      <c r="C296" s="247" t="s">
        <v>61</v>
      </c>
      <c r="D296" s="244" t="s">
        <v>25</v>
      </c>
      <c r="E296" s="306">
        <v>1096291</v>
      </c>
      <c r="F296" s="253">
        <v>2</v>
      </c>
      <c r="G296" s="240">
        <v>0</v>
      </c>
      <c r="H296" s="246">
        <f t="shared" si="28"/>
        <v>2192582</v>
      </c>
      <c r="I296" s="447">
        <f t="shared" si="27"/>
        <v>2192582</v>
      </c>
    </row>
    <row r="297" spans="1:9" x14ac:dyDescent="0.25">
      <c r="A297" s="232">
        <v>450</v>
      </c>
      <c r="B297" s="360" t="s">
        <v>15</v>
      </c>
      <c r="C297" s="367" t="s">
        <v>62</v>
      </c>
      <c r="D297" s="381" t="s">
        <v>25</v>
      </c>
      <c r="E297" s="443">
        <v>255800</v>
      </c>
      <c r="F297" s="422">
        <v>6</v>
      </c>
      <c r="G297" s="407">
        <v>0</v>
      </c>
      <c r="H297" s="246">
        <f t="shared" si="28"/>
        <v>1534800</v>
      </c>
      <c r="I297" s="447">
        <f t="shared" si="27"/>
        <v>1534800</v>
      </c>
    </row>
    <row r="298" spans="1:9" x14ac:dyDescent="0.25">
      <c r="A298" s="232">
        <v>451</v>
      </c>
      <c r="B298" s="358" t="s">
        <v>15</v>
      </c>
      <c r="C298" s="556" t="s">
        <v>187</v>
      </c>
      <c r="D298" s="380" t="s">
        <v>25</v>
      </c>
      <c r="E298" s="421">
        <v>1254000</v>
      </c>
      <c r="F298" s="299">
        <v>6</v>
      </c>
      <c r="G298" s="405">
        <v>0</v>
      </c>
      <c r="H298" s="412">
        <f t="shared" si="28"/>
        <v>7524000</v>
      </c>
      <c r="I298" s="447">
        <f t="shared" si="27"/>
        <v>7524000</v>
      </c>
    </row>
    <row r="299" spans="1:9" x14ac:dyDescent="0.25">
      <c r="A299" s="232">
        <v>452</v>
      </c>
      <c r="B299" s="358" t="s">
        <v>15</v>
      </c>
      <c r="C299" s="367" t="s">
        <v>47</v>
      </c>
      <c r="D299" s="380" t="s">
        <v>25</v>
      </c>
      <c r="E299" s="421">
        <v>2000000</v>
      </c>
      <c r="F299" s="253">
        <v>3</v>
      </c>
      <c r="G299" s="240">
        <v>0</v>
      </c>
      <c r="H299" s="246">
        <f t="shared" si="28"/>
        <v>6000000</v>
      </c>
      <c r="I299" s="447">
        <f t="shared" si="27"/>
        <v>6000000</v>
      </c>
    </row>
    <row r="300" spans="1:9" x14ac:dyDescent="0.25">
      <c r="A300" s="232">
        <v>453</v>
      </c>
      <c r="B300" s="358" t="s">
        <v>15</v>
      </c>
      <c r="C300" s="364" t="s">
        <v>106</v>
      </c>
      <c r="D300" s="380" t="s">
        <v>25</v>
      </c>
      <c r="E300" s="441">
        <v>1145000</v>
      </c>
      <c r="F300" s="299">
        <v>12</v>
      </c>
      <c r="G300" s="405">
        <v>0</v>
      </c>
      <c r="H300" s="412">
        <f t="shared" si="28"/>
        <v>13740000</v>
      </c>
      <c r="I300" s="447">
        <f t="shared" si="27"/>
        <v>13740000</v>
      </c>
    </row>
    <row r="301" spans="1:9" x14ac:dyDescent="0.25">
      <c r="A301" s="232">
        <v>454</v>
      </c>
      <c r="B301" s="358" t="s">
        <v>15</v>
      </c>
      <c r="C301" s="364" t="s">
        <v>66</v>
      </c>
      <c r="D301" s="380" t="s">
        <v>25</v>
      </c>
      <c r="E301" s="388">
        <v>42920</v>
      </c>
      <c r="F301" s="299">
        <v>1</v>
      </c>
      <c r="G301" s="405">
        <v>0</v>
      </c>
      <c r="H301" s="412">
        <f t="shared" si="28"/>
        <v>42920</v>
      </c>
      <c r="I301" s="447">
        <f t="shared" si="27"/>
        <v>42920</v>
      </c>
    </row>
    <row r="302" spans="1:9" x14ac:dyDescent="0.25">
      <c r="A302" s="232">
        <v>455</v>
      </c>
      <c r="B302" s="358" t="s">
        <v>15</v>
      </c>
      <c r="C302" s="373" t="s">
        <v>104</v>
      </c>
      <c r="D302" s="383" t="s">
        <v>25</v>
      </c>
      <c r="E302" s="391">
        <v>271000</v>
      </c>
      <c r="F302" s="299">
        <v>2</v>
      </c>
      <c r="G302" s="405">
        <v>0</v>
      </c>
      <c r="H302" s="412">
        <f t="shared" si="28"/>
        <v>542000</v>
      </c>
      <c r="I302" s="447">
        <f t="shared" si="27"/>
        <v>542000</v>
      </c>
    </row>
    <row r="303" spans="1:9" x14ac:dyDescent="0.25">
      <c r="A303" s="232">
        <v>456</v>
      </c>
      <c r="B303" s="358" t="s">
        <v>15</v>
      </c>
      <c r="C303" s="369" t="s">
        <v>159</v>
      </c>
      <c r="D303" s="380" t="s">
        <v>25</v>
      </c>
      <c r="E303" s="391">
        <v>114000</v>
      </c>
      <c r="F303" s="293">
        <v>1</v>
      </c>
      <c r="G303" s="405">
        <v>0</v>
      </c>
      <c r="H303" s="412">
        <f t="shared" si="28"/>
        <v>114000</v>
      </c>
      <c r="I303" s="447">
        <f t="shared" si="27"/>
        <v>114000</v>
      </c>
    </row>
    <row r="304" spans="1:9" x14ac:dyDescent="0.25">
      <c r="A304" s="232">
        <v>457</v>
      </c>
      <c r="B304" s="359" t="s">
        <v>15</v>
      </c>
      <c r="C304" s="418" t="s">
        <v>165</v>
      </c>
      <c r="D304" s="379" t="s">
        <v>25</v>
      </c>
      <c r="E304" s="438">
        <v>181000</v>
      </c>
      <c r="F304" s="427">
        <v>1</v>
      </c>
      <c r="G304" s="406">
        <v>0</v>
      </c>
      <c r="H304" s="411">
        <f t="shared" si="28"/>
        <v>181000</v>
      </c>
      <c r="I304" s="447">
        <f t="shared" si="27"/>
        <v>181000</v>
      </c>
    </row>
    <row r="305" spans="1:9" x14ac:dyDescent="0.25">
      <c r="A305" s="232">
        <v>458</v>
      </c>
      <c r="B305" s="339" t="s">
        <v>15</v>
      </c>
      <c r="C305" s="247" t="s">
        <v>49</v>
      </c>
      <c r="D305" s="244" t="s">
        <v>25</v>
      </c>
      <c r="E305" s="306">
        <v>800000</v>
      </c>
      <c r="F305" s="253">
        <v>1</v>
      </c>
      <c r="G305" s="240">
        <v>0</v>
      </c>
      <c r="H305" s="246">
        <f t="shared" si="28"/>
        <v>800000</v>
      </c>
      <c r="I305" s="447">
        <f t="shared" si="27"/>
        <v>800000</v>
      </c>
    </row>
    <row r="306" spans="1:9" ht="14.25" customHeight="1" x14ac:dyDescent="0.25">
      <c r="A306" s="232">
        <v>459</v>
      </c>
      <c r="B306" s="339" t="s">
        <v>15</v>
      </c>
      <c r="C306" s="247" t="s">
        <v>65</v>
      </c>
      <c r="D306" s="244" t="s">
        <v>25</v>
      </c>
      <c r="E306" s="304">
        <v>105000</v>
      </c>
      <c r="F306" s="253">
        <v>9</v>
      </c>
      <c r="G306" s="240">
        <v>0</v>
      </c>
      <c r="H306" s="246">
        <f t="shared" si="28"/>
        <v>945000</v>
      </c>
      <c r="I306" s="447">
        <f t="shared" si="27"/>
        <v>945000</v>
      </c>
    </row>
    <row r="307" spans="1:9" x14ac:dyDescent="0.25">
      <c r="A307" s="232">
        <v>460</v>
      </c>
      <c r="B307" s="339" t="s">
        <v>15</v>
      </c>
      <c r="C307" s="260" t="s">
        <v>173</v>
      </c>
      <c r="D307" s="244" t="s">
        <v>25</v>
      </c>
      <c r="E307" s="245">
        <v>16010.800000000001</v>
      </c>
      <c r="F307" s="557">
        <v>28</v>
      </c>
      <c r="G307" s="240">
        <v>0</v>
      </c>
      <c r="H307" s="246">
        <f t="shared" si="28"/>
        <v>448302.4</v>
      </c>
      <c r="I307" s="447">
        <f t="shared" si="27"/>
        <v>448302.4</v>
      </c>
    </row>
    <row r="308" spans="1:9" x14ac:dyDescent="0.25">
      <c r="A308" s="232">
        <v>461</v>
      </c>
      <c r="B308" s="339" t="s">
        <v>15</v>
      </c>
      <c r="C308" s="247" t="s">
        <v>183</v>
      </c>
      <c r="D308" s="244" t="s">
        <v>25</v>
      </c>
      <c r="E308" s="306">
        <v>2309000</v>
      </c>
      <c r="F308" s="253">
        <v>1</v>
      </c>
      <c r="G308" s="240">
        <v>0</v>
      </c>
      <c r="H308" s="246">
        <f t="shared" si="28"/>
        <v>2309000</v>
      </c>
      <c r="I308" s="447">
        <f t="shared" si="27"/>
        <v>2309000</v>
      </c>
    </row>
    <row r="309" spans="1:9" x14ac:dyDescent="0.25">
      <c r="A309" s="232">
        <v>462</v>
      </c>
      <c r="B309" s="339" t="s">
        <v>15</v>
      </c>
      <c r="C309" s="260" t="s">
        <v>157</v>
      </c>
      <c r="D309" s="244" t="s">
        <v>25</v>
      </c>
      <c r="E309" s="304">
        <v>410000</v>
      </c>
      <c r="F309" s="253">
        <v>1</v>
      </c>
      <c r="G309" s="240">
        <v>0</v>
      </c>
      <c r="H309" s="246">
        <f t="shared" si="28"/>
        <v>410000</v>
      </c>
      <c r="I309" s="447">
        <f t="shared" si="27"/>
        <v>410000</v>
      </c>
    </row>
    <row r="310" spans="1:9" x14ac:dyDescent="0.25">
      <c r="A310" s="232">
        <v>463</v>
      </c>
      <c r="B310" s="339" t="s">
        <v>15</v>
      </c>
      <c r="C310" s="247" t="s">
        <v>186</v>
      </c>
      <c r="D310" s="244" t="s">
        <v>25</v>
      </c>
      <c r="E310" s="304">
        <v>58900</v>
      </c>
      <c r="F310" s="253">
        <v>1</v>
      </c>
      <c r="G310" s="240">
        <v>0</v>
      </c>
      <c r="H310" s="246">
        <f t="shared" si="28"/>
        <v>58900</v>
      </c>
      <c r="I310" s="447">
        <f t="shared" si="27"/>
        <v>58900</v>
      </c>
    </row>
    <row r="311" spans="1:9" x14ac:dyDescent="0.25">
      <c r="A311" s="232">
        <v>464</v>
      </c>
      <c r="B311" s="339" t="s">
        <v>15</v>
      </c>
      <c r="C311" s="256" t="s">
        <v>63</v>
      </c>
      <c r="D311" s="257" t="s">
        <v>25</v>
      </c>
      <c r="E311" s="258">
        <v>20000</v>
      </c>
      <c r="F311" s="545">
        <v>30</v>
      </c>
      <c r="G311" s="240">
        <v>0.1</v>
      </c>
      <c r="H311" s="241">
        <f>+E311*F311*(1+G311)</f>
        <v>660000</v>
      </c>
      <c r="I311" s="447">
        <f t="shared" si="27"/>
        <v>660000</v>
      </c>
    </row>
    <row r="312" spans="1:9" x14ac:dyDescent="0.25">
      <c r="A312" s="232">
        <v>465</v>
      </c>
      <c r="B312" s="339" t="s">
        <v>15</v>
      </c>
      <c r="C312" s="243" t="s">
        <v>174</v>
      </c>
      <c r="D312" s="259" t="s">
        <v>25</v>
      </c>
      <c r="E312" s="245">
        <v>700</v>
      </c>
      <c r="F312" s="545">
        <v>30</v>
      </c>
      <c r="G312" s="240">
        <v>0</v>
      </c>
      <c r="H312" s="246">
        <f t="shared" ref="H312:H328" si="29">+E312*F312</f>
        <v>21000</v>
      </c>
      <c r="I312" s="447">
        <f t="shared" si="27"/>
        <v>21000</v>
      </c>
    </row>
    <row r="313" spans="1:9" x14ac:dyDescent="0.25">
      <c r="A313" s="232">
        <v>466</v>
      </c>
      <c r="B313" s="347" t="s">
        <v>15</v>
      </c>
      <c r="C313" s="317" t="s">
        <v>112</v>
      </c>
      <c r="D313" s="378" t="s">
        <v>24</v>
      </c>
      <c r="E313" s="386">
        <v>3880</v>
      </c>
      <c r="F313" s="545">
        <v>300</v>
      </c>
      <c r="G313" s="240">
        <v>0</v>
      </c>
      <c r="H313" s="246">
        <f t="shared" si="29"/>
        <v>1164000</v>
      </c>
      <c r="I313" s="447">
        <f t="shared" si="27"/>
        <v>1164000</v>
      </c>
    </row>
    <row r="314" spans="1:9" x14ac:dyDescent="0.25">
      <c r="A314" s="232">
        <v>467</v>
      </c>
      <c r="B314" s="339" t="s">
        <v>15</v>
      </c>
      <c r="C314" s="247" t="s">
        <v>158</v>
      </c>
      <c r="D314" s="244" t="s">
        <v>25</v>
      </c>
      <c r="E314" s="304">
        <v>18000</v>
      </c>
      <c r="F314" s="557">
        <v>24</v>
      </c>
      <c r="G314" s="240">
        <v>0</v>
      </c>
      <c r="H314" s="246">
        <f t="shared" si="29"/>
        <v>432000</v>
      </c>
      <c r="I314" s="447">
        <f t="shared" si="27"/>
        <v>432000</v>
      </c>
    </row>
    <row r="315" spans="1:9" x14ac:dyDescent="0.25">
      <c r="A315" s="232">
        <v>468</v>
      </c>
      <c r="B315" s="339" t="s">
        <v>15</v>
      </c>
      <c r="C315" s="247" t="s">
        <v>203</v>
      </c>
      <c r="D315" s="244" t="s">
        <v>25</v>
      </c>
      <c r="E315" s="306">
        <v>40000</v>
      </c>
      <c r="F315" s="557">
        <v>4</v>
      </c>
      <c r="G315" s="240">
        <v>0</v>
      </c>
      <c r="H315" s="246">
        <f t="shared" si="29"/>
        <v>160000</v>
      </c>
      <c r="I315" s="447">
        <f t="shared" si="27"/>
        <v>160000</v>
      </c>
    </row>
    <row r="316" spans="1:9" x14ac:dyDescent="0.25">
      <c r="A316" s="232">
        <v>469</v>
      </c>
      <c r="B316" s="339" t="s">
        <v>15</v>
      </c>
      <c r="C316" s="247" t="s">
        <v>55</v>
      </c>
      <c r="D316" s="244" t="s">
        <v>25</v>
      </c>
      <c r="E316" s="306">
        <v>6000000</v>
      </c>
      <c r="F316" s="253">
        <v>1</v>
      </c>
      <c r="G316" s="240">
        <v>0</v>
      </c>
      <c r="H316" s="246">
        <f t="shared" si="29"/>
        <v>6000000</v>
      </c>
      <c r="I316" s="447">
        <f t="shared" si="27"/>
        <v>6000000</v>
      </c>
    </row>
    <row r="317" spans="1:9" x14ac:dyDescent="0.25">
      <c r="A317" s="232">
        <v>470</v>
      </c>
      <c r="B317" s="339" t="s">
        <v>15</v>
      </c>
      <c r="C317" s="247" t="s">
        <v>151</v>
      </c>
      <c r="D317" s="244" t="s">
        <v>25</v>
      </c>
      <c r="E317" s="308">
        <v>2930000</v>
      </c>
      <c r="F317" s="253">
        <v>1</v>
      </c>
      <c r="G317" s="240">
        <v>0</v>
      </c>
      <c r="H317" s="246">
        <f t="shared" si="29"/>
        <v>2930000</v>
      </c>
      <c r="I317" s="447">
        <f t="shared" si="27"/>
        <v>2930000</v>
      </c>
    </row>
    <row r="318" spans="1:9" x14ac:dyDescent="0.25">
      <c r="A318" s="232">
        <v>471</v>
      </c>
      <c r="B318" s="339" t="s">
        <v>15</v>
      </c>
      <c r="C318" s="247" t="s">
        <v>176</v>
      </c>
      <c r="D318" s="244" t="s">
        <v>24</v>
      </c>
      <c r="E318" s="310">
        <v>30000</v>
      </c>
      <c r="F318" s="253">
        <v>4</v>
      </c>
      <c r="G318" s="240">
        <v>0</v>
      </c>
      <c r="H318" s="246">
        <f t="shared" si="29"/>
        <v>120000</v>
      </c>
      <c r="I318" s="447">
        <f t="shared" si="27"/>
        <v>120000</v>
      </c>
    </row>
    <row r="319" spans="1:9" x14ac:dyDescent="0.25">
      <c r="A319" s="232">
        <v>472</v>
      </c>
      <c r="B319" s="339" t="s">
        <v>15</v>
      </c>
      <c r="C319" s="548" t="s">
        <v>108</v>
      </c>
      <c r="D319" s="244" t="s">
        <v>24</v>
      </c>
      <c r="E319" s="245">
        <v>6870</v>
      </c>
      <c r="F319" s="238">
        <v>15</v>
      </c>
      <c r="G319" s="240">
        <v>0</v>
      </c>
      <c r="H319" s="246">
        <f t="shared" si="29"/>
        <v>103050</v>
      </c>
      <c r="I319" s="447">
        <f t="shared" si="27"/>
        <v>103050</v>
      </c>
    </row>
    <row r="320" spans="1:9" x14ac:dyDescent="0.25">
      <c r="A320" s="232">
        <v>473</v>
      </c>
      <c r="B320" s="339" t="s">
        <v>15</v>
      </c>
      <c r="C320" s="548" t="s">
        <v>97</v>
      </c>
      <c r="D320" s="253" t="s">
        <v>96</v>
      </c>
      <c r="E320" s="304">
        <v>26200</v>
      </c>
      <c r="F320" s="253">
        <v>3</v>
      </c>
      <c r="G320" s="240">
        <v>0</v>
      </c>
      <c r="H320" s="246">
        <f t="shared" si="29"/>
        <v>78600</v>
      </c>
      <c r="I320" s="447">
        <f t="shared" si="27"/>
        <v>78600</v>
      </c>
    </row>
    <row r="321" spans="1:10" x14ac:dyDescent="0.25">
      <c r="A321" s="232">
        <v>474</v>
      </c>
      <c r="B321" s="339" t="s">
        <v>15</v>
      </c>
      <c r="C321" s="548" t="s">
        <v>175</v>
      </c>
      <c r="D321" s="253" t="s">
        <v>96</v>
      </c>
      <c r="E321" s="254">
        <v>23880</v>
      </c>
      <c r="F321" s="253">
        <v>1</v>
      </c>
      <c r="G321" s="240">
        <v>0</v>
      </c>
      <c r="H321" s="246">
        <f t="shared" si="29"/>
        <v>23880</v>
      </c>
      <c r="I321" s="447">
        <f t="shared" si="27"/>
        <v>23880</v>
      </c>
    </row>
    <row r="322" spans="1:10" x14ac:dyDescent="0.25">
      <c r="A322" s="232">
        <v>475</v>
      </c>
      <c r="B322" s="339" t="s">
        <v>15</v>
      </c>
      <c r="C322" s="247" t="s">
        <v>170</v>
      </c>
      <c r="D322" s="244" t="s">
        <v>24</v>
      </c>
      <c r="E322" s="245">
        <v>11000</v>
      </c>
      <c r="F322" s="238">
        <v>60</v>
      </c>
      <c r="G322" s="240">
        <v>0</v>
      </c>
      <c r="H322" s="246">
        <f t="shared" si="29"/>
        <v>660000</v>
      </c>
      <c r="I322" s="447">
        <f t="shared" si="27"/>
        <v>660000</v>
      </c>
    </row>
    <row r="323" spans="1:10" x14ac:dyDescent="0.25">
      <c r="A323" s="232">
        <v>476</v>
      </c>
      <c r="B323" s="339" t="s">
        <v>15</v>
      </c>
      <c r="C323" s="247" t="s">
        <v>168</v>
      </c>
      <c r="D323" s="244" t="s">
        <v>25</v>
      </c>
      <c r="E323" s="245">
        <v>2600</v>
      </c>
      <c r="F323" s="238">
        <v>12</v>
      </c>
      <c r="G323" s="240">
        <v>0</v>
      </c>
      <c r="H323" s="246">
        <f t="shared" si="29"/>
        <v>31200</v>
      </c>
      <c r="I323" s="447">
        <f t="shared" si="27"/>
        <v>31200</v>
      </c>
    </row>
    <row r="324" spans="1:10" x14ac:dyDescent="0.25">
      <c r="A324" s="232">
        <v>477</v>
      </c>
      <c r="B324" s="339" t="s">
        <v>15</v>
      </c>
      <c r="C324" s="261" t="s">
        <v>169</v>
      </c>
      <c r="D324" s="244" t="s">
        <v>25</v>
      </c>
      <c r="E324" s="245">
        <v>3150</v>
      </c>
      <c r="F324" s="238">
        <v>12</v>
      </c>
      <c r="G324" s="240">
        <v>0</v>
      </c>
      <c r="H324" s="246">
        <f t="shared" si="29"/>
        <v>37800</v>
      </c>
      <c r="I324" s="447">
        <f t="shared" si="27"/>
        <v>37800</v>
      </c>
    </row>
    <row r="325" spans="1:10" x14ac:dyDescent="0.25">
      <c r="A325" s="232">
        <v>478</v>
      </c>
      <c r="B325" s="339" t="s">
        <v>15</v>
      </c>
      <c r="C325" s="261" t="s">
        <v>102</v>
      </c>
      <c r="D325" s="244" t="s">
        <v>25</v>
      </c>
      <c r="E325" s="245">
        <v>3740</v>
      </c>
      <c r="F325" s="238">
        <v>2</v>
      </c>
      <c r="G325" s="240">
        <v>0</v>
      </c>
      <c r="H325" s="246">
        <f t="shared" si="29"/>
        <v>7480</v>
      </c>
      <c r="I325" s="447">
        <f t="shared" si="27"/>
        <v>7480</v>
      </c>
    </row>
    <row r="326" spans="1:10" x14ac:dyDescent="0.25">
      <c r="A326" s="232">
        <v>479</v>
      </c>
      <c r="B326" s="339" t="s">
        <v>15</v>
      </c>
      <c r="C326" s="548" t="s">
        <v>109</v>
      </c>
      <c r="D326" s="244" t="s">
        <v>24</v>
      </c>
      <c r="E326" s="245">
        <v>2000</v>
      </c>
      <c r="F326" s="543">
        <v>40</v>
      </c>
      <c r="G326" s="240">
        <v>0</v>
      </c>
      <c r="H326" s="246">
        <f t="shared" si="29"/>
        <v>80000</v>
      </c>
      <c r="I326" s="447">
        <f t="shared" si="27"/>
        <v>80000</v>
      </c>
    </row>
    <row r="327" spans="1:10" ht="30" x14ac:dyDescent="0.25">
      <c r="A327" s="232">
        <v>480</v>
      </c>
      <c r="B327" s="339" t="s">
        <v>15</v>
      </c>
      <c r="C327" s="260" t="s">
        <v>154</v>
      </c>
      <c r="D327" s="244" t="s">
        <v>25</v>
      </c>
      <c r="E327" s="308">
        <v>44228</v>
      </c>
      <c r="F327" s="238">
        <v>6</v>
      </c>
      <c r="G327" s="240">
        <v>0</v>
      </c>
      <c r="H327" s="246">
        <f t="shared" si="29"/>
        <v>265368</v>
      </c>
      <c r="I327" s="447">
        <f t="shared" si="27"/>
        <v>265368</v>
      </c>
    </row>
    <row r="328" spans="1:10" x14ac:dyDescent="0.25">
      <c r="A328" s="232">
        <v>481</v>
      </c>
      <c r="B328" s="339" t="s">
        <v>15</v>
      </c>
      <c r="C328" s="247" t="s">
        <v>27</v>
      </c>
      <c r="D328" s="244" t="s">
        <v>25</v>
      </c>
      <c r="E328" s="311">
        <v>994665</v>
      </c>
      <c r="F328" s="238">
        <v>1</v>
      </c>
      <c r="G328" s="240">
        <v>0</v>
      </c>
      <c r="H328" s="246">
        <f t="shared" si="29"/>
        <v>994665</v>
      </c>
      <c r="I328" s="447">
        <f t="shared" si="27"/>
        <v>994665</v>
      </c>
    </row>
    <row r="329" spans="1:10" ht="30" x14ac:dyDescent="0.25">
      <c r="A329" s="232">
        <v>485</v>
      </c>
      <c r="B329" s="339" t="s">
        <v>16</v>
      </c>
      <c r="C329" s="273" t="s">
        <v>184</v>
      </c>
      <c r="D329" s="238" t="s">
        <v>46</v>
      </c>
      <c r="E329" s="274">
        <v>33333</v>
      </c>
      <c r="F329" s="238">
        <v>34.4</v>
      </c>
      <c r="G329" s="240">
        <v>0</v>
      </c>
      <c r="H329" s="241">
        <f t="shared" ref="H329:H334" si="30">IF(E329="-","-",E329*F329*(1+G329))</f>
        <v>1146655.2</v>
      </c>
      <c r="I329" s="447">
        <f t="shared" si="27"/>
        <v>1146655.2</v>
      </c>
    </row>
    <row r="330" spans="1:10" x14ac:dyDescent="0.25">
      <c r="A330" s="232">
        <v>489</v>
      </c>
      <c r="B330" s="339" t="s">
        <v>17</v>
      </c>
      <c r="C330" s="247" t="s">
        <v>50</v>
      </c>
      <c r="D330" s="238" t="s">
        <v>59</v>
      </c>
      <c r="E330" s="272">
        <v>140000</v>
      </c>
      <c r="F330" s="238">
        <v>35</v>
      </c>
      <c r="G330" s="240">
        <v>0</v>
      </c>
      <c r="H330" s="241">
        <f t="shared" si="30"/>
        <v>4900000</v>
      </c>
      <c r="I330" s="447">
        <f t="shared" si="27"/>
        <v>4900000</v>
      </c>
    </row>
    <row r="331" spans="1:10" ht="30" x14ac:dyDescent="0.25">
      <c r="A331" s="232">
        <v>490</v>
      </c>
      <c r="B331" s="339" t="s">
        <v>17</v>
      </c>
      <c r="C331" s="247" t="s">
        <v>60</v>
      </c>
      <c r="D331" s="238" t="s">
        <v>59</v>
      </c>
      <c r="E331" s="272">
        <v>97799</v>
      </c>
      <c r="F331" s="238">
        <v>35</v>
      </c>
      <c r="G331" s="240">
        <v>0</v>
      </c>
      <c r="H331" s="241">
        <f t="shared" si="30"/>
        <v>3422965</v>
      </c>
      <c r="I331" s="447">
        <f t="shared" si="27"/>
        <v>3422965</v>
      </c>
    </row>
    <row r="332" spans="1:10" x14ac:dyDescent="0.25">
      <c r="A332" s="232">
        <v>491</v>
      </c>
      <c r="B332" s="339" t="s">
        <v>17</v>
      </c>
      <c r="C332" s="247" t="s">
        <v>64</v>
      </c>
      <c r="D332" s="238" t="s">
        <v>59</v>
      </c>
      <c r="E332" s="272">
        <v>150000</v>
      </c>
      <c r="F332" s="238">
        <v>35</v>
      </c>
      <c r="G332" s="240">
        <v>0</v>
      </c>
      <c r="H332" s="241">
        <f t="shared" si="30"/>
        <v>5250000</v>
      </c>
      <c r="I332" s="447">
        <f t="shared" si="27"/>
        <v>5250000</v>
      </c>
    </row>
    <row r="333" spans="1:10" x14ac:dyDescent="0.25">
      <c r="A333" s="232">
        <v>492</v>
      </c>
      <c r="B333" s="339" t="s">
        <v>17</v>
      </c>
      <c r="C333" s="247" t="s">
        <v>68</v>
      </c>
      <c r="D333" s="238" t="s">
        <v>59</v>
      </c>
      <c r="E333" s="272">
        <v>150000</v>
      </c>
      <c r="F333" s="238">
        <v>60</v>
      </c>
      <c r="G333" s="240">
        <v>0</v>
      </c>
      <c r="H333" s="241">
        <f t="shared" si="30"/>
        <v>9000000</v>
      </c>
      <c r="I333" s="447">
        <f t="shared" si="27"/>
        <v>9000000</v>
      </c>
    </row>
    <row r="334" spans="1:10" ht="30" x14ac:dyDescent="0.25">
      <c r="A334" s="232">
        <v>493</v>
      </c>
      <c r="B334" s="339" t="s">
        <v>17</v>
      </c>
      <c r="C334" s="250" t="s">
        <v>69</v>
      </c>
      <c r="D334" s="238" t="s">
        <v>59</v>
      </c>
      <c r="E334" s="272">
        <v>90000</v>
      </c>
      <c r="F334" s="238">
        <v>60</v>
      </c>
      <c r="G334" s="240">
        <v>0</v>
      </c>
      <c r="H334" s="312">
        <f t="shared" si="30"/>
        <v>5400000</v>
      </c>
      <c r="I334" s="447">
        <f t="shared" si="27"/>
        <v>5400000</v>
      </c>
    </row>
    <row r="335" spans="1:10" s="450" customFormat="1" ht="135" x14ac:dyDescent="0.25">
      <c r="A335" s="450">
        <v>504</v>
      </c>
      <c r="B335" s="357" t="s">
        <v>207</v>
      </c>
      <c r="C335" s="449" t="s">
        <v>51</v>
      </c>
      <c r="D335" s="449"/>
      <c r="E335" s="449"/>
      <c r="F335" s="449"/>
      <c r="G335" s="449"/>
      <c r="H335" s="233">
        <v>9</v>
      </c>
      <c r="I335" s="450">
        <v>3</v>
      </c>
      <c r="J335" s="451">
        <f>SUM(I336:I371)</f>
        <v>87709761.300000012</v>
      </c>
    </row>
    <row r="336" spans="1:10" x14ac:dyDescent="0.25">
      <c r="A336" s="232">
        <v>507</v>
      </c>
      <c r="B336" s="339" t="s">
        <v>5</v>
      </c>
      <c r="C336" s="281" t="s">
        <v>71</v>
      </c>
      <c r="D336" s="238" t="s">
        <v>46</v>
      </c>
      <c r="E336" s="239">
        <v>50000</v>
      </c>
      <c r="F336" s="238">
        <v>2.8029999999999999</v>
      </c>
      <c r="G336" s="240">
        <v>0</v>
      </c>
      <c r="H336" s="241">
        <f>+E336*F336*(1+G336)</f>
        <v>140150</v>
      </c>
      <c r="I336" s="447">
        <f>H336*$I$335</f>
        <v>420450</v>
      </c>
    </row>
    <row r="337" spans="1:9" x14ac:dyDescent="0.25">
      <c r="A337" s="232">
        <v>508</v>
      </c>
      <c r="B337" s="339" t="s">
        <v>5</v>
      </c>
      <c r="C337" s="237" t="s">
        <v>20</v>
      </c>
      <c r="D337" s="238" t="s">
        <v>72</v>
      </c>
      <c r="E337" s="239">
        <f>'APU09'!H50*5%</f>
        <v>529081.30000000005</v>
      </c>
      <c r="F337" s="238">
        <v>1</v>
      </c>
      <c r="G337" s="240">
        <v>0</v>
      </c>
      <c r="H337" s="241">
        <f>+E337*F337*(1+G337)</f>
        <v>529081.30000000005</v>
      </c>
      <c r="I337" s="447">
        <f t="shared" ref="I337:I371" si="31">H337*$I$335</f>
        <v>1587243.9000000001</v>
      </c>
    </row>
    <row r="338" spans="1:9" x14ac:dyDescent="0.25">
      <c r="A338" s="232">
        <v>509</v>
      </c>
      <c r="B338" s="339" t="s">
        <v>5</v>
      </c>
      <c r="C338" s="281" t="s">
        <v>54</v>
      </c>
      <c r="D338" s="238" t="s">
        <v>46</v>
      </c>
      <c r="E338" s="239">
        <v>10000</v>
      </c>
      <c r="F338" s="238">
        <v>2.8029999999999999</v>
      </c>
      <c r="G338" s="240">
        <v>0</v>
      </c>
      <c r="H338" s="241">
        <f>+E338*F338*(1+G338)</f>
        <v>28030</v>
      </c>
      <c r="I338" s="447">
        <f t="shared" si="31"/>
        <v>84090</v>
      </c>
    </row>
    <row r="339" spans="1:9" ht="45" x14ac:dyDescent="0.25">
      <c r="A339" s="232">
        <v>513</v>
      </c>
      <c r="B339" s="339" t="s">
        <v>15</v>
      </c>
      <c r="C339" s="243" t="s">
        <v>152</v>
      </c>
      <c r="D339" s="244" t="s">
        <v>25</v>
      </c>
      <c r="E339" s="245">
        <v>740300.00000000012</v>
      </c>
      <c r="F339" s="313">
        <v>2</v>
      </c>
      <c r="G339" s="240">
        <v>0</v>
      </c>
      <c r="H339" s="246">
        <f t="shared" ref="H339:H351" si="32">+E339*F339</f>
        <v>1480600.0000000002</v>
      </c>
      <c r="I339" s="447">
        <f t="shared" si="31"/>
        <v>4441800.0000000009</v>
      </c>
    </row>
    <row r="340" spans="1:9" ht="30" x14ac:dyDescent="0.25">
      <c r="A340" s="232">
        <v>514</v>
      </c>
      <c r="B340" s="339" t="s">
        <v>15</v>
      </c>
      <c r="C340" s="548" t="s">
        <v>191</v>
      </c>
      <c r="D340" s="244" t="s">
        <v>25</v>
      </c>
      <c r="E340" s="248">
        <f>105000*1.12</f>
        <v>117600.00000000001</v>
      </c>
      <c r="F340" s="238">
        <v>2</v>
      </c>
      <c r="G340" s="240">
        <v>0</v>
      </c>
      <c r="H340" s="246">
        <f t="shared" si="32"/>
        <v>235200.00000000003</v>
      </c>
      <c r="I340" s="447">
        <f t="shared" si="31"/>
        <v>705600.00000000012</v>
      </c>
    </row>
    <row r="341" spans="1:9" x14ac:dyDescent="0.25">
      <c r="A341" s="232">
        <v>515</v>
      </c>
      <c r="B341" s="339" t="s">
        <v>15</v>
      </c>
      <c r="C341" s="548" t="s">
        <v>192</v>
      </c>
      <c r="D341" s="244" t="s">
        <v>25</v>
      </c>
      <c r="E341" s="248">
        <f>13900*1.2</f>
        <v>16680</v>
      </c>
      <c r="F341" s="238">
        <v>2</v>
      </c>
      <c r="G341" s="240">
        <v>0</v>
      </c>
      <c r="H341" s="246">
        <f t="shared" si="32"/>
        <v>33360</v>
      </c>
      <c r="I341" s="447">
        <f t="shared" si="31"/>
        <v>100080</v>
      </c>
    </row>
    <row r="342" spans="1:9" ht="30" x14ac:dyDescent="0.25">
      <c r="A342" s="232">
        <v>516</v>
      </c>
      <c r="B342" s="339" t="s">
        <v>15</v>
      </c>
      <c r="C342" s="249" t="s">
        <v>148</v>
      </c>
      <c r="D342" s="244" t="s">
        <v>25</v>
      </c>
      <c r="E342" s="245">
        <v>512800</v>
      </c>
      <c r="F342" s="238">
        <v>6</v>
      </c>
      <c r="G342" s="240">
        <v>0</v>
      </c>
      <c r="H342" s="246">
        <f t="shared" si="32"/>
        <v>3076800</v>
      </c>
      <c r="I342" s="447">
        <f t="shared" si="31"/>
        <v>9230400</v>
      </c>
    </row>
    <row r="343" spans="1:9" x14ac:dyDescent="0.25">
      <c r="A343" s="232">
        <v>517</v>
      </c>
      <c r="B343" s="339" t="s">
        <v>15</v>
      </c>
      <c r="C343" s="307" t="s">
        <v>149</v>
      </c>
      <c r="D343" s="244" t="s">
        <v>25</v>
      </c>
      <c r="E343" s="245">
        <v>292800</v>
      </c>
      <c r="F343" s="238">
        <v>6</v>
      </c>
      <c r="G343" s="240">
        <v>0</v>
      </c>
      <c r="H343" s="246">
        <f t="shared" si="32"/>
        <v>1756800</v>
      </c>
      <c r="I343" s="447">
        <f t="shared" si="31"/>
        <v>5270400</v>
      </c>
    </row>
    <row r="344" spans="1:9" x14ac:dyDescent="0.25">
      <c r="A344" s="232">
        <v>518</v>
      </c>
      <c r="B344" s="339" t="s">
        <v>15</v>
      </c>
      <c r="C344" s="261" t="s">
        <v>182</v>
      </c>
      <c r="D344" s="244" t="s">
        <v>25</v>
      </c>
      <c r="E344" s="245">
        <v>535000</v>
      </c>
      <c r="F344" s="313">
        <v>3</v>
      </c>
      <c r="G344" s="240">
        <v>0</v>
      </c>
      <c r="H344" s="246">
        <f t="shared" si="32"/>
        <v>1605000</v>
      </c>
      <c r="I344" s="447">
        <f t="shared" si="31"/>
        <v>4815000</v>
      </c>
    </row>
    <row r="345" spans="1:9" x14ac:dyDescent="0.25">
      <c r="A345" s="232">
        <v>519</v>
      </c>
      <c r="B345" s="339" t="s">
        <v>15</v>
      </c>
      <c r="C345" s="315" t="s">
        <v>180</v>
      </c>
      <c r="D345" s="259" t="s">
        <v>25</v>
      </c>
      <c r="E345" s="245">
        <v>39900</v>
      </c>
      <c r="F345" s="238">
        <v>1</v>
      </c>
      <c r="G345" s="240">
        <v>0</v>
      </c>
      <c r="H345" s="246">
        <f t="shared" si="32"/>
        <v>39900</v>
      </c>
      <c r="I345" s="447">
        <f t="shared" si="31"/>
        <v>119700</v>
      </c>
    </row>
    <row r="346" spans="1:9" x14ac:dyDescent="0.25">
      <c r="A346" s="232">
        <v>520</v>
      </c>
      <c r="B346" s="339" t="s">
        <v>15</v>
      </c>
      <c r="C346" s="315" t="s">
        <v>179</v>
      </c>
      <c r="D346" s="259" t="s">
        <v>25</v>
      </c>
      <c r="E346" s="245">
        <v>8690</v>
      </c>
      <c r="F346" s="238">
        <v>1</v>
      </c>
      <c r="G346" s="240">
        <v>0</v>
      </c>
      <c r="H346" s="246">
        <f t="shared" si="32"/>
        <v>8690</v>
      </c>
      <c r="I346" s="447">
        <f t="shared" si="31"/>
        <v>26070</v>
      </c>
    </row>
    <row r="347" spans="1:9" x14ac:dyDescent="0.25">
      <c r="A347" s="232">
        <v>521</v>
      </c>
      <c r="B347" s="339" t="s">
        <v>15</v>
      </c>
      <c r="C347" s="237" t="s">
        <v>66</v>
      </c>
      <c r="D347" s="244" t="s">
        <v>25</v>
      </c>
      <c r="E347" s="251">
        <v>42920</v>
      </c>
      <c r="F347" s="238">
        <v>1</v>
      </c>
      <c r="G347" s="240">
        <v>0</v>
      </c>
      <c r="H347" s="246">
        <f t="shared" si="32"/>
        <v>42920</v>
      </c>
      <c r="I347" s="447">
        <f t="shared" si="31"/>
        <v>128760</v>
      </c>
    </row>
    <row r="348" spans="1:9" x14ac:dyDescent="0.25">
      <c r="A348" s="232">
        <v>522</v>
      </c>
      <c r="B348" s="339" t="s">
        <v>15</v>
      </c>
      <c r="C348" s="247" t="s">
        <v>175</v>
      </c>
      <c r="D348" s="253" t="s">
        <v>96</v>
      </c>
      <c r="E348" s="254">
        <v>23880</v>
      </c>
      <c r="F348" s="238">
        <v>0.5</v>
      </c>
      <c r="G348" s="240">
        <v>0</v>
      </c>
      <c r="H348" s="246">
        <f t="shared" si="32"/>
        <v>11940</v>
      </c>
      <c r="I348" s="447">
        <f t="shared" si="31"/>
        <v>35820</v>
      </c>
    </row>
    <row r="349" spans="1:9" ht="30" x14ac:dyDescent="0.25">
      <c r="A349" s="232">
        <v>523</v>
      </c>
      <c r="B349" s="359" t="s">
        <v>15</v>
      </c>
      <c r="C349" s="376" t="s">
        <v>101</v>
      </c>
      <c r="D349" s="379" t="s">
        <v>25</v>
      </c>
      <c r="E349" s="391">
        <v>296000</v>
      </c>
      <c r="F349" s="401">
        <v>1</v>
      </c>
      <c r="G349" s="408">
        <v>0</v>
      </c>
      <c r="H349" s="415">
        <f t="shared" si="32"/>
        <v>296000</v>
      </c>
      <c r="I349" s="447">
        <f t="shared" si="31"/>
        <v>888000</v>
      </c>
    </row>
    <row r="350" spans="1:9" x14ac:dyDescent="0.25">
      <c r="A350" s="232">
        <v>524</v>
      </c>
      <c r="B350" s="347" t="s">
        <v>15</v>
      </c>
      <c r="C350" s="317" t="s">
        <v>28</v>
      </c>
      <c r="D350" s="378" t="s">
        <v>24</v>
      </c>
      <c r="E350" s="426">
        <v>3880</v>
      </c>
      <c r="F350" s="444">
        <v>370</v>
      </c>
      <c r="G350" s="409">
        <v>0</v>
      </c>
      <c r="H350" s="428">
        <f t="shared" si="32"/>
        <v>1435600</v>
      </c>
      <c r="I350" s="447">
        <f t="shared" si="31"/>
        <v>4306800</v>
      </c>
    </row>
    <row r="351" spans="1:9" x14ac:dyDescent="0.25">
      <c r="A351" s="232">
        <v>525</v>
      </c>
      <c r="B351" s="339" t="s">
        <v>15</v>
      </c>
      <c r="C351" s="260" t="s">
        <v>173</v>
      </c>
      <c r="D351" s="244" t="s">
        <v>25</v>
      </c>
      <c r="E351" s="245">
        <v>16010.800000000001</v>
      </c>
      <c r="F351" s="403">
        <v>2</v>
      </c>
      <c r="G351" s="404">
        <v>0</v>
      </c>
      <c r="H351" s="246">
        <f t="shared" si="32"/>
        <v>32021.600000000002</v>
      </c>
      <c r="I351" s="447">
        <f t="shared" si="31"/>
        <v>96064.8</v>
      </c>
    </row>
    <row r="352" spans="1:9" x14ac:dyDescent="0.25">
      <c r="A352" s="232">
        <v>526</v>
      </c>
      <c r="B352" s="347" t="s">
        <v>15</v>
      </c>
      <c r="C352" s="256" t="s">
        <v>63</v>
      </c>
      <c r="D352" s="257" t="s">
        <v>25</v>
      </c>
      <c r="E352" s="258">
        <v>20000</v>
      </c>
      <c r="F352" s="238">
        <v>30</v>
      </c>
      <c r="G352" s="240">
        <v>0.1</v>
      </c>
      <c r="H352" s="241">
        <f>+E352*F352*(1+G352)</f>
        <v>660000</v>
      </c>
      <c r="I352" s="447">
        <f t="shared" si="31"/>
        <v>1980000</v>
      </c>
    </row>
    <row r="353" spans="1:9" x14ac:dyDescent="0.25">
      <c r="A353" s="232">
        <v>527</v>
      </c>
      <c r="B353" s="347" t="s">
        <v>15</v>
      </c>
      <c r="C353" s="243" t="s">
        <v>174</v>
      </c>
      <c r="D353" s="259" t="s">
        <v>25</v>
      </c>
      <c r="E353" s="245">
        <v>700</v>
      </c>
      <c r="F353" s="238">
        <v>30</v>
      </c>
      <c r="G353" s="240">
        <v>0</v>
      </c>
      <c r="H353" s="246">
        <f t="shared" ref="H353:H365" si="33">+E353*F353</f>
        <v>21000</v>
      </c>
      <c r="I353" s="447">
        <f t="shared" si="31"/>
        <v>63000</v>
      </c>
    </row>
    <row r="354" spans="1:9" x14ac:dyDescent="0.25">
      <c r="A354" s="232">
        <v>528</v>
      </c>
      <c r="B354" s="347" t="s">
        <v>15</v>
      </c>
      <c r="C354" s="247" t="s">
        <v>30</v>
      </c>
      <c r="D354" s="244" t="s">
        <v>24</v>
      </c>
      <c r="E354" s="245">
        <v>2000</v>
      </c>
      <c r="F354" s="238">
        <v>80</v>
      </c>
      <c r="G354" s="240">
        <v>0</v>
      </c>
      <c r="H354" s="246">
        <f t="shared" si="33"/>
        <v>160000</v>
      </c>
      <c r="I354" s="447">
        <f t="shared" si="31"/>
        <v>480000</v>
      </c>
    </row>
    <row r="355" spans="1:9" x14ac:dyDescent="0.25">
      <c r="A355" s="232">
        <v>529</v>
      </c>
      <c r="B355" s="347" t="s">
        <v>15</v>
      </c>
      <c r="C355" s="436" t="s">
        <v>171</v>
      </c>
      <c r="D355" s="378" t="s">
        <v>25</v>
      </c>
      <c r="E355" s="386">
        <v>3740</v>
      </c>
      <c r="F355" s="238">
        <v>4</v>
      </c>
      <c r="G355" s="240">
        <v>0</v>
      </c>
      <c r="H355" s="246">
        <f t="shared" si="33"/>
        <v>14960</v>
      </c>
      <c r="I355" s="447">
        <f t="shared" si="31"/>
        <v>44880</v>
      </c>
    </row>
    <row r="356" spans="1:9" x14ac:dyDescent="0.25">
      <c r="A356" s="232">
        <v>530</v>
      </c>
      <c r="B356" s="347" t="s">
        <v>15</v>
      </c>
      <c r="C356" s="317" t="s">
        <v>29</v>
      </c>
      <c r="D356" s="378" t="s">
        <v>24</v>
      </c>
      <c r="E356" s="426">
        <v>6870</v>
      </c>
      <c r="F356" s="558">
        <v>100</v>
      </c>
      <c r="G356" s="409">
        <v>0</v>
      </c>
      <c r="H356" s="428">
        <f t="shared" si="33"/>
        <v>687000</v>
      </c>
      <c r="I356" s="447">
        <f t="shared" si="31"/>
        <v>2061000</v>
      </c>
    </row>
    <row r="357" spans="1:9" x14ac:dyDescent="0.25">
      <c r="A357" s="232">
        <v>531</v>
      </c>
      <c r="B357" s="347" t="s">
        <v>15</v>
      </c>
      <c r="C357" s="433" t="s">
        <v>104</v>
      </c>
      <c r="D357" s="257" t="s">
        <v>25</v>
      </c>
      <c r="E357" s="245">
        <v>271000</v>
      </c>
      <c r="F357" s="238">
        <v>1</v>
      </c>
      <c r="G357" s="240">
        <v>0</v>
      </c>
      <c r="H357" s="246">
        <f t="shared" si="33"/>
        <v>271000</v>
      </c>
      <c r="I357" s="447">
        <f t="shared" si="31"/>
        <v>813000</v>
      </c>
    </row>
    <row r="358" spans="1:9" x14ac:dyDescent="0.25">
      <c r="A358" s="232">
        <v>532</v>
      </c>
      <c r="B358" s="347" t="s">
        <v>15</v>
      </c>
      <c r="C358" s="247" t="s">
        <v>164</v>
      </c>
      <c r="D358" s="244" t="s">
        <v>25</v>
      </c>
      <c r="E358" s="245">
        <v>4150</v>
      </c>
      <c r="F358" s="238">
        <v>4</v>
      </c>
      <c r="G358" s="240">
        <v>0</v>
      </c>
      <c r="H358" s="246">
        <f t="shared" si="33"/>
        <v>16600</v>
      </c>
      <c r="I358" s="447">
        <f t="shared" si="31"/>
        <v>49800</v>
      </c>
    </row>
    <row r="359" spans="1:9" x14ac:dyDescent="0.25">
      <c r="A359" s="232">
        <v>533</v>
      </c>
      <c r="B359" s="347" t="s">
        <v>15</v>
      </c>
      <c r="C359" s="247" t="s">
        <v>163</v>
      </c>
      <c r="D359" s="244" t="s">
        <v>25</v>
      </c>
      <c r="E359" s="316">
        <v>8800</v>
      </c>
      <c r="F359" s="238">
        <v>4</v>
      </c>
      <c r="G359" s="240">
        <v>0</v>
      </c>
      <c r="H359" s="246">
        <f t="shared" si="33"/>
        <v>35200</v>
      </c>
      <c r="I359" s="447">
        <f t="shared" si="31"/>
        <v>105600</v>
      </c>
    </row>
    <row r="360" spans="1:9" x14ac:dyDescent="0.25">
      <c r="A360" s="232">
        <v>534</v>
      </c>
      <c r="B360" s="347" t="s">
        <v>15</v>
      </c>
      <c r="C360" s="247" t="s">
        <v>170</v>
      </c>
      <c r="D360" s="244" t="s">
        <v>24</v>
      </c>
      <c r="E360" s="245">
        <v>11000</v>
      </c>
      <c r="F360" s="238">
        <v>60</v>
      </c>
      <c r="G360" s="240">
        <v>0</v>
      </c>
      <c r="H360" s="246">
        <f t="shared" si="33"/>
        <v>660000</v>
      </c>
      <c r="I360" s="447">
        <f t="shared" si="31"/>
        <v>1980000</v>
      </c>
    </row>
    <row r="361" spans="1:9" x14ac:dyDescent="0.25">
      <c r="A361" s="232">
        <v>535</v>
      </c>
      <c r="B361" s="360" t="s">
        <v>15</v>
      </c>
      <c r="C361" s="367" t="s">
        <v>99</v>
      </c>
      <c r="D361" s="381" t="s">
        <v>25</v>
      </c>
      <c r="E361" s="396">
        <v>1000</v>
      </c>
      <c r="F361" s="402">
        <v>20</v>
      </c>
      <c r="G361" s="407">
        <v>0</v>
      </c>
      <c r="H361" s="246">
        <f t="shared" si="33"/>
        <v>20000</v>
      </c>
      <c r="I361" s="447">
        <f t="shared" si="31"/>
        <v>60000</v>
      </c>
    </row>
    <row r="362" spans="1:9" x14ac:dyDescent="0.25">
      <c r="A362" s="232">
        <v>536</v>
      </c>
      <c r="B362" s="358" t="s">
        <v>15</v>
      </c>
      <c r="C362" s="364" t="s">
        <v>168</v>
      </c>
      <c r="D362" s="380" t="s">
        <v>25</v>
      </c>
      <c r="E362" s="391">
        <v>2600</v>
      </c>
      <c r="F362" s="293">
        <v>12</v>
      </c>
      <c r="G362" s="405">
        <v>0</v>
      </c>
      <c r="H362" s="412">
        <f t="shared" si="33"/>
        <v>31200</v>
      </c>
      <c r="I362" s="447">
        <f t="shared" si="31"/>
        <v>93600</v>
      </c>
    </row>
    <row r="363" spans="1:9" x14ac:dyDescent="0.25">
      <c r="A363" s="232">
        <v>537</v>
      </c>
      <c r="B363" s="358" t="s">
        <v>15</v>
      </c>
      <c r="C363" s="366" t="s">
        <v>169</v>
      </c>
      <c r="D363" s="380" t="s">
        <v>25</v>
      </c>
      <c r="E363" s="391">
        <v>3150</v>
      </c>
      <c r="F363" s="238">
        <v>12</v>
      </c>
      <c r="G363" s="240">
        <v>0</v>
      </c>
      <c r="H363" s="246">
        <f t="shared" si="33"/>
        <v>37800</v>
      </c>
      <c r="I363" s="447">
        <f t="shared" si="31"/>
        <v>113400</v>
      </c>
    </row>
    <row r="364" spans="1:9" x14ac:dyDescent="0.25">
      <c r="A364" s="232">
        <v>538</v>
      </c>
      <c r="B364" s="358" t="s">
        <v>15</v>
      </c>
      <c r="C364" s="559" t="s">
        <v>67</v>
      </c>
      <c r="D364" s="380" t="s">
        <v>25</v>
      </c>
      <c r="E364" s="391">
        <v>10890</v>
      </c>
      <c r="F364" s="553">
        <v>12</v>
      </c>
      <c r="G364" s="405">
        <v>0</v>
      </c>
      <c r="H364" s="412">
        <f t="shared" si="33"/>
        <v>130680</v>
      </c>
      <c r="I364" s="447">
        <f t="shared" si="31"/>
        <v>392040</v>
      </c>
    </row>
    <row r="365" spans="1:9" x14ac:dyDescent="0.25">
      <c r="A365" s="232">
        <v>539</v>
      </c>
      <c r="B365" s="358" t="s">
        <v>15</v>
      </c>
      <c r="C365" s="364" t="s">
        <v>27</v>
      </c>
      <c r="D365" s="380" t="s">
        <v>25</v>
      </c>
      <c r="E365" s="388">
        <v>525308</v>
      </c>
      <c r="F365" s="293">
        <v>1</v>
      </c>
      <c r="G365" s="405">
        <v>0</v>
      </c>
      <c r="H365" s="412">
        <f t="shared" si="33"/>
        <v>525308</v>
      </c>
      <c r="I365" s="447">
        <f t="shared" si="31"/>
        <v>1575924</v>
      </c>
    </row>
    <row r="366" spans="1:9" ht="30" x14ac:dyDescent="0.25">
      <c r="A366" s="232">
        <v>543</v>
      </c>
      <c r="B366" s="358" t="s">
        <v>16</v>
      </c>
      <c r="C366" s="419" t="s">
        <v>184</v>
      </c>
      <c r="D366" s="293" t="s">
        <v>46</v>
      </c>
      <c r="E366" s="420">
        <v>33333</v>
      </c>
      <c r="F366" s="293">
        <v>1.4</v>
      </c>
      <c r="G366" s="405">
        <v>0</v>
      </c>
      <c r="H366" s="410">
        <f t="shared" ref="H366:H371" si="34">IF(E366="-","-",E366*F366*(1+G366))</f>
        <v>46666.2</v>
      </c>
      <c r="I366" s="447">
        <f t="shared" si="31"/>
        <v>139998.59999999998</v>
      </c>
    </row>
    <row r="367" spans="1:9" x14ac:dyDescent="0.25">
      <c r="A367" s="232">
        <v>548</v>
      </c>
      <c r="B367" s="358" t="s">
        <v>17</v>
      </c>
      <c r="C367" s="364" t="s">
        <v>52</v>
      </c>
      <c r="D367" s="293" t="s">
        <v>59</v>
      </c>
      <c r="E367" s="387">
        <v>140000</v>
      </c>
      <c r="F367" s="293">
        <v>20</v>
      </c>
      <c r="G367" s="405">
        <v>0</v>
      </c>
      <c r="H367" s="410">
        <f t="shared" si="34"/>
        <v>2800000</v>
      </c>
      <c r="I367" s="447">
        <f t="shared" si="31"/>
        <v>8400000</v>
      </c>
    </row>
    <row r="368" spans="1:9" ht="30" x14ac:dyDescent="0.25">
      <c r="A368" s="232">
        <v>549</v>
      </c>
      <c r="B368" s="359" t="s">
        <v>17</v>
      </c>
      <c r="C368" s="365" t="s">
        <v>43</v>
      </c>
      <c r="D368" s="382" t="s">
        <v>59</v>
      </c>
      <c r="E368" s="393">
        <v>160854</v>
      </c>
      <c r="F368" s="382">
        <v>20</v>
      </c>
      <c r="G368" s="406">
        <v>0</v>
      </c>
      <c r="H368" s="414">
        <f t="shared" si="34"/>
        <v>3217080</v>
      </c>
      <c r="I368" s="447">
        <f t="shared" si="31"/>
        <v>9651240</v>
      </c>
    </row>
    <row r="369" spans="1:9" x14ac:dyDescent="0.25">
      <c r="A369" s="232">
        <v>550</v>
      </c>
      <c r="B369" s="339" t="s">
        <v>17</v>
      </c>
      <c r="C369" s="247" t="s">
        <v>53</v>
      </c>
      <c r="D369" s="238" t="s">
        <v>59</v>
      </c>
      <c r="E369" s="272">
        <v>150000</v>
      </c>
      <c r="F369" s="238">
        <v>7</v>
      </c>
      <c r="G369" s="240">
        <v>0</v>
      </c>
      <c r="H369" s="241">
        <f t="shared" si="34"/>
        <v>1050000</v>
      </c>
      <c r="I369" s="447">
        <f t="shared" si="31"/>
        <v>3150000</v>
      </c>
    </row>
    <row r="370" spans="1:9" ht="14.25" customHeight="1" x14ac:dyDescent="0.25">
      <c r="A370" s="232">
        <v>551</v>
      </c>
      <c r="B370" s="339" t="s">
        <v>17</v>
      </c>
      <c r="C370" s="247" t="s">
        <v>68</v>
      </c>
      <c r="D370" s="238" t="s">
        <v>59</v>
      </c>
      <c r="E370" s="272">
        <v>150000</v>
      </c>
      <c r="F370" s="238">
        <v>30</v>
      </c>
      <c r="G370" s="240">
        <v>0</v>
      </c>
      <c r="H370" s="241">
        <f t="shared" si="34"/>
        <v>4500000</v>
      </c>
      <c r="I370" s="447">
        <f t="shared" si="31"/>
        <v>13500000</v>
      </c>
    </row>
    <row r="371" spans="1:9" ht="30" x14ac:dyDescent="0.25">
      <c r="A371" s="232">
        <v>552</v>
      </c>
      <c r="B371" s="339" t="s">
        <v>17</v>
      </c>
      <c r="C371" s="250" t="s">
        <v>69</v>
      </c>
      <c r="D371" s="238" t="s">
        <v>59</v>
      </c>
      <c r="E371" s="272">
        <v>90000</v>
      </c>
      <c r="F371" s="238">
        <v>40</v>
      </c>
      <c r="G371" s="240">
        <v>0</v>
      </c>
      <c r="H371" s="312">
        <f t="shared" si="34"/>
        <v>3600000</v>
      </c>
      <c r="I371" s="447">
        <f t="shared" si="31"/>
        <v>10800000</v>
      </c>
    </row>
  </sheetData>
  <autoFilter ref="A1:K371" xr:uid="{F223201E-E078-4E63-9E6A-CA70C9EA13FE}"/>
  <sortState xmlns:xlrd2="http://schemas.microsoft.com/office/spreadsheetml/2017/richdata2" ref="A2:J371">
    <sortCondition ref="A2:A37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3774-0CD1-401D-AC2A-0066A0D4C8DA}">
  <dimension ref="A1:S370"/>
  <sheetViews>
    <sheetView topLeftCell="E1" zoomScale="85" zoomScaleNormal="85" workbookViewId="0">
      <pane ySplit="1" topLeftCell="A26" activePane="bottomLeft" state="frozen"/>
      <selection pane="bottomLeft" activeCell="L1" sqref="L1"/>
    </sheetView>
  </sheetViews>
  <sheetFormatPr baseColWidth="10" defaultColWidth="9" defaultRowHeight="16.5" x14ac:dyDescent="0.3"/>
  <cols>
    <col min="1" max="1" width="9.140625" style="468" bestFit="1" customWidth="1"/>
    <col min="2" max="3" width="21.5703125" style="468" customWidth="1"/>
    <col min="4" max="4" width="50.7109375" style="496" customWidth="1"/>
    <col min="5" max="5" width="8.140625" style="468" bestFit="1" customWidth="1"/>
    <col min="6" max="6" width="15" style="531" bestFit="1" customWidth="1"/>
    <col min="7" max="7" width="11.140625" style="511" bestFit="1" customWidth="1"/>
    <col min="8" max="8" width="11.140625" style="468" customWidth="1"/>
    <col min="9" max="9" width="14" style="468" bestFit="1" customWidth="1"/>
    <col min="10" max="10" width="16" style="468" bestFit="1" customWidth="1"/>
    <col min="11" max="11" width="13" style="468" bestFit="1" customWidth="1"/>
    <col min="12" max="12" width="16.28515625" style="468" customWidth="1"/>
    <col min="13" max="13" width="12.28515625" style="562" bestFit="1" customWidth="1"/>
    <col min="14" max="14" width="12.7109375" style="468" customWidth="1"/>
    <col min="15" max="15" width="47.42578125" style="540" customWidth="1"/>
    <col min="16" max="16" width="15" style="540" customWidth="1"/>
    <col min="17" max="17" width="9" style="468" customWidth="1"/>
    <col min="18" max="18" width="9" style="468"/>
    <col min="19" max="19" width="11.7109375" style="468" customWidth="1"/>
    <col min="20" max="16384" width="9" style="468"/>
  </cols>
  <sheetData>
    <row r="1" spans="1:18" s="504" customFormat="1" x14ac:dyDescent="0.3">
      <c r="A1" s="467" t="s">
        <v>205</v>
      </c>
      <c r="B1" s="459" t="s">
        <v>7</v>
      </c>
      <c r="C1" s="459" t="s">
        <v>211</v>
      </c>
      <c r="D1" s="459" t="s">
        <v>8</v>
      </c>
      <c r="E1" s="459" t="s">
        <v>3</v>
      </c>
      <c r="F1" s="461" t="s">
        <v>9</v>
      </c>
      <c r="G1" s="498" t="s">
        <v>212</v>
      </c>
      <c r="H1" s="460" t="s">
        <v>213</v>
      </c>
      <c r="I1" s="459" t="s">
        <v>11</v>
      </c>
      <c r="J1" s="461" t="s">
        <v>12</v>
      </c>
      <c r="K1" s="461" t="s">
        <v>206</v>
      </c>
      <c r="L1" s="538">
        <f>SUM(L2:L370)</f>
        <v>1161943130.8000002</v>
      </c>
      <c r="M1" s="560" t="s">
        <v>214</v>
      </c>
      <c r="N1" s="514" t="s">
        <v>215</v>
      </c>
      <c r="O1" s="567" t="s">
        <v>216</v>
      </c>
      <c r="P1" s="570" t="s">
        <v>72</v>
      </c>
    </row>
    <row r="2" spans="1:18" s="464" customFormat="1" ht="66" x14ac:dyDescent="0.3">
      <c r="A2" s="534">
        <v>2</v>
      </c>
      <c r="B2" s="535" t="s">
        <v>207</v>
      </c>
      <c r="C2" s="487">
        <v>1</v>
      </c>
      <c r="D2" s="486" t="s">
        <v>200</v>
      </c>
      <c r="E2" s="486"/>
      <c r="F2" s="536"/>
      <c r="G2" s="507"/>
      <c r="H2" s="502">
        <v>3</v>
      </c>
      <c r="I2" s="486"/>
      <c r="J2" s="534"/>
      <c r="K2" s="534"/>
      <c r="L2" s="537">
        <f>SUM(K3:K37)</f>
        <v>126133741.2</v>
      </c>
      <c r="M2" s="561"/>
      <c r="O2" s="540"/>
      <c r="P2" s="540"/>
    </row>
    <row r="3" spans="1:18" ht="66" x14ac:dyDescent="0.3">
      <c r="A3" s="497">
        <v>60</v>
      </c>
      <c r="B3" s="465" t="s">
        <v>207</v>
      </c>
      <c r="C3" s="466">
        <v>2</v>
      </c>
      <c r="D3" s="467" t="s">
        <v>201</v>
      </c>
      <c r="E3" s="467"/>
      <c r="F3" s="514"/>
      <c r="G3" s="505"/>
      <c r="H3" s="499">
        <v>6</v>
      </c>
      <c r="I3" s="467"/>
      <c r="J3" s="503"/>
      <c r="K3" s="497"/>
      <c r="L3" s="533">
        <f>SUM(K4:K38)</f>
        <v>126149141.2</v>
      </c>
      <c r="M3" s="561"/>
      <c r="N3" s="464"/>
    </row>
    <row r="4" spans="1:18" ht="66" x14ac:dyDescent="0.3">
      <c r="A4" s="497">
        <v>119</v>
      </c>
      <c r="B4" s="465" t="s">
        <v>207</v>
      </c>
      <c r="C4" s="466">
        <v>3</v>
      </c>
      <c r="D4" s="467" t="s">
        <v>195</v>
      </c>
      <c r="E4" s="467"/>
      <c r="F4" s="514"/>
      <c r="G4" s="505"/>
      <c r="H4" s="500">
        <v>5</v>
      </c>
      <c r="I4" s="467"/>
      <c r="J4" s="503"/>
      <c r="K4" s="497"/>
      <c r="L4" s="533">
        <f>SUM(K5:K46)</f>
        <v>126625421.2</v>
      </c>
      <c r="M4" s="561"/>
      <c r="N4" s="464"/>
    </row>
    <row r="5" spans="1:18" ht="66" x14ac:dyDescent="0.3">
      <c r="A5" s="512">
        <v>183</v>
      </c>
      <c r="B5" s="465" t="s">
        <v>207</v>
      </c>
      <c r="C5" s="466">
        <v>4</v>
      </c>
      <c r="D5" s="467" t="s">
        <v>196</v>
      </c>
      <c r="E5" s="467"/>
      <c r="F5" s="514"/>
      <c r="G5" s="505"/>
      <c r="H5" s="501">
        <v>7</v>
      </c>
      <c r="I5" s="467"/>
      <c r="J5" s="503"/>
      <c r="K5" s="512"/>
      <c r="L5" s="533">
        <f>SUM(K6:K40)</f>
        <v>126191141.2</v>
      </c>
      <c r="M5" s="561"/>
      <c r="N5" s="490"/>
    </row>
    <row r="6" spans="1:18" ht="66" x14ac:dyDescent="0.3">
      <c r="A6" s="497">
        <v>242</v>
      </c>
      <c r="B6" s="465" t="s">
        <v>207</v>
      </c>
      <c r="C6" s="466">
        <v>5</v>
      </c>
      <c r="D6" s="467" t="s">
        <v>44</v>
      </c>
      <c r="E6" s="467"/>
      <c r="F6" s="514"/>
      <c r="G6" s="505"/>
      <c r="H6" s="499">
        <v>1</v>
      </c>
      <c r="I6" s="467"/>
      <c r="J6" s="503"/>
      <c r="K6" s="497"/>
      <c r="L6" s="533">
        <f>SUM(K7:K45)</f>
        <v>126508661.2</v>
      </c>
      <c r="M6" s="561"/>
      <c r="N6" s="464"/>
    </row>
    <row r="7" spans="1:18" ht="66" x14ac:dyDescent="0.3">
      <c r="A7" s="497">
        <v>305</v>
      </c>
      <c r="B7" s="465" t="s">
        <v>207</v>
      </c>
      <c r="C7" s="466">
        <v>6</v>
      </c>
      <c r="D7" s="467" t="s">
        <v>202</v>
      </c>
      <c r="E7" s="467"/>
      <c r="F7" s="514"/>
      <c r="G7" s="505"/>
      <c r="H7" s="501">
        <v>4</v>
      </c>
      <c r="I7" s="467"/>
      <c r="J7" s="503"/>
      <c r="K7" s="497"/>
      <c r="L7" s="533">
        <f>SUM(K8:K49)</f>
        <v>126892301.2</v>
      </c>
      <c r="M7" s="561"/>
      <c r="N7" s="464"/>
    </row>
    <row r="8" spans="1:18" ht="66" x14ac:dyDescent="0.3">
      <c r="A8" s="497">
        <v>369</v>
      </c>
      <c r="B8" s="465" t="s">
        <v>207</v>
      </c>
      <c r="C8" s="466">
        <v>7</v>
      </c>
      <c r="D8" s="467" t="s">
        <v>198</v>
      </c>
      <c r="E8" s="467"/>
      <c r="F8" s="514"/>
      <c r="G8" s="505"/>
      <c r="H8" s="499">
        <v>6</v>
      </c>
      <c r="I8" s="467"/>
      <c r="J8" s="503"/>
      <c r="K8" s="497"/>
      <c r="L8" s="533">
        <f>SUM(K9:K50)</f>
        <v>126992381.2</v>
      </c>
      <c r="M8" s="561"/>
      <c r="N8" s="464"/>
    </row>
    <row r="9" spans="1:18" ht="198" x14ac:dyDescent="0.3">
      <c r="A9" s="497">
        <v>434</v>
      </c>
      <c r="B9" s="465" t="s">
        <v>207</v>
      </c>
      <c r="C9" s="466">
        <v>8</v>
      </c>
      <c r="D9" s="467" t="s">
        <v>217</v>
      </c>
      <c r="E9" s="467"/>
      <c r="F9" s="514"/>
      <c r="G9" s="505"/>
      <c r="H9" s="499">
        <v>1</v>
      </c>
      <c r="I9" s="467"/>
      <c r="J9" s="503"/>
      <c r="K9" s="497"/>
      <c r="L9" s="533">
        <f>SUM(K10:K56)</f>
        <v>149941681.20000002</v>
      </c>
      <c r="M9" s="561"/>
      <c r="N9" s="464"/>
    </row>
    <row r="10" spans="1:18" ht="148.5" x14ac:dyDescent="0.3">
      <c r="A10" s="497">
        <v>504</v>
      </c>
      <c r="B10" s="465" t="s">
        <v>207</v>
      </c>
      <c r="C10" s="466">
        <v>9</v>
      </c>
      <c r="D10" s="467" t="s">
        <v>51</v>
      </c>
      <c r="E10" s="467"/>
      <c r="F10" s="514"/>
      <c r="G10" s="505"/>
      <c r="H10" s="499">
        <v>3</v>
      </c>
      <c r="I10" s="467"/>
      <c r="J10" s="503"/>
      <c r="K10" s="497"/>
      <c r="L10" s="533">
        <f>SUM(K11:K45)</f>
        <v>126508661.2</v>
      </c>
      <c r="M10" s="561"/>
      <c r="N10" s="464"/>
    </row>
    <row r="11" spans="1:18" x14ac:dyDescent="0.3">
      <c r="A11" s="503">
        <v>459</v>
      </c>
      <c r="B11" s="473" t="s">
        <v>15</v>
      </c>
      <c r="C11" s="473" t="s">
        <v>250</v>
      </c>
      <c r="D11" s="476" t="s">
        <v>65</v>
      </c>
      <c r="E11" s="475" t="s">
        <v>25</v>
      </c>
      <c r="F11" s="518">
        <v>105000</v>
      </c>
      <c r="G11" s="508">
        <v>9</v>
      </c>
      <c r="H11" s="462">
        <f>G11*1</f>
        <v>9</v>
      </c>
      <c r="I11" s="471">
        <v>0</v>
      </c>
      <c r="J11" s="472">
        <f t="shared" ref="J11:J73" si="0">+F11*G11*(1+I11)</f>
        <v>945000</v>
      </c>
      <c r="K11" s="463">
        <f t="shared" ref="K11:K73" si="1">+F11*H11*(1+I11)</f>
        <v>945000</v>
      </c>
      <c r="M11" s="563">
        <v>94605</v>
      </c>
      <c r="P11" s="569">
        <f>+F11*100/M11 -100</f>
        <v>10.987791342952278</v>
      </c>
    </row>
    <row r="12" spans="1:18" x14ac:dyDescent="0.3">
      <c r="A12" s="503">
        <v>15</v>
      </c>
      <c r="B12" s="473" t="s">
        <v>15</v>
      </c>
      <c r="C12" s="473" t="s">
        <v>250</v>
      </c>
      <c r="D12" s="492" t="s">
        <v>148</v>
      </c>
      <c r="E12" s="475" t="s">
        <v>25</v>
      </c>
      <c r="F12" s="516">
        <v>512800</v>
      </c>
      <c r="G12" s="506">
        <v>2</v>
      </c>
      <c r="H12" s="462">
        <f>G12*3</f>
        <v>6</v>
      </c>
      <c r="I12" s="471">
        <v>0</v>
      </c>
      <c r="J12" s="472">
        <f t="shared" si="0"/>
        <v>1025600</v>
      </c>
      <c r="K12" s="463">
        <f t="shared" si="1"/>
        <v>3076800</v>
      </c>
      <c r="M12" s="563">
        <v>466259</v>
      </c>
      <c r="O12" s="540" t="s">
        <v>264</v>
      </c>
      <c r="P12" s="569">
        <f t="shared" ref="P12:P28" si="2">+F12*100/M12 -100</f>
        <v>9.9817912362013317</v>
      </c>
      <c r="R12" s="468">
        <f>399422*1.19</f>
        <v>475312.18</v>
      </c>
    </row>
    <row r="13" spans="1:18" x14ac:dyDescent="0.3">
      <c r="A13" s="503">
        <v>73</v>
      </c>
      <c r="B13" s="473" t="s">
        <v>15</v>
      </c>
      <c r="C13" s="473" t="s">
        <v>250</v>
      </c>
      <c r="D13" s="492" t="s">
        <v>148</v>
      </c>
      <c r="E13" s="475" t="s">
        <v>25</v>
      </c>
      <c r="F13" s="516">
        <v>512800</v>
      </c>
      <c r="G13" s="506">
        <v>1</v>
      </c>
      <c r="H13" s="462">
        <f>G13*6</f>
        <v>6</v>
      </c>
      <c r="I13" s="471">
        <v>0</v>
      </c>
      <c r="J13" s="472">
        <f t="shared" si="0"/>
        <v>512800</v>
      </c>
      <c r="K13" s="463">
        <f t="shared" si="1"/>
        <v>3076800</v>
      </c>
      <c r="M13" s="563">
        <v>466259</v>
      </c>
      <c r="O13" s="540" t="s">
        <v>264</v>
      </c>
      <c r="P13" s="569">
        <f t="shared" si="2"/>
        <v>9.9817912362013317</v>
      </c>
    </row>
    <row r="14" spans="1:18" x14ac:dyDescent="0.3">
      <c r="A14" s="503">
        <v>318</v>
      </c>
      <c r="B14" s="473" t="s">
        <v>15</v>
      </c>
      <c r="C14" s="473" t="s">
        <v>250</v>
      </c>
      <c r="D14" s="492" t="s">
        <v>148</v>
      </c>
      <c r="E14" s="475" t="s">
        <v>25</v>
      </c>
      <c r="F14" s="516">
        <v>512800</v>
      </c>
      <c r="G14" s="506">
        <v>1</v>
      </c>
      <c r="H14" s="462">
        <f>G14*4</f>
        <v>4</v>
      </c>
      <c r="I14" s="471">
        <v>0</v>
      </c>
      <c r="J14" s="472">
        <f t="shared" si="0"/>
        <v>512800</v>
      </c>
      <c r="K14" s="463">
        <f t="shared" si="1"/>
        <v>2051200</v>
      </c>
      <c r="M14" s="563">
        <v>466259</v>
      </c>
      <c r="O14" s="540" t="s">
        <v>264</v>
      </c>
      <c r="P14" s="569">
        <f t="shared" si="2"/>
        <v>9.9817912362013317</v>
      </c>
    </row>
    <row r="15" spans="1:18" x14ac:dyDescent="0.3">
      <c r="A15" s="503">
        <v>383</v>
      </c>
      <c r="B15" s="473" t="s">
        <v>15</v>
      </c>
      <c r="C15" s="473" t="s">
        <v>250</v>
      </c>
      <c r="D15" s="492" t="s">
        <v>148</v>
      </c>
      <c r="E15" s="480" t="s">
        <v>25</v>
      </c>
      <c r="F15" s="521">
        <v>512800</v>
      </c>
      <c r="G15" s="506">
        <v>2</v>
      </c>
      <c r="H15" s="462">
        <f>G15*6</f>
        <v>12</v>
      </c>
      <c r="I15" s="471">
        <v>0</v>
      </c>
      <c r="J15" s="472">
        <f t="shared" si="0"/>
        <v>1025600</v>
      </c>
      <c r="K15" s="463">
        <f t="shared" si="1"/>
        <v>6153600</v>
      </c>
      <c r="M15" s="563">
        <v>466259</v>
      </c>
      <c r="O15" s="540" t="s">
        <v>264</v>
      </c>
      <c r="P15" s="569">
        <f t="shared" si="2"/>
        <v>9.9817912362013317</v>
      </c>
    </row>
    <row r="16" spans="1:18" x14ac:dyDescent="0.3">
      <c r="A16" s="503">
        <v>516</v>
      </c>
      <c r="B16" s="473" t="s">
        <v>15</v>
      </c>
      <c r="C16" s="473" t="s">
        <v>250</v>
      </c>
      <c r="D16" s="492" t="s">
        <v>148</v>
      </c>
      <c r="E16" s="475" t="s">
        <v>25</v>
      </c>
      <c r="F16" s="516">
        <v>512800</v>
      </c>
      <c r="G16" s="506">
        <v>6</v>
      </c>
      <c r="H16" s="462">
        <f>G16*3</f>
        <v>18</v>
      </c>
      <c r="I16" s="471">
        <v>0</v>
      </c>
      <c r="J16" s="472">
        <f t="shared" si="0"/>
        <v>3076800</v>
      </c>
      <c r="K16" s="463">
        <f t="shared" si="1"/>
        <v>9230400</v>
      </c>
      <c r="M16" s="563">
        <v>466259</v>
      </c>
      <c r="O16" s="540" t="s">
        <v>264</v>
      </c>
      <c r="P16" s="569">
        <f t="shared" si="2"/>
        <v>9.9817912362013317</v>
      </c>
    </row>
    <row r="17" spans="1:19" x14ac:dyDescent="0.3">
      <c r="A17" s="503">
        <v>517</v>
      </c>
      <c r="B17" s="473" t="s">
        <v>15</v>
      </c>
      <c r="C17" s="473" t="s">
        <v>250</v>
      </c>
      <c r="D17" s="494" t="s">
        <v>227</v>
      </c>
      <c r="E17" s="475" t="s">
        <v>25</v>
      </c>
      <c r="F17" s="516">
        <v>292800</v>
      </c>
      <c r="G17" s="506">
        <v>6</v>
      </c>
      <c r="H17" s="462">
        <f>G17*3</f>
        <v>18</v>
      </c>
      <c r="I17" s="471">
        <v>0</v>
      </c>
      <c r="J17" s="472">
        <f t="shared" si="0"/>
        <v>1756800</v>
      </c>
      <c r="K17" s="463">
        <f t="shared" si="1"/>
        <v>5270400</v>
      </c>
      <c r="M17" s="563">
        <v>266247</v>
      </c>
      <c r="O17" s="540" t="s">
        <v>264</v>
      </c>
      <c r="P17" s="569">
        <f t="shared" si="2"/>
        <v>9.9730701190999298</v>
      </c>
    </row>
    <row r="18" spans="1:19" ht="33.75" customHeight="1" x14ac:dyDescent="0.3">
      <c r="A18" s="503">
        <v>446</v>
      </c>
      <c r="B18" s="473" t="s">
        <v>15</v>
      </c>
      <c r="C18" s="473" t="s">
        <v>250</v>
      </c>
      <c r="D18" s="489" t="s">
        <v>263</v>
      </c>
      <c r="E18" s="475" t="s">
        <v>25</v>
      </c>
      <c r="F18" s="524">
        <v>9400000</v>
      </c>
      <c r="G18" s="510">
        <v>1</v>
      </c>
      <c r="H18" s="462">
        <f>G18*1</f>
        <v>1</v>
      </c>
      <c r="I18" s="471">
        <v>0</v>
      </c>
      <c r="J18" s="472">
        <f t="shared" si="0"/>
        <v>9400000</v>
      </c>
      <c r="K18" s="463">
        <f t="shared" si="1"/>
        <v>9400000</v>
      </c>
      <c r="M18" s="568">
        <f>5867000+250000+639000</f>
        <v>6756000</v>
      </c>
      <c r="O18" s="540" t="s">
        <v>265</v>
      </c>
      <c r="P18" s="569">
        <f t="shared" si="2"/>
        <v>39.135583185316762</v>
      </c>
      <c r="Q18" s="496" t="s">
        <v>328</v>
      </c>
    </row>
    <row r="19" spans="1:19" x14ac:dyDescent="0.3">
      <c r="A19" s="503">
        <v>453</v>
      </c>
      <c r="B19" s="473" t="s">
        <v>15</v>
      </c>
      <c r="C19" s="473" t="s">
        <v>250</v>
      </c>
      <c r="D19" s="476" t="s">
        <v>106</v>
      </c>
      <c r="E19" s="475" t="s">
        <v>25</v>
      </c>
      <c r="F19" s="517">
        <v>1145000</v>
      </c>
      <c r="G19" s="508">
        <v>12</v>
      </c>
      <c r="H19" s="462">
        <f>G19*1</f>
        <v>12</v>
      </c>
      <c r="I19" s="471">
        <v>0</v>
      </c>
      <c r="J19" s="472">
        <f t="shared" si="0"/>
        <v>13740000</v>
      </c>
      <c r="K19" s="463">
        <f t="shared" si="1"/>
        <v>13740000</v>
      </c>
      <c r="M19" s="563">
        <v>1019772</v>
      </c>
      <c r="O19" s="540" t="s">
        <v>264</v>
      </c>
      <c r="P19" s="569">
        <f t="shared" si="2"/>
        <v>12.279999843102189</v>
      </c>
    </row>
    <row r="20" spans="1:19" x14ac:dyDescent="0.3">
      <c r="A20" s="503">
        <v>132</v>
      </c>
      <c r="B20" s="473" t="s">
        <v>15</v>
      </c>
      <c r="C20" s="473" t="s">
        <v>250</v>
      </c>
      <c r="D20" s="476" t="s">
        <v>40</v>
      </c>
      <c r="E20" s="475" t="s">
        <v>25</v>
      </c>
      <c r="F20" s="516">
        <v>3199000</v>
      </c>
      <c r="G20" s="506">
        <v>1</v>
      </c>
      <c r="H20" s="462">
        <f>G20*5</f>
        <v>5</v>
      </c>
      <c r="I20" s="471">
        <v>0</v>
      </c>
      <c r="J20" s="472">
        <f t="shared" si="0"/>
        <v>3199000</v>
      </c>
      <c r="K20" s="463">
        <f t="shared" si="1"/>
        <v>15995000</v>
      </c>
      <c r="M20" s="563">
        <v>2908598</v>
      </c>
      <c r="O20" s="540" t="s">
        <v>264</v>
      </c>
      <c r="P20" s="569">
        <f t="shared" si="2"/>
        <v>9.9842604581313736</v>
      </c>
      <c r="R20" s="468">
        <f>2326564*1.19</f>
        <v>2768611.1599999997</v>
      </c>
      <c r="S20" s="571">
        <f>M20-R20</f>
        <v>139986.84000000032</v>
      </c>
    </row>
    <row r="21" spans="1:19" x14ac:dyDescent="0.3">
      <c r="A21" s="503">
        <v>196</v>
      </c>
      <c r="B21" s="473" t="s">
        <v>15</v>
      </c>
      <c r="C21" s="473" t="s">
        <v>250</v>
      </c>
      <c r="D21" s="476" t="s">
        <v>40</v>
      </c>
      <c r="E21" s="475" t="s">
        <v>25</v>
      </c>
      <c r="F21" s="516">
        <v>3199000</v>
      </c>
      <c r="G21" s="506">
        <v>1</v>
      </c>
      <c r="H21" s="462">
        <f>G21*7</f>
        <v>7</v>
      </c>
      <c r="I21" s="471">
        <v>0</v>
      </c>
      <c r="J21" s="472">
        <f t="shared" si="0"/>
        <v>3199000</v>
      </c>
      <c r="K21" s="463">
        <f t="shared" si="1"/>
        <v>22393000</v>
      </c>
      <c r="M21" s="563">
        <v>2908598</v>
      </c>
      <c r="O21" s="540" t="s">
        <v>264</v>
      </c>
      <c r="P21" s="569">
        <f t="shared" si="2"/>
        <v>9.9842604581313736</v>
      </c>
      <c r="R21" s="468">
        <f>2326564*1.19</f>
        <v>2768611.1599999997</v>
      </c>
      <c r="S21" s="571">
        <f>M21-R21</f>
        <v>139986.84000000032</v>
      </c>
    </row>
    <row r="22" spans="1:19" x14ac:dyDescent="0.3">
      <c r="A22" s="503">
        <v>447</v>
      </c>
      <c r="B22" s="473" t="s">
        <v>15</v>
      </c>
      <c r="C22" s="473" t="s">
        <v>250</v>
      </c>
      <c r="D22" s="476" t="s">
        <v>48</v>
      </c>
      <c r="E22" s="475" t="s">
        <v>25</v>
      </c>
      <c r="F22" s="517">
        <v>3000000</v>
      </c>
      <c r="G22" s="508">
        <v>1</v>
      </c>
      <c r="H22" s="462">
        <f>G22*1</f>
        <v>1</v>
      </c>
      <c r="I22" s="471">
        <v>0</v>
      </c>
      <c r="J22" s="472">
        <f t="shared" si="0"/>
        <v>3000000</v>
      </c>
      <c r="K22" s="463">
        <f t="shared" si="1"/>
        <v>3000000</v>
      </c>
      <c r="M22" s="563">
        <f>1673000+639000</f>
        <v>2312000</v>
      </c>
      <c r="O22" s="540" t="s">
        <v>266</v>
      </c>
      <c r="P22" s="569">
        <f t="shared" si="2"/>
        <v>29.757785467128031</v>
      </c>
    </row>
    <row r="23" spans="1:19" x14ac:dyDescent="0.3">
      <c r="A23" s="503">
        <v>451</v>
      </c>
      <c r="B23" s="473" t="s">
        <v>15</v>
      </c>
      <c r="C23" s="473" t="s">
        <v>250</v>
      </c>
      <c r="D23" s="494" t="s">
        <v>187</v>
      </c>
      <c r="E23" s="475" t="s">
        <v>25</v>
      </c>
      <c r="F23" s="518">
        <v>1254000</v>
      </c>
      <c r="G23" s="508">
        <v>6</v>
      </c>
      <c r="H23" s="462">
        <f>G23*1</f>
        <v>6</v>
      </c>
      <c r="I23" s="471">
        <v>0</v>
      </c>
      <c r="J23" s="472">
        <f t="shared" si="0"/>
        <v>7524000</v>
      </c>
      <c r="K23" s="463">
        <f t="shared" si="1"/>
        <v>7524000</v>
      </c>
      <c r="M23" s="563">
        <f>958350*1.19</f>
        <v>1140436.5</v>
      </c>
      <c r="O23" s="540" t="s">
        <v>323</v>
      </c>
      <c r="P23" s="569">
        <f t="shared" si="2"/>
        <v>9.9578976996965594</v>
      </c>
    </row>
    <row r="24" spans="1:19" x14ac:dyDescent="0.3">
      <c r="A24" s="503">
        <v>452</v>
      </c>
      <c r="B24" s="473" t="s">
        <v>15</v>
      </c>
      <c r="C24" s="473" t="s">
        <v>250</v>
      </c>
      <c r="D24" s="476" t="s">
        <v>245</v>
      </c>
      <c r="E24" s="475" t="s">
        <v>25</v>
      </c>
      <c r="F24" s="518">
        <v>2000000</v>
      </c>
      <c r="G24" s="508">
        <v>3</v>
      </c>
      <c r="H24" s="462">
        <f>G24*1</f>
        <v>3</v>
      </c>
      <c r="I24" s="471">
        <v>0</v>
      </c>
      <c r="J24" s="472">
        <f t="shared" si="0"/>
        <v>6000000</v>
      </c>
      <c r="K24" s="463">
        <f t="shared" si="1"/>
        <v>6000000</v>
      </c>
      <c r="M24" s="563">
        <v>1978613</v>
      </c>
      <c r="O24" s="540" t="s">
        <v>264</v>
      </c>
      <c r="P24" s="569">
        <f t="shared" si="2"/>
        <v>1.0809086971530064</v>
      </c>
    </row>
    <row r="25" spans="1:19" x14ac:dyDescent="0.3">
      <c r="A25" s="503">
        <v>25</v>
      </c>
      <c r="B25" s="473" t="s">
        <v>15</v>
      </c>
      <c r="C25" s="473" t="s">
        <v>250</v>
      </c>
      <c r="D25" s="477" t="s">
        <v>31</v>
      </c>
      <c r="E25" s="475" t="s">
        <v>25</v>
      </c>
      <c r="F25" s="516">
        <v>78016.400000000009</v>
      </c>
      <c r="G25" s="506">
        <v>2</v>
      </c>
      <c r="H25" s="462">
        <f>G25*3</f>
        <v>6</v>
      </c>
      <c r="I25" s="471">
        <v>0</v>
      </c>
      <c r="J25" s="472">
        <f t="shared" si="0"/>
        <v>156032.80000000002</v>
      </c>
      <c r="K25" s="463">
        <f t="shared" si="1"/>
        <v>468098.4</v>
      </c>
      <c r="M25" s="626">
        <v>45000</v>
      </c>
      <c r="N25" s="541"/>
      <c r="O25" s="540" t="s">
        <v>267</v>
      </c>
      <c r="P25" s="569">
        <f t="shared" si="2"/>
        <v>73.369777777777784</v>
      </c>
    </row>
    <row r="26" spans="1:19" x14ac:dyDescent="0.3">
      <c r="A26" s="503">
        <v>83</v>
      </c>
      <c r="B26" s="473" t="s">
        <v>15</v>
      </c>
      <c r="C26" s="473" t="s">
        <v>250</v>
      </c>
      <c r="D26" s="476" t="s">
        <v>31</v>
      </c>
      <c r="E26" s="475" t="s">
        <v>25</v>
      </c>
      <c r="F26" s="516">
        <v>78016.400000000009</v>
      </c>
      <c r="G26" s="506">
        <v>1</v>
      </c>
      <c r="H26" s="462">
        <f>G26*6</f>
        <v>6</v>
      </c>
      <c r="I26" s="471">
        <v>0</v>
      </c>
      <c r="J26" s="472">
        <f t="shared" si="0"/>
        <v>78016.400000000009</v>
      </c>
      <c r="K26" s="463">
        <f t="shared" si="1"/>
        <v>468098.4</v>
      </c>
      <c r="M26" s="626">
        <v>45000</v>
      </c>
      <c r="N26" s="541"/>
      <c r="O26" s="540" t="s">
        <v>267</v>
      </c>
      <c r="P26" s="569">
        <f t="shared" si="2"/>
        <v>73.369777777777784</v>
      </c>
    </row>
    <row r="27" spans="1:19" x14ac:dyDescent="0.3">
      <c r="A27" s="503">
        <v>332</v>
      </c>
      <c r="B27" s="473" t="s">
        <v>15</v>
      </c>
      <c r="C27" s="473" t="s">
        <v>250</v>
      </c>
      <c r="D27" s="476" t="s">
        <v>31</v>
      </c>
      <c r="E27" s="475" t="s">
        <v>25</v>
      </c>
      <c r="F27" s="516">
        <v>78016.400000000009</v>
      </c>
      <c r="G27" s="506">
        <v>1</v>
      </c>
      <c r="H27" s="462">
        <f>G27*4</f>
        <v>4</v>
      </c>
      <c r="I27" s="471">
        <v>0</v>
      </c>
      <c r="J27" s="472">
        <f t="shared" si="0"/>
        <v>78016.400000000009</v>
      </c>
      <c r="K27" s="463">
        <f t="shared" si="1"/>
        <v>312065.60000000003</v>
      </c>
      <c r="M27" s="626">
        <v>45000</v>
      </c>
      <c r="N27" s="541"/>
      <c r="O27" s="540" t="s">
        <v>267</v>
      </c>
      <c r="P27" s="569">
        <f t="shared" si="2"/>
        <v>73.369777777777784</v>
      </c>
    </row>
    <row r="28" spans="1:19" x14ac:dyDescent="0.3">
      <c r="A28" s="503">
        <v>400</v>
      </c>
      <c r="B28" s="473" t="s">
        <v>15</v>
      </c>
      <c r="C28" s="473" t="s">
        <v>250</v>
      </c>
      <c r="D28" s="476" t="s">
        <v>31</v>
      </c>
      <c r="E28" s="475" t="s">
        <v>25</v>
      </c>
      <c r="F28" s="516">
        <v>78016.400000000009</v>
      </c>
      <c r="G28" s="506">
        <v>2</v>
      </c>
      <c r="H28" s="462">
        <f>G28*6</f>
        <v>12</v>
      </c>
      <c r="I28" s="471">
        <v>0</v>
      </c>
      <c r="J28" s="472">
        <f t="shared" si="0"/>
        <v>156032.80000000002</v>
      </c>
      <c r="K28" s="463">
        <f t="shared" si="1"/>
        <v>936196.8</v>
      </c>
      <c r="M28" s="626">
        <v>45000</v>
      </c>
      <c r="N28" s="541"/>
      <c r="O28" s="540" t="s">
        <v>267</v>
      </c>
      <c r="P28" s="569">
        <f t="shared" si="2"/>
        <v>73.369777777777784</v>
      </c>
    </row>
    <row r="29" spans="1:19" x14ac:dyDescent="0.3">
      <c r="A29" s="503">
        <v>133</v>
      </c>
      <c r="B29" s="473" t="s">
        <v>15</v>
      </c>
      <c r="C29" s="473" t="s">
        <v>250</v>
      </c>
      <c r="D29" s="482" t="s">
        <v>237</v>
      </c>
      <c r="E29" s="481" t="s">
        <v>25</v>
      </c>
      <c r="F29" s="516">
        <v>282625</v>
      </c>
      <c r="G29" s="506">
        <v>1</v>
      </c>
      <c r="H29" s="462">
        <f>G29*5</f>
        <v>5</v>
      </c>
      <c r="I29" s="471">
        <v>0</v>
      </c>
      <c r="J29" s="472">
        <f t="shared" si="0"/>
        <v>282625</v>
      </c>
      <c r="K29" s="463">
        <f t="shared" si="1"/>
        <v>1413125</v>
      </c>
      <c r="M29" s="563"/>
      <c r="N29" s="539"/>
    </row>
    <row r="30" spans="1:19" x14ac:dyDescent="0.3">
      <c r="A30" s="503">
        <v>197</v>
      </c>
      <c r="B30" s="473" t="s">
        <v>15</v>
      </c>
      <c r="C30" s="473" t="s">
        <v>250</v>
      </c>
      <c r="D30" s="482" t="s">
        <v>237</v>
      </c>
      <c r="E30" s="481" t="s">
        <v>25</v>
      </c>
      <c r="F30" s="516">
        <v>282625</v>
      </c>
      <c r="G30" s="506">
        <v>1</v>
      </c>
      <c r="H30" s="462">
        <f>G30*7</f>
        <v>7</v>
      </c>
      <c r="I30" s="471">
        <v>0</v>
      </c>
      <c r="J30" s="472">
        <f t="shared" si="0"/>
        <v>282625</v>
      </c>
      <c r="K30" s="463">
        <f t="shared" si="1"/>
        <v>1978375</v>
      </c>
      <c r="M30" s="563"/>
      <c r="N30" s="539"/>
    </row>
    <row r="31" spans="1:19" x14ac:dyDescent="0.3">
      <c r="A31" s="503">
        <v>450</v>
      </c>
      <c r="B31" s="473" t="s">
        <v>15</v>
      </c>
      <c r="C31" s="473" t="s">
        <v>250</v>
      </c>
      <c r="D31" s="476" t="s">
        <v>331</v>
      </c>
      <c r="E31" s="475" t="s">
        <v>25</v>
      </c>
      <c r="F31" s="517">
        <v>255800</v>
      </c>
      <c r="G31" s="508">
        <v>6</v>
      </c>
      <c r="H31" s="462">
        <f>G31*1</f>
        <v>6</v>
      </c>
      <c r="I31" s="471">
        <v>0</v>
      </c>
      <c r="J31" s="472">
        <f t="shared" si="0"/>
        <v>1534800</v>
      </c>
      <c r="K31" s="463">
        <f t="shared" si="1"/>
        <v>1534800</v>
      </c>
      <c r="M31" s="626">
        <v>29571.5</v>
      </c>
      <c r="N31" s="539"/>
      <c r="O31" s="540" t="s">
        <v>268</v>
      </c>
      <c r="P31" s="569">
        <f t="shared" ref="P31:P32" si="3">+F31*100/M31 -100</f>
        <v>765.02206516409376</v>
      </c>
    </row>
    <row r="32" spans="1:19" x14ac:dyDescent="0.3">
      <c r="A32" s="503">
        <v>449</v>
      </c>
      <c r="B32" s="473" t="s">
        <v>15</v>
      </c>
      <c r="C32" s="473" t="s">
        <v>250</v>
      </c>
      <c r="D32" s="476" t="s">
        <v>61</v>
      </c>
      <c r="E32" s="475" t="s">
        <v>25</v>
      </c>
      <c r="F32" s="517">
        <v>1096291</v>
      </c>
      <c r="G32" s="508">
        <v>2</v>
      </c>
      <c r="H32" s="462">
        <f>G32*1</f>
        <v>2</v>
      </c>
      <c r="I32" s="471">
        <v>0</v>
      </c>
      <c r="J32" s="472">
        <f t="shared" si="0"/>
        <v>2192582</v>
      </c>
      <c r="K32" s="463">
        <f t="shared" si="1"/>
        <v>2192582</v>
      </c>
      <c r="M32" s="563">
        <v>650000</v>
      </c>
      <c r="O32" s="540" t="s">
        <v>269</v>
      </c>
      <c r="P32" s="569">
        <f t="shared" si="3"/>
        <v>68.660153846153833</v>
      </c>
    </row>
    <row r="33" spans="1:17" x14ac:dyDescent="0.3">
      <c r="A33" s="503">
        <v>256</v>
      </c>
      <c r="B33" s="473" t="s">
        <v>15</v>
      </c>
      <c r="C33" s="513" t="s">
        <v>247</v>
      </c>
      <c r="D33" s="476" t="s">
        <v>209</v>
      </c>
      <c r="E33" s="475" t="s">
        <v>25</v>
      </c>
      <c r="F33" s="516">
        <v>1481000</v>
      </c>
      <c r="G33" s="506">
        <v>6</v>
      </c>
      <c r="H33" s="462">
        <f>G33*1</f>
        <v>6</v>
      </c>
      <c r="I33" s="471">
        <v>0</v>
      </c>
      <c r="J33" s="472">
        <f t="shared" si="0"/>
        <v>8886000</v>
      </c>
      <c r="K33" s="463">
        <f t="shared" si="1"/>
        <v>8886000</v>
      </c>
      <c r="M33" s="626">
        <v>2524489</v>
      </c>
    </row>
    <row r="34" spans="1:17" x14ac:dyDescent="0.3">
      <c r="A34" s="503">
        <v>30</v>
      </c>
      <c r="B34" s="473" t="s">
        <v>15</v>
      </c>
      <c r="C34" s="473" t="s">
        <v>247</v>
      </c>
      <c r="D34" s="474" t="s">
        <v>261</v>
      </c>
      <c r="E34" s="481" t="s">
        <v>25</v>
      </c>
      <c r="F34" s="516">
        <v>700</v>
      </c>
      <c r="G34" s="506">
        <v>6</v>
      </c>
      <c r="H34" s="462">
        <f>G34*3</f>
        <v>18</v>
      </c>
      <c r="I34" s="471">
        <v>0</v>
      </c>
      <c r="J34" s="472">
        <f t="shared" si="0"/>
        <v>4200</v>
      </c>
      <c r="K34" s="463">
        <f t="shared" si="1"/>
        <v>12600</v>
      </c>
      <c r="M34" s="627">
        <f t="shared" ref="M34:M42" si="4">175*1.19</f>
        <v>208.25</v>
      </c>
      <c r="O34" s="540" t="s">
        <v>270</v>
      </c>
      <c r="P34" s="572">
        <f t="shared" ref="P34:P70" si="5">+F34*100/M34 -100</f>
        <v>236.1344537815126</v>
      </c>
    </row>
    <row r="35" spans="1:17" x14ac:dyDescent="0.3">
      <c r="A35" s="503">
        <v>88</v>
      </c>
      <c r="B35" s="473" t="s">
        <v>15</v>
      </c>
      <c r="C35" s="473" t="s">
        <v>247</v>
      </c>
      <c r="D35" s="474" t="s">
        <v>261</v>
      </c>
      <c r="E35" s="481" t="s">
        <v>25</v>
      </c>
      <c r="F35" s="516">
        <v>700</v>
      </c>
      <c r="G35" s="506">
        <v>6</v>
      </c>
      <c r="H35" s="462">
        <f>G35*6</f>
        <v>36</v>
      </c>
      <c r="I35" s="471">
        <v>0</v>
      </c>
      <c r="J35" s="472">
        <f t="shared" si="0"/>
        <v>4200</v>
      </c>
      <c r="K35" s="463">
        <f t="shared" si="1"/>
        <v>25200</v>
      </c>
      <c r="M35" s="627">
        <f t="shared" si="4"/>
        <v>208.25</v>
      </c>
      <c r="O35" s="540" t="s">
        <v>270</v>
      </c>
      <c r="P35" s="572">
        <f t="shared" si="5"/>
        <v>236.1344537815126</v>
      </c>
    </row>
    <row r="36" spans="1:17" x14ac:dyDescent="0.3">
      <c r="A36" s="503">
        <v>150</v>
      </c>
      <c r="B36" s="473" t="s">
        <v>15</v>
      </c>
      <c r="C36" s="473" t="s">
        <v>247</v>
      </c>
      <c r="D36" s="474" t="s">
        <v>261</v>
      </c>
      <c r="E36" s="481" t="s">
        <v>25</v>
      </c>
      <c r="F36" s="516">
        <v>700</v>
      </c>
      <c r="G36" s="506">
        <v>6</v>
      </c>
      <c r="H36" s="462">
        <f>G36*5</f>
        <v>30</v>
      </c>
      <c r="I36" s="471">
        <v>0</v>
      </c>
      <c r="J36" s="472">
        <f t="shared" si="0"/>
        <v>4200</v>
      </c>
      <c r="K36" s="463">
        <f t="shared" si="1"/>
        <v>21000</v>
      </c>
      <c r="M36" s="627">
        <f t="shared" si="4"/>
        <v>208.25</v>
      </c>
      <c r="O36" s="540" t="s">
        <v>270</v>
      </c>
      <c r="P36" s="572">
        <f t="shared" si="5"/>
        <v>236.1344537815126</v>
      </c>
    </row>
    <row r="37" spans="1:17" x14ac:dyDescent="0.3">
      <c r="A37" s="503">
        <v>212</v>
      </c>
      <c r="B37" s="473" t="s">
        <v>15</v>
      </c>
      <c r="C37" s="473" t="s">
        <v>247</v>
      </c>
      <c r="D37" s="474" t="s">
        <v>261</v>
      </c>
      <c r="E37" s="481" t="s">
        <v>25</v>
      </c>
      <c r="F37" s="516">
        <v>700</v>
      </c>
      <c r="G37" s="506">
        <v>6</v>
      </c>
      <c r="H37" s="462">
        <f>G37*7</f>
        <v>42</v>
      </c>
      <c r="I37" s="471">
        <v>0</v>
      </c>
      <c r="J37" s="472">
        <f t="shared" si="0"/>
        <v>4200</v>
      </c>
      <c r="K37" s="463">
        <f t="shared" si="1"/>
        <v>29400</v>
      </c>
      <c r="M37" s="627">
        <f t="shared" si="4"/>
        <v>208.25</v>
      </c>
      <c r="O37" s="540" t="s">
        <v>270</v>
      </c>
      <c r="P37" s="572">
        <f t="shared" si="5"/>
        <v>236.1344537815126</v>
      </c>
    </row>
    <row r="38" spans="1:17" s="464" customFormat="1" x14ac:dyDescent="0.3">
      <c r="A38" s="503">
        <v>273</v>
      </c>
      <c r="B38" s="473" t="s">
        <v>15</v>
      </c>
      <c r="C38" s="473" t="s">
        <v>247</v>
      </c>
      <c r="D38" s="474" t="s">
        <v>261</v>
      </c>
      <c r="E38" s="481" t="s">
        <v>25</v>
      </c>
      <c r="F38" s="516">
        <v>700</v>
      </c>
      <c r="G38" s="506">
        <v>22</v>
      </c>
      <c r="H38" s="462">
        <f>G38*1</f>
        <v>22</v>
      </c>
      <c r="I38" s="471">
        <v>0</v>
      </c>
      <c r="J38" s="472">
        <f t="shared" si="0"/>
        <v>15400</v>
      </c>
      <c r="K38" s="463">
        <f t="shared" si="1"/>
        <v>15400</v>
      </c>
      <c r="L38" s="468"/>
      <c r="M38" s="627">
        <f t="shared" si="4"/>
        <v>208.25</v>
      </c>
      <c r="N38" s="468"/>
      <c r="O38" s="540" t="s">
        <v>270</v>
      </c>
      <c r="P38" s="572">
        <f t="shared" si="5"/>
        <v>236.1344537815126</v>
      </c>
      <c r="Q38" s="468"/>
    </row>
    <row r="39" spans="1:17" x14ac:dyDescent="0.3">
      <c r="A39" s="503">
        <v>336</v>
      </c>
      <c r="B39" s="473" t="s">
        <v>15</v>
      </c>
      <c r="C39" s="473" t="s">
        <v>247</v>
      </c>
      <c r="D39" s="474" t="s">
        <v>261</v>
      </c>
      <c r="E39" s="481" t="s">
        <v>25</v>
      </c>
      <c r="F39" s="516">
        <v>700</v>
      </c>
      <c r="G39" s="506">
        <v>6</v>
      </c>
      <c r="H39" s="462">
        <f>G39*4</f>
        <v>24</v>
      </c>
      <c r="I39" s="471">
        <v>0</v>
      </c>
      <c r="J39" s="472">
        <f t="shared" si="0"/>
        <v>4200</v>
      </c>
      <c r="K39" s="463">
        <f t="shared" si="1"/>
        <v>16800</v>
      </c>
      <c r="M39" s="627">
        <f t="shared" si="4"/>
        <v>208.25</v>
      </c>
      <c r="O39" s="540" t="s">
        <v>270</v>
      </c>
      <c r="P39" s="572">
        <f t="shared" si="5"/>
        <v>236.1344537815126</v>
      </c>
    </row>
    <row r="40" spans="1:17" x14ac:dyDescent="0.3">
      <c r="A40" s="503">
        <v>404</v>
      </c>
      <c r="B40" s="473" t="s">
        <v>15</v>
      </c>
      <c r="C40" s="473" t="s">
        <v>247</v>
      </c>
      <c r="D40" s="474" t="s">
        <v>261</v>
      </c>
      <c r="E40" s="481" t="s">
        <v>25</v>
      </c>
      <c r="F40" s="516">
        <v>700</v>
      </c>
      <c r="G40" s="506">
        <v>6</v>
      </c>
      <c r="H40" s="462">
        <f>G40*6</f>
        <v>36</v>
      </c>
      <c r="I40" s="471">
        <v>0</v>
      </c>
      <c r="J40" s="472">
        <f t="shared" si="0"/>
        <v>4200</v>
      </c>
      <c r="K40" s="463">
        <f t="shared" si="1"/>
        <v>25200</v>
      </c>
      <c r="M40" s="627">
        <f t="shared" si="4"/>
        <v>208.25</v>
      </c>
      <c r="O40" s="540" t="s">
        <v>270</v>
      </c>
      <c r="P40" s="572">
        <f t="shared" si="5"/>
        <v>236.1344537815126</v>
      </c>
    </row>
    <row r="41" spans="1:17" x14ac:dyDescent="0.3">
      <c r="A41" s="503">
        <v>465</v>
      </c>
      <c r="B41" s="473" t="s">
        <v>15</v>
      </c>
      <c r="C41" s="473" t="s">
        <v>247</v>
      </c>
      <c r="D41" s="474" t="s">
        <v>261</v>
      </c>
      <c r="E41" s="481" t="s">
        <v>25</v>
      </c>
      <c r="F41" s="516">
        <v>700</v>
      </c>
      <c r="G41" s="506">
        <v>30</v>
      </c>
      <c r="H41" s="462">
        <f>G41*1</f>
        <v>30</v>
      </c>
      <c r="I41" s="471">
        <v>0</v>
      </c>
      <c r="J41" s="472">
        <f t="shared" si="0"/>
        <v>21000</v>
      </c>
      <c r="K41" s="463">
        <f t="shared" si="1"/>
        <v>21000</v>
      </c>
      <c r="M41" s="627">
        <f t="shared" si="4"/>
        <v>208.25</v>
      </c>
      <c r="O41" s="540" t="s">
        <v>270</v>
      </c>
      <c r="P41" s="572">
        <f t="shared" si="5"/>
        <v>236.1344537815126</v>
      </c>
      <c r="Q41" s="464"/>
    </row>
    <row r="42" spans="1:17" x14ac:dyDescent="0.3">
      <c r="A42" s="503">
        <v>527</v>
      </c>
      <c r="B42" s="473" t="s">
        <v>15</v>
      </c>
      <c r="C42" s="473" t="s">
        <v>247</v>
      </c>
      <c r="D42" s="474" t="s">
        <v>261</v>
      </c>
      <c r="E42" s="481" t="s">
        <v>25</v>
      </c>
      <c r="F42" s="516">
        <v>700</v>
      </c>
      <c r="G42" s="506">
        <v>30</v>
      </c>
      <c r="H42" s="462">
        <f>G42*3</f>
        <v>90</v>
      </c>
      <c r="I42" s="471">
        <v>0</v>
      </c>
      <c r="J42" s="472">
        <f t="shared" si="0"/>
        <v>21000</v>
      </c>
      <c r="K42" s="463">
        <f t="shared" si="1"/>
        <v>63000</v>
      </c>
      <c r="M42" s="627">
        <f t="shared" si="4"/>
        <v>208.25</v>
      </c>
      <c r="O42" s="540" t="s">
        <v>270</v>
      </c>
      <c r="P42" s="572">
        <f t="shared" si="5"/>
        <v>236.1344537815126</v>
      </c>
    </row>
    <row r="43" spans="1:17" x14ac:dyDescent="0.3">
      <c r="A43" s="503">
        <v>14</v>
      </c>
      <c r="B43" s="473" t="s">
        <v>15</v>
      </c>
      <c r="C43" s="513" t="s">
        <v>247</v>
      </c>
      <c r="D43" s="476" t="s">
        <v>225</v>
      </c>
      <c r="E43" s="475" t="s">
        <v>25</v>
      </c>
      <c r="F43" s="520">
        <f t="shared" ref="F43:F50" si="6">13900*1.2</f>
        <v>16680</v>
      </c>
      <c r="G43" s="506">
        <v>1</v>
      </c>
      <c r="H43" s="462">
        <f>G43*3</f>
        <v>3</v>
      </c>
      <c r="I43" s="471">
        <v>0</v>
      </c>
      <c r="J43" s="472">
        <f t="shared" si="0"/>
        <v>16680</v>
      </c>
      <c r="K43" s="463">
        <f t="shared" si="1"/>
        <v>50040</v>
      </c>
      <c r="M43" s="627">
        <v>13900</v>
      </c>
      <c r="O43" s="540" t="s">
        <v>271</v>
      </c>
      <c r="P43" s="569">
        <f t="shared" si="5"/>
        <v>20</v>
      </c>
    </row>
    <row r="44" spans="1:17" x14ac:dyDescent="0.3">
      <c r="A44" s="503">
        <v>72</v>
      </c>
      <c r="B44" s="473" t="s">
        <v>15</v>
      </c>
      <c r="C44" s="513" t="s">
        <v>247</v>
      </c>
      <c r="D44" s="476" t="s">
        <v>225</v>
      </c>
      <c r="E44" s="475" t="s">
        <v>25</v>
      </c>
      <c r="F44" s="520">
        <f t="shared" si="6"/>
        <v>16680</v>
      </c>
      <c r="G44" s="506">
        <v>1</v>
      </c>
      <c r="H44" s="462">
        <f>G44*6</f>
        <v>6</v>
      </c>
      <c r="I44" s="471">
        <v>0</v>
      </c>
      <c r="J44" s="472">
        <f t="shared" si="0"/>
        <v>16680</v>
      </c>
      <c r="K44" s="463">
        <f t="shared" si="1"/>
        <v>100080</v>
      </c>
      <c r="M44" s="627">
        <v>13900</v>
      </c>
      <c r="O44" s="540" t="s">
        <v>271</v>
      </c>
      <c r="P44" s="569">
        <f t="shared" si="5"/>
        <v>20</v>
      </c>
    </row>
    <row r="45" spans="1:17" x14ac:dyDescent="0.3">
      <c r="A45" s="503">
        <v>131</v>
      </c>
      <c r="B45" s="473" t="s">
        <v>15</v>
      </c>
      <c r="C45" s="513" t="s">
        <v>247</v>
      </c>
      <c r="D45" s="476" t="s">
        <v>225</v>
      </c>
      <c r="E45" s="475" t="s">
        <v>25</v>
      </c>
      <c r="F45" s="520">
        <f t="shared" si="6"/>
        <v>16680</v>
      </c>
      <c r="G45" s="506">
        <v>1</v>
      </c>
      <c r="H45" s="462">
        <f>G45*5</f>
        <v>5</v>
      </c>
      <c r="I45" s="471">
        <v>0</v>
      </c>
      <c r="J45" s="472">
        <f t="shared" si="0"/>
        <v>16680</v>
      </c>
      <c r="K45" s="463">
        <f t="shared" si="1"/>
        <v>83400</v>
      </c>
      <c r="M45" s="627">
        <v>13900</v>
      </c>
      <c r="O45" s="540" t="s">
        <v>271</v>
      </c>
      <c r="P45" s="569">
        <f t="shared" si="5"/>
        <v>20</v>
      </c>
    </row>
    <row r="46" spans="1:17" x14ac:dyDescent="0.3">
      <c r="A46" s="503">
        <v>195</v>
      </c>
      <c r="B46" s="473" t="s">
        <v>15</v>
      </c>
      <c r="C46" s="513" t="s">
        <v>247</v>
      </c>
      <c r="D46" s="476" t="s">
        <v>225</v>
      </c>
      <c r="E46" s="475" t="s">
        <v>25</v>
      </c>
      <c r="F46" s="520">
        <f t="shared" si="6"/>
        <v>16680</v>
      </c>
      <c r="G46" s="506">
        <v>1</v>
      </c>
      <c r="H46" s="462">
        <f>G46*7</f>
        <v>7</v>
      </c>
      <c r="I46" s="471">
        <v>0</v>
      </c>
      <c r="J46" s="472">
        <f t="shared" si="0"/>
        <v>16680</v>
      </c>
      <c r="K46" s="463">
        <f t="shared" si="1"/>
        <v>116760</v>
      </c>
      <c r="M46" s="627">
        <v>13900</v>
      </c>
      <c r="O46" s="540" t="s">
        <v>271</v>
      </c>
      <c r="P46" s="569">
        <f t="shared" si="5"/>
        <v>20</v>
      </c>
    </row>
    <row r="47" spans="1:17" x14ac:dyDescent="0.3">
      <c r="A47" s="503">
        <v>255</v>
      </c>
      <c r="B47" s="473" t="s">
        <v>15</v>
      </c>
      <c r="C47" s="513" t="s">
        <v>247</v>
      </c>
      <c r="D47" s="476" t="s">
        <v>225</v>
      </c>
      <c r="E47" s="475" t="s">
        <v>25</v>
      </c>
      <c r="F47" s="520">
        <f t="shared" si="6"/>
        <v>16680</v>
      </c>
      <c r="G47" s="506">
        <v>6</v>
      </c>
      <c r="H47" s="462">
        <f>G47*1</f>
        <v>6</v>
      </c>
      <c r="I47" s="471">
        <v>0</v>
      </c>
      <c r="J47" s="472">
        <f t="shared" si="0"/>
        <v>100080</v>
      </c>
      <c r="K47" s="463">
        <f t="shared" si="1"/>
        <v>100080</v>
      </c>
      <c r="M47" s="627">
        <v>13900</v>
      </c>
      <c r="O47" s="540" t="s">
        <v>271</v>
      </c>
      <c r="P47" s="569">
        <f t="shared" si="5"/>
        <v>20</v>
      </c>
    </row>
    <row r="48" spans="1:17" x14ac:dyDescent="0.3">
      <c r="A48" s="503">
        <v>317</v>
      </c>
      <c r="B48" s="473" t="s">
        <v>15</v>
      </c>
      <c r="C48" s="513" t="s">
        <v>247</v>
      </c>
      <c r="D48" s="476" t="s">
        <v>225</v>
      </c>
      <c r="E48" s="475" t="s">
        <v>25</v>
      </c>
      <c r="F48" s="520">
        <f t="shared" si="6"/>
        <v>16680</v>
      </c>
      <c r="G48" s="506">
        <v>1</v>
      </c>
      <c r="H48" s="462">
        <f>G48*4</f>
        <v>4</v>
      </c>
      <c r="I48" s="471">
        <v>0</v>
      </c>
      <c r="J48" s="472">
        <f t="shared" si="0"/>
        <v>16680</v>
      </c>
      <c r="K48" s="463">
        <f t="shared" si="1"/>
        <v>66720</v>
      </c>
      <c r="M48" s="627">
        <v>13900</v>
      </c>
      <c r="O48" s="540" t="s">
        <v>271</v>
      </c>
      <c r="P48" s="569">
        <f t="shared" si="5"/>
        <v>20</v>
      </c>
    </row>
    <row r="49" spans="1:16" x14ac:dyDescent="0.3">
      <c r="A49" s="503">
        <v>382</v>
      </c>
      <c r="B49" s="473" t="s">
        <v>15</v>
      </c>
      <c r="C49" s="513" t="s">
        <v>247</v>
      </c>
      <c r="D49" s="476" t="s">
        <v>225</v>
      </c>
      <c r="E49" s="475" t="s">
        <v>25</v>
      </c>
      <c r="F49" s="520">
        <f t="shared" si="6"/>
        <v>16680</v>
      </c>
      <c r="G49" s="506">
        <v>1</v>
      </c>
      <c r="H49" s="462">
        <f>G49*6</f>
        <v>6</v>
      </c>
      <c r="I49" s="471">
        <v>0</v>
      </c>
      <c r="J49" s="472">
        <f t="shared" si="0"/>
        <v>16680</v>
      </c>
      <c r="K49" s="463">
        <f t="shared" si="1"/>
        <v>100080</v>
      </c>
      <c r="M49" s="627">
        <v>13900</v>
      </c>
      <c r="O49" s="540" t="s">
        <v>271</v>
      </c>
      <c r="P49" s="569">
        <f t="shared" si="5"/>
        <v>20</v>
      </c>
    </row>
    <row r="50" spans="1:16" x14ac:dyDescent="0.3">
      <c r="A50" s="503">
        <v>515</v>
      </c>
      <c r="B50" s="473" t="s">
        <v>15</v>
      </c>
      <c r="C50" s="513" t="s">
        <v>247</v>
      </c>
      <c r="D50" s="476" t="s">
        <v>225</v>
      </c>
      <c r="E50" s="475" t="s">
        <v>25</v>
      </c>
      <c r="F50" s="520">
        <f t="shared" si="6"/>
        <v>16680</v>
      </c>
      <c r="G50" s="506">
        <v>2</v>
      </c>
      <c r="H50" s="462">
        <f>G50*3</f>
        <v>6</v>
      </c>
      <c r="I50" s="471">
        <v>0</v>
      </c>
      <c r="J50" s="472">
        <f t="shared" si="0"/>
        <v>33360</v>
      </c>
      <c r="K50" s="463">
        <f t="shared" si="1"/>
        <v>100080</v>
      </c>
      <c r="M50" s="627">
        <v>13900</v>
      </c>
      <c r="O50" s="540" t="s">
        <v>271</v>
      </c>
      <c r="P50" s="569">
        <f t="shared" si="5"/>
        <v>20</v>
      </c>
    </row>
    <row r="51" spans="1:16" ht="49.5" x14ac:dyDescent="0.3">
      <c r="A51" s="503">
        <v>12</v>
      </c>
      <c r="B51" s="473" t="s">
        <v>15</v>
      </c>
      <c r="C51" s="473" t="s">
        <v>247</v>
      </c>
      <c r="D51" s="474" t="s">
        <v>152</v>
      </c>
      <c r="E51" s="475" t="s">
        <v>25</v>
      </c>
      <c r="F51" s="516">
        <v>740300.00000000012</v>
      </c>
      <c r="G51" s="506">
        <v>1</v>
      </c>
      <c r="H51" s="462">
        <f>G51*3</f>
        <v>3</v>
      </c>
      <c r="I51" s="471">
        <v>0</v>
      </c>
      <c r="J51" s="472">
        <f t="shared" si="0"/>
        <v>740300.00000000012</v>
      </c>
      <c r="K51" s="463">
        <f t="shared" si="1"/>
        <v>2220900.0000000005</v>
      </c>
      <c r="M51" s="562">
        <f t="shared" ref="M51:M58" si="7">574853</f>
        <v>574853</v>
      </c>
      <c r="O51" s="540" t="s">
        <v>273</v>
      </c>
      <c r="P51" s="569">
        <f t="shared" si="5"/>
        <v>28.780749165438834</v>
      </c>
    </row>
    <row r="52" spans="1:16" ht="49.5" x14ac:dyDescent="0.3">
      <c r="A52" s="503">
        <v>70</v>
      </c>
      <c r="B52" s="473" t="s">
        <v>15</v>
      </c>
      <c r="C52" s="473" t="s">
        <v>247</v>
      </c>
      <c r="D52" s="474" t="s">
        <v>152</v>
      </c>
      <c r="E52" s="475" t="s">
        <v>25</v>
      </c>
      <c r="F52" s="516">
        <v>740300.00000000012</v>
      </c>
      <c r="G52" s="506">
        <v>1</v>
      </c>
      <c r="H52" s="462">
        <f>G52*6</f>
        <v>6</v>
      </c>
      <c r="I52" s="471">
        <v>0</v>
      </c>
      <c r="J52" s="472">
        <f t="shared" si="0"/>
        <v>740300.00000000012</v>
      </c>
      <c r="K52" s="463">
        <f t="shared" si="1"/>
        <v>4441800.0000000009</v>
      </c>
      <c r="M52" s="562">
        <f t="shared" si="7"/>
        <v>574853</v>
      </c>
      <c r="O52" s="540" t="s">
        <v>273</v>
      </c>
      <c r="P52" s="569">
        <f t="shared" si="5"/>
        <v>28.780749165438834</v>
      </c>
    </row>
    <row r="53" spans="1:16" ht="49.5" x14ac:dyDescent="0.3">
      <c r="A53" s="503">
        <v>129</v>
      </c>
      <c r="B53" s="473" t="s">
        <v>15</v>
      </c>
      <c r="C53" s="473" t="s">
        <v>247</v>
      </c>
      <c r="D53" s="474" t="s">
        <v>152</v>
      </c>
      <c r="E53" s="475" t="s">
        <v>25</v>
      </c>
      <c r="F53" s="516">
        <v>740300.00000000012</v>
      </c>
      <c r="G53" s="506">
        <v>1</v>
      </c>
      <c r="H53" s="462">
        <f>G53*5</f>
        <v>5</v>
      </c>
      <c r="I53" s="471">
        <v>0</v>
      </c>
      <c r="J53" s="472">
        <f t="shared" si="0"/>
        <v>740300.00000000012</v>
      </c>
      <c r="K53" s="463">
        <f t="shared" si="1"/>
        <v>3701500.0000000005</v>
      </c>
      <c r="M53" s="562">
        <f t="shared" si="7"/>
        <v>574853</v>
      </c>
      <c r="O53" s="540" t="s">
        <v>273</v>
      </c>
      <c r="P53" s="569">
        <f t="shared" si="5"/>
        <v>28.780749165438834</v>
      </c>
    </row>
    <row r="54" spans="1:16" ht="49.5" x14ac:dyDescent="0.3">
      <c r="A54" s="503">
        <v>193</v>
      </c>
      <c r="B54" s="473" t="s">
        <v>15</v>
      </c>
      <c r="C54" s="473" t="s">
        <v>247</v>
      </c>
      <c r="D54" s="474" t="s">
        <v>152</v>
      </c>
      <c r="E54" s="475" t="s">
        <v>25</v>
      </c>
      <c r="F54" s="516">
        <v>740300.00000000012</v>
      </c>
      <c r="G54" s="506">
        <v>1</v>
      </c>
      <c r="H54" s="462">
        <f>G54*7</f>
        <v>7</v>
      </c>
      <c r="I54" s="471">
        <v>0</v>
      </c>
      <c r="J54" s="472">
        <f t="shared" si="0"/>
        <v>740300.00000000012</v>
      </c>
      <c r="K54" s="463">
        <f t="shared" si="1"/>
        <v>5182100.0000000009</v>
      </c>
      <c r="M54" s="562">
        <f t="shared" si="7"/>
        <v>574853</v>
      </c>
      <c r="O54" s="540" t="s">
        <v>273</v>
      </c>
      <c r="P54" s="569">
        <f t="shared" si="5"/>
        <v>28.780749165438834</v>
      </c>
    </row>
    <row r="55" spans="1:16" ht="49.5" x14ac:dyDescent="0.3">
      <c r="A55" s="503">
        <v>253</v>
      </c>
      <c r="B55" s="473" t="s">
        <v>15</v>
      </c>
      <c r="C55" s="473" t="s">
        <v>247</v>
      </c>
      <c r="D55" s="474" t="s">
        <v>152</v>
      </c>
      <c r="E55" s="475" t="s">
        <v>25</v>
      </c>
      <c r="F55" s="516">
        <v>740300.00000000012</v>
      </c>
      <c r="G55" s="506">
        <v>6</v>
      </c>
      <c r="H55" s="462">
        <f>G55*1</f>
        <v>6</v>
      </c>
      <c r="I55" s="471">
        <v>0</v>
      </c>
      <c r="J55" s="472">
        <f t="shared" si="0"/>
        <v>4441800.0000000009</v>
      </c>
      <c r="K55" s="463">
        <f t="shared" si="1"/>
        <v>4441800.0000000009</v>
      </c>
      <c r="M55" s="562">
        <f t="shared" si="7"/>
        <v>574853</v>
      </c>
      <c r="O55" s="540" t="s">
        <v>273</v>
      </c>
      <c r="P55" s="569">
        <f t="shared" si="5"/>
        <v>28.780749165438834</v>
      </c>
    </row>
    <row r="56" spans="1:16" ht="49.5" x14ac:dyDescent="0.3">
      <c r="A56" s="503">
        <v>315</v>
      </c>
      <c r="B56" s="473" t="s">
        <v>15</v>
      </c>
      <c r="C56" s="473" t="s">
        <v>247</v>
      </c>
      <c r="D56" s="474" t="s">
        <v>152</v>
      </c>
      <c r="E56" s="475" t="s">
        <v>25</v>
      </c>
      <c r="F56" s="516">
        <v>740300.00000000012</v>
      </c>
      <c r="G56" s="506">
        <v>1</v>
      </c>
      <c r="H56" s="462">
        <f>G56*4</f>
        <v>4</v>
      </c>
      <c r="I56" s="471">
        <v>0</v>
      </c>
      <c r="J56" s="472">
        <f t="shared" si="0"/>
        <v>740300.00000000012</v>
      </c>
      <c r="K56" s="463">
        <f t="shared" si="1"/>
        <v>2961200.0000000005</v>
      </c>
      <c r="M56" s="562">
        <f t="shared" si="7"/>
        <v>574853</v>
      </c>
      <c r="O56" s="540" t="s">
        <v>273</v>
      </c>
      <c r="P56" s="569">
        <f t="shared" si="5"/>
        <v>28.780749165438834</v>
      </c>
    </row>
    <row r="57" spans="1:16" ht="49.5" x14ac:dyDescent="0.3">
      <c r="A57" s="503">
        <v>380</v>
      </c>
      <c r="B57" s="473" t="s">
        <v>15</v>
      </c>
      <c r="C57" s="473" t="s">
        <v>247</v>
      </c>
      <c r="D57" s="493" t="s">
        <v>152</v>
      </c>
      <c r="E57" s="475" t="s">
        <v>25</v>
      </c>
      <c r="F57" s="526">
        <v>740300.00000000012</v>
      </c>
      <c r="G57" s="506">
        <v>1</v>
      </c>
      <c r="H57" s="462">
        <f>G57*6</f>
        <v>6</v>
      </c>
      <c r="I57" s="471">
        <v>0</v>
      </c>
      <c r="J57" s="472">
        <f t="shared" si="0"/>
        <v>740300.00000000012</v>
      </c>
      <c r="K57" s="463">
        <f t="shared" si="1"/>
        <v>4441800.0000000009</v>
      </c>
      <c r="M57" s="562">
        <f t="shared" si="7"/>
        <v>574853</v>
      </c>
      <c r="O57" s="540" t="s">
        <v>273</v>
      </c>
      <c r="P57" s="569">
        <f t="shared" si="5"/>
        <v>28.780749165438834</v>
      </c>
    </row>
    <row r="58" spans="1:16" ht="49.5" x14ac:dyDescent="0.3">
      <c r="A58" s="503">
        <v>513</v>
      </c>
      <c r="B58" s="473" t="s">
        <v>15</v>
      </c>
      <c r="C58" s="473" t="s">
        <v>247</v>
      </c>
      <c r="D58" s="474" t="s">
        <v>152</v>
      </c>
      <c r="E58" s="475" t="s">
        <v>25</v>
      </c>
      <c r="F58" s="516">
        <v>740300.00000000012</v>
      </c>
      <c r="G58" s="509">
        <v>2</v>
      </c>
      <c r="H58" s="462">
        <f>G58*3</f>
        <v>6</v>
      </c>
      <c r="I58" s="471">
        <v>0</v>
      </c>
      <c r="J58" s="472">
        <f t="shared" si="0"/>
        <v>1480600.0000000002</v>
      </c>
      <c r="K58" s="463">
        <f t="shared" si="1"/>
        <v>4441800.0000000009</v>
      </c>
      <c r="M58" s="562">
        <f t="shared" si="7"/>
        <v>574853</v>
      </c>
      <c r="O58" s="540" t="s">
        <v>273</v>
      </c>
      <c r="P58" s="569">
        <f t="shared" si="5"/>
        <v>28.780749165438834</v>
      </c>
    </row>
    <row r="59" spans="1:16" x14ac:dyDescent="0.3">
      <c r="A59" s="503">
        <v>13</v>
      </c>
      <c r="B59" s="473" t="s">
        <v>15</v>
      </c>
      <c r="C59" s="473" t="s">
        <v>247</v>
      </c>
      <c r="D59" s="476" t="s">
        <v>191</v>
      </c>
      <c r="E59" s="475" t="s">
        <v>25</v>
      </c>
      <c r="F59" s="520">
        <f t="shared" ref="F59:F66" si="8">105000*1.12</f>
        <v>117600.00000000001</v>
      </c>
      <c r="G59" s="506">
        <v>1</v>
      </c>
      <c r="H59" s="462">
        <f>G59*3</f>
        <v>3</v>
      </c>
      <c r="I59" s="471">
        <v>0</v>
      </c>
      <c r="J59" s="472">
        <f t="shared" si="0"/>
        <v>117600.00000000001</v>
      </c>
      <c r="K59" s="463">
        <f t="shared" si="1"/>
        <v>352800.00000000006</v>
      </c>
      <c r="M59" s="562">
        <v>80400</v>
      </c>
      <c r="O59" s="540" t="s">
        <v>271</v>
      </c>
      <c r="P59" s="569">
        <f t="shared" si="5"/>
        <v>46.268656716417922</v>
      </c>
    </row>
    <row r="60" spans="1:16" x14ac:dyDescent="0.3">
      <c r="A60" s="503">
        <v>71</v>
      </c>
      <c r="B60" s="473" t="s">
        <v>15</v>
      </c>
      <c r="C60" s="473" t="s">
        <v>247</v>
      </c>
      <c r="D60" s="476" t="s">
        <v>191</v>
      </c>
      <c r="E60" s="475" t="s">
        <v>25</v>
      </c>
      <c r="F60" s="520">
        <f t="shared" si="8"/>
        <v>117600.00000000001</v>
      </c>
      <c r="G60" s="506">
        <v>1</v>
      </c>
      <c r="H60" s="462">
        <f>G60*6</f>
        <v>6</v>
      </c>
      <c r="I60" s="471">
        <v>0</v>
      </c>
      <c r="J60" s="472">
        <f t="shared" si="0"/>
        <v>117600.00000000001</v>
      </c>
      <c r="K60" s="463">
        <f t="shared" si="1"/>
        <v>705600.00000000012</v>
      </c>
      <c r="M60" s="562">
        <v>80400</v>
      </c>
      <c r="O60" s="540" t="s">
        <v>271</v>
      </c>
      <c r="P60" s="569">
        <f t="shared" si="5"/>
        <v>46.268656716417922</v>
      </c>
    </row>
    <row r="61" spans="1:16" x14ac:dyDescent="0.3">
      <c r="A61" s="503">
        <v>130</v>
      </c>
      <c r="B61" s="473" t="s">
        <v>15</v>
      </c>
      <c r="C61" s="473" t="s">
        <v>247</v>
      </c>
      <c r="D61" s="476" t="s">
        <v>191</v>
      </c>
      <c r="E61" s="475" t="s">
        <v>25</v>
      </c>
      <c r="F61" s="520">
        <f t="shared" si="8"/>
        <v>117600.00000000001</v>
      </c>
      <c r="G61" s="506">
        <v>1</v>
      </c>
      <c r="H61" s="462">
        <f>G61*5</f>
        <v>5</v>
      </c>
      <c r="I61" s="471">
        <v>0</v>
      </c>
      <c r="J61" s="472">
        <f t="shared" si="0"/>
        <v>117600.00000000001</v>
      </c>
      <c r="K61" s="463">
        <f t="shared" si="1"/>
        <v>588000.00000000012</v>
      </c>
      <c r="M61" s="562">
        <v>80400</v>
      </c>
      <c r="O61" s="540" t="s">
        <v>271</v>
      </c>
      <c r="P61" s="569">
        <f t="shared" si="5"/>
        <v>46.268656716417922</v>
      </c>
    </row>
    <row r="62" spans="1:16" x14ac:dyDescent="0.3">
      <c r="A62" s="503">
        <v>194</v>
      </c>
      <c r="B62" s="473" t="s">
        <v>15</v>
      </c>
      <c r="C62" s="473" t="s">
        <v>247</v>
      </c>
      <c r="D62" s="476" t="s">
        <v>191</v>
      </c>
      <c r="E62" s="475" t="s">
        <v>25</v>
      </c>
      <c r="F62" s="520">
        <f t="shared" si="8"/>
        <v>117600.00000000001</v>
      </c>
      <c r="G62" s="506">
        <v>1</v>
      </c>
      <c r="H62" s="462">
        <f>G62*7</f>
        <v>7</v>
      </c>
      <c r="I62" s="471">
        <v>0</v>
      </c>
      <c r="J62" s="472">
        <f t="shared" si="0"/>
        <v>117600.00000000001</v>
      </c>
      <c r="K62" s="463">
        <f t="shared" si="1"/>
        <v>823200.00000000012</v>
      </c>
      <c r="M62" s="562">
        <v>80400</v>
      </c>
      <c r="O62" s="540" t="s">
        <v>271</v>
      </c>
      <c r="P62" s="569">
        <f t="shared" si="5"/>
        <v>46.268656716417922</v>
      </c>
    </row>
    <row r="63" spans="1:16" x14ac:dyDescent="0.3">
      <c r="A63" s="503">
        <v>254</v>
      </c>
      <c r="B63" s="473" t="s">
        <v>15</v>
      </c>
      <c r="C63" s="473" t="s">
        <v>247</v>
      </c>
      <c r="D63" s="476" t="s">
        <v>191</v>
      </c>
      <c r="E63" s="475" t="s">
        <v>25</v>
      </c>
      <c r="F63" s="520">
        <f t="shared" si="8"/>
        <v>117600.00000000001</v>
      </c>
      <c r="G63" s="506">
        <v>6</v>
      </c>
      <c r="H63" s="462">
        <f>G63*1</f>
        <v>6</v>
      </c>
      <c r="I63" s="471">
        <v>0</v>
      </c>
      <c r="J63" s="472">
        <f t="shared" si="0"/>
        <v>705600.00000000012</v>
      </c>
      <c r="K63" s="463">
        <f t="shared" si="1"/>
        <v>705600.00000000012</v>
      </c>
      <c r="M63" s="562">
        <v>80400</v>
      </c>
      <c r="O63" s="540" t="s">
        <v>271</v>
      </c>
      <c r="P63" s="569">
        <f t="shared" si="5"/>
        <v>46.268656716417922</v>
      </c>
    </row>
    <row r="64" spans="1:16" x14ac:dyDescent="0.3">
      <c r="A64" s="503">
        <v>316</v>
      </c>
      <c r="B64" s="473" t="s">
        <v>15</v>
      </c>
      <c r="C64" s="473" t="s">
        <v>247</v>
      </c>
      <c r="D64" s="476" t="s">
        <v>191</v>
      </c>
      <c r="E64" s="475" t="s">
        <v>25</v>
      </c>
      <c r="F64" s="520">
        <f t="shared" si="8"/>
        <v>117600.00000000001</v>
      </c>
      <c r="G64" s="506">
        <v>1</v>
      </c>
      <c r="H64" s="462">
        <f>G64*4</f>
        <v>4</v>
      </c>
      <c r="I64" s="471">
        <v>0</v>
      </c>
      <c r="J64" s="472">
        <f t="shared" si="0"/>
        <v>117600.00000000001</v>
      </c>
      <c r="K64" s="463">
        <f t="shared" si="1"/>
        <v>470400.00000000006</v>
      </c>
      <c r="M64" s="562">
        <v>80400</v>
      </c>
      <c r="O64" s="540" t="s">
        <v>271</v>
      </c>
      <c r="P64" s="569">
        <f t="shared" si="5"/>
        <v>46.268656716417922</v>
      </c>
    </row>
    <row r="65" spans="1:17" x14ac:dyDescent="0.3">
      <c r="A65" s="503">
        <v>381</v>
      </c>
      <c r="B65" s="473" t="s">
        <v>15</v>
      </c>
      <c r="C65" s="473" t="s">
        <v>247</v>
      </c>
      <c r="D65" s="476" t="s">
        <v>191</v>
      </c>
      <c r="E65" s="475" t="s">
        <v>25</v>
      </c>
      <c r="F65" s="520">
        <f t="shared" si="8"/>
        <v>117600.00000000001</v>
      </c>
      <c r="G65" s="506">
        <v>1</v>
      </c>
      <c r="H65" s="462">
        <f>G65*6</f>
        <v>6</v>
      </c>
      <c r="I65" s="471">
        <v>0</v>
      </c>
      <c r="J65" s="472">
        <f t="shared" si="0"/>
        <v>117600.00000000001</v>
      </c>
      <c r="K65" s="463">
        <f t="shared" si="1"/>
        <v>705600.00000000012</v>
      </c>
      <c r="M65" s="562">
        <v>80400</v>
      </c>
      <c r="O65" s="540" t="s">
        <v>271</v>
      </c>
      <c r="P65" s="569">
        <f t="shared" si="5"/>
        <v>46.268656716417922</v>
      </c>
    </row>
    <row r="66" spans="1:17" x14ac:dyDescent="0.3">
      <c r="A66" s="503">
        <v>514</v>
      </c>
      <c r="B66" s="473" t="s">
        <v>15</v>
      </c>
      <c r="C66" s="473" t="s">
        <v>247</v>
      </c>
      <c r="D66" s="476" t="s">
        <v>191</v>
      </c>
      <c r="E66" s="475" t="s">
        <v>25</v>
      </c>
      <c r="F66" s="520">
        <f t="shared" si="8"/>
        <v>117600.00000000001</v>
      </c>
      <c r="G66" s="506">
        <v>2</v>
      </c>
      <c r="H66" s="462">
        <f>G66*3</f>
        <v>6</v>
      </c>
      <c r="I66" s="471">
        <v>0</v>
      </c>
      <c r="J66" s="472">
        <f t="shared" si="0"/>
        <v>235200.00000000003</v>
      </c>
      <c r="K66" s="463">
        <f t="shared" si="1"/>
        <v>705600.00000000012</v>
      </c>
      <c r="M66" s="562">
        <v>80400</v>
      </c>
      <c r="O66" s="540" t="s">
        <v>271</v>
      </c>
      <c r="P66" s="569">
        <f t="shared" si="5"/>
        <v>46.268656716417922</v>
      </c>
    </row>
    <row r="67" spans="1:17" x14ac:dyDescent="0.3">
      <c r="A67" s="503">
        <v>252</v>
      </c>
      <c r="B67" s="473" t="s">
        <v>15</v>
      </c>
      <c r="C67" s="473" t="s">
        <v>247</v>
      </c>
      <c r="D67" s="491" t="s">
        <v>236</v>
      </c>
      <c r="E67" s="475" t="s">
        <v>25</v>
      </c>
      <c r="F67" s="516">
        <v>2329824.2000000002</v>
      </c>
      <c r="G67" s="506">
        <v>6</v>
      </c>
      <c r="H67" s="462">
        <f>G67*1</f>
        <v>6</v>
      </c>
      <c r="I67" s="471">
        <v>0</v>
      </c>
      <c r="J67" s="472">
        <f t="shared" si="0"/>
        <v>13978945.200000001</v>
      </c>
      <c r="K67" s="463">
        <f t="shared" si="1"/>
        <v>13978945.200000001</v>
      </c>
      <c r="M67" s="563">
        <f>1438655*1.19</f>
        <v>1711999.45</v>
      </c>
      <c r="O67" s="540" t="s">
        <v>271</v>
      </c>
      <c r="P67" s="569">
        <f t="shared" si="5"/>
        <v>36.087905869362316</v>
      </c>
    </row>
    <row r="68" spans="1:17" ht="33" x14ac:dyDescent="0.3">
      <c r="A68" s="503">
        <v>265</v>
      </c>
      <c r="B68" s="473" t="s">
        <v>15</v>
      </c>
      <c r="C68" s="473" t="s">
        <v>247</v>
      </c>
      <c r="D68" s="482" t="s">
        <v>238</v>
      </c>
      <c r="E68" s="475" t="s">
        <v>25</v>
      </c>
      <c r="F68" s="516">
        <v>274800</v>
      </c>
      <c r="G68" s="506">
        <v>6</v>
      </c>
      <c r="H68" s="462">
        <f>G68*1</f>
        <v>6</v>
      </c>
      <c r="I68" s="471">
        <v>0</v>
      </c>
      <c r="J68" s="472">
        <f t="shared" si="0"/>
        <v>1648800</v>
      </c>
      <c r="K68" s="463">
        <f t="shared" si="1"/>
        <v>1648800</v>
      </c>
      <c r="M68" s="562">
        <v>229000</v>
      </c>
      <c r="O68" s="540" t="s">
        <v>271</v>
      </c>
      <c r="P68" s="569">
        <f t="shared" si="5"/>
        <v>20</v>
      </c>
    </row>
    <row r="69" spans="1:17" x14ac:dyDescent="0.3">
      <c r="A69" s="503">
        <v>477</v>
      </c>
      <c r="B69" s="473" t="s">
        <v>15</v>
      </c>
      <c r="C69" s="513" t="s">
        <v>246</v>
      </c>
      <c r="D69" s="483" t="s">
        <v>169</v>
      </c>
      <c r="E69" s="475" t="s">
        <v>25</v>
      </c>
      <c r="F69" s="516">
        <v>3150</v>
      </c>
      <c r="G69" s="506">
        <v>12</v>
      </c>
      <c r="H69" s="462">
        <f>G69*1</f>
        <v>12</v>
      </c>
      <c r="I69" s="471">
        <v>0</v>
      </c>
      <c r="J69" s="472">
        <f t="shared" si="0"/>
        <v>37800</v>
      </c>
      <c r="K69" s="463">
        <f t="shared" si="1"/>
        <v>37800</v>
      </c>
      <c r="M69" s="562">
        <v>2850</v>
      </c>
      <c r="O69" s="540" t="s">
        <v>280</v>
      </c>
      <c r="P69" s="569">
        <f t="shared" si="5"/>
        <v>10.526315789473685</v>
      </c>
    </row>
    <row r="70" spans="1:17" x14ac:dyDescent="0.3">
      <c r="A70" s="503">
        <v>537</v>
      </c>
      <c r="B70" s="473" t="s">
        <v>15</v>
      </c>
      <c r="C70" s="513" t="s">
        <v>246</v>
      </c>
      <c r="D70" s="483" t="s">
        <v>169</v>
      </c>
      <c r="E70" s="475" t="s">
        <v>25</v>
      </c>
      <c r="F70" s="516">
        <v>3150</v>
      </c>
      <c r="G70" s="506">
        <v>12</v>
      </c>
      <c r="H70" s="462">
        <f>G70*3</f>
        <v>36</v>
      </c>
      <c r="I70" s="471">
        <v>0</v>
      </c>
      <c r="J70" s="472">
        <f t="shared" si="0"/>
        <v>37800</v>
      </c>
      <c r="K70" s="463">
        <f t="shared" si="1"/>
        <v>113400</v>
      </c>
      <c r="M70" s="562">
        <v>2850</v>
      </c>
      <c r="O70" s="540" t="s">
        <v>280</v>
      </c>
      <c r="P70" s="569">
        <f t="shared" si="5"/>
        <v>10.526315789473685</v>
      </c>
    </row>
    <row r="71" spans="1:17" ht="33" x14ac:dyDescent="0.3">
      <c r="A71" s="503">
        <v>480</v>
      </c>
      <c r="B71" s="473" t="s">
        <v>15</v>
      </c>
      <c r="C71" s="473" t="s">
        <v>246</v>
      </c>
      <c r="D71" s="482" t="s">
        <v>223</v>
      </c>
      <c r="E71" s="475" t="s">
        <v>25</v>
      </c>
      <c r="F71" s="519">
        <v>44228</v>
      </c>
      <c r="G71" s="506">
        <v>6</v>
      </c>
      <c r="H71" s="462">
        <f>G71*1</f>
        <v>6</v>
      </c>
      <c r="I71" s="471">
        <v>0</v>
      </c>
      <c r="J71" s="472">
        <f t="shared" si="0"/>
        <v>265368</v>
      </c>
      <c r="K71" s="463">
        <f t="shared" si="1"/>
        <v>265368</v>
      </c>
      <c r="M71" s="562">
        <f>14750*3</f>
        <v>44250</v>
      </c>
    </row>
    <row r="72" spans="1:17" x14ac:dyDescent="0.3">
      <c r="A72" s="503">
        <v>258</v>
      </c>
      <c r="B72" s="473" t="s">
        <v>15</v>
      </c>
      <c r="C72" s="473" t="s">
        <v>246</v>
      </c>
      <c r="D72" s="476" t="s">
        <v>66</v>
      </c>
      <c r="E72" s="475" t="s">
        <v>25</v>
      </c>
      <c r="F72" s="515">
        <v>42920</v>
      </c>
      <c r="G72" s="508">
        <v>1</v>
      </c>
      <c r="H72" s="462">
        <f>G72*1</f>
        <v>1</v>
      </c>
      <c r="I72" s="471">
        <v>0</v>
      </c>
      <c r="J72" s="472">
        <f t="shared" si="0"/>
        <v>42920</v>
      </c>
      <c r="K72" s="463">
        <f t="shared" si="1"/>
        <v>42920</v>
      </c>
      <c r="M72" s="563">
        <v>30212</v>
      </c>
      <c r="O72" s="540" t="s">
        <v>274</v>
      </c>
      <c r="P72" s="569">
        <f t="shared" ref="P72:P131" si="9">+F72*100/M72 -100</f>
        <v>42.06275652058784</v>
      </c>
    </row>
    <row r="73" spans="1:17" x14ac:dyDescent="0.3">
      <c r="A73" s="503">
        <v>454</v>
      </c>
      <c r="B73" s="473" t="s">
        <v>15</v>
      </c>
      <c r="C73" s="473" t="s">
        <v>246</v>
      </c>
      <c r="D73" s="476" t="s">
        <v>66</v>
      </c>
      <c r="E73" s="475" t="s">
        <v>25</v>
      </c>
      <c r="F73" s="515">
        <v>42920</v>
      </c>
      <c r="G73" s="508">
        <v>1</v>
      </c>
      <c r="H73" s="462">
        <f>G73*1</f>
        <v>1</v>
      </c>
      <c r="I73" s="471">
        <v>0</v>
      </c>
      <c r="J73" s="472">
        <f t="shared" si="0"/>
        <v>42920</v>
      </c>
      <c r="K73" s="463">
        <f t="shared" si="1"/>
        <v>42920</v>
      </c>
      <c r="M73" s="563">
        <v>30212</v>
      </c>
      <c r="O73" s="540" t="s">
        <v>274</v>
      </c>
      <c r="P73" s="569">
        <f t="shared" si="9"/>
        <v>42.06275652058784</v>
      </c>
    </row>
    <row r="74" spans="1:17" x14ac:dyDescent="0.3">
      <c r="A74" s="503">
        <v>521</v>
      </c>
      <c r="B74" s="473" t="s">
        <v>15</v>
      </c>
      <c r="C74" s="473" t="s">
        <v>246</v>
      </c>
      <c r="D74" s="469" t="s">
        <v>66</v>
      </c>
      <c r="E74" s="475" t="s">
        <v>25</v>
      </c>
      <c r="F74" s="515">
        <v>42920</v>
      </c>
      <c r="G74" s="506">
        <v>1</v>
      </c>
      <c r="H74" s="462">
        <f>G74*3</f>
        <v>3</v>
      </c>
      <c r="I74" s="471">
        <v>0</v>
      </c>
      <c r="J74" s="472">
        <f t="shared" ref="J74:J137" si="10">+F74*G74*(1+I74)</f>
        <v>42920</v>
      </c>
      <c r="K74" s="463">
        <f t="shared" ref="K74:K137" si="11">+F74*H74*(1+I74)</f>
        <v>128760</v>
      </c>
      <c r="M74" s="563">
        <v>30212</v>
      </c>
      <c r="O74" s="540" t="s">
        <v>274</v>
      </c>
      <c r="P74" s="569">
        <f t="shared" si="9"/>
        <v>42.06275652058784</v>
      </c>
    </row>
    <row r="75" spans="1:17" s="464" customFormat="1" x14ac:dyDescent="0.3">
      <c r="A75" s="503">
        <v>18</v>
      </c>
      <c r="B75" s="473" t="s">
        <v>15</v>
      </c>
      <c r="C75" s="473" t="s">
        <v>246</v>
      </c>
      <c r="D75" s="476" t="s">
        <v>224</v>
      </c>
      <c r="E75" s="475" t="s">
        <v>25</v>
      </c>
      <c r="F75" s="515">
        <v>42920</v>
      </c>
      <c r="G75" s="506">
        <v>1</v>
      </c>
      <c r="H75" s="462">
        <f>G75*3</f>
        <v>3</v>
      </c>
      <c r="I75" s="471">
        <v>0</v>
      </c>
      <c r="J75" s="472">
        <f t="shared" si="10"/>
        <v>42920</v>
      </c>
      <c r="K75" s="463">
        <f t="shared" si="11"/>
        <v>128760</v>
      </c>
      <c r="L75" s="468"/>
      <c r="M75" s="563">
        <v>30212</v>
      </c>
      <c r="N75" s="468"/>
      <c r="O75" s="540" t="s">
        <v>274</v>
      </c>
      <c r="P75" s="569">
        <f t="shared" si="9"/>
        <v>42.06275652058784</v>
      </c>
      <c r="Q75" s="468"/>
    </row>
    <row r="76" spans="1:17" x14ac:dyDescent="0.3">
      <c r="A76" s="503">
        <v>76</v>
      </c>
      <c r="B76" s="473" t="s">
        <v>15</v>
      </c>
      <c r="C76" s="473" t="s">
        <v>246</v>
      </c>
      <c r="D76" s="476" t="s">
        <v>224</v>
      </c>
      <c r="E76" s="475" t="s">
        <v>25</v>
      </c>
      <c r="F76" s="515">
        <v>42920</v>
      </c>
      <c r="G76" s="506">
        <v>1</v>
      </c>
      <c r="H76" s="462">
        <f>G76*6</f>
        <v>6</v>
      </c>
      <c r="I76" s="471">
        <v>0</v>
      </c>
      <c r="J76" s="472">
        <f t="shared" si="10"/>
        <v>42920</v>
      </c>
      <c r="K76" s="463">
        <f t="shared" si="11"/>
        <v>257520</v>
      </c>
      <c r="M76" s="563">
        <v>30212</v>
      </c>
      <c r="O76" s="540" t="s">
        <v>274</v>
      </c>
      <c r="P76" s="569">
        <f t="shared" si="9"/>
        <v>42.06275652058784</v>
      </c>
    </row>
    <row r="77" spans="1:17" x14ac:dyDescent="0.3">
      <c r="A77" s="503">
        <v>156</v>
      </c>
      <c r="B77" s="473" t="s">
        <v>15</v>
      </c>
      <c r="C77" s="473" t="s">
        <v>246</v>
      </c>
      <c r="D77" s="476" t="s">
        <v>224</v>
      </c>
      <c r="E77" s="475" t="s">
        <v>25</v>
      </c>
      <c r="F77" s="515">
        <v>42920</v>
      </c>
      <c r="G77" s="506">
        <v>1</v>
      </c>
      <c r="H77" s="462">
        <f>G77*5</f>
        <v>5</v>
      </c>
      <c r="I77" s="471">
        <v>0</v>
      </c>
      <c r="J77" s="472">
        <f t="shared" si="10"/>
        <v>42920</v>
      </c>
      <c r="K77" s="463">
        <f t="shared" si="11"/>
        <v>214600</v>
      </c>
      <c r="M77" s="563">
        <v>30212</v>
      </c>
      <c r="O77" s="540" t="s">
        <v>274</v>
      </c>
      <c r="P77" s="569">
        <f t="shared" si="9"/>
        <v>42.06275652058784</v>
      </c>
    </row>
    <row r="78" spans="1:17" x14ac:dyDescent="0.3">
      <c r="A78" s="503">
        <v>200</v>
      </c>
      <c r="B78" s="473" t="s">
        <v>15</v>
      </c>
      <c r="C78" s="473" t="s">
        <v>246</v>
      </c>
      <c r="D78" s="476" t="s">
        <v>224</v>
      </c>
      <c r="E78" s="475" t="s">
        <v>25</v>
      </c>
      <c r="F78" s="515">
        <v>42920</v>
      </c>
      <c r="G78" s="506">
        <v>1</v>
      </c>
      <c r="H78" s="462">
        <f>G78*7</f>
        <v>7</v>
      </c>
      <c r="I78" s="471">
        <v>0</v>
      </c>
      <c r="J78" s="472">
        <f t="shared" si="10"/>
        <v>42920</v>
      </c>
      <c r="K78" s="463">
        <f t="shared" si="11"/>
        <v>300440</v>
      </c>
      <c r="M78" s="563">
        <v>30212</v>
      </c>
      <c r="O78" s="540" t="s">
        <v>274</v>
      </c>
      <c r="P78" s="569">
        <f t="shared" si="9"/>
        <v>42.06275652058784</v>
      </c>
    </row>
    <row r="79" spans="1:17" x14ac:dyDescent="0.3">
      <c r="A79" s="503">
        <v>341</v>
      </c>
      <c r="B79" s="473" t="s">
        <v>15</v>
      </c>
      <c r="C79" s="473" t="s">
        <v>246</v>
      </c>
      <c r="D79" s="476" t="s">
        <v>224</v>
      </c>
      <c r="E79" s="475" t="s">
        <v>25</v>
      </c>
      <c r="F79" s="515">
        <v>42920</v>
      </c>
      <c r="G79" s="506">
        <v>1</v>
      </c>
      <c r="H79" s="462">
        <f>G79*4</f>
        <v>4</v>
      </c>
      <c r="I79" s="471">
        <v>0</v>
      </c>
      <c r="J79" s="472">
        <f t="shared" si="10"/>
        <v>42920</v>
      </c>
      <c r="K79" s="463">
        <f t="shared" si="11"/>
        <v>171680</v>
      </c>
      <c r="M79" s="563">
        <v>30212</v>
      </c>
      <c r="O79" s="540" t="s">
        <v>274</v>
      </c>
      <c r="P79" s="569">
        <f t="shared" si="9"/>
        <v>42.06275652058784</v>
      </c>
    </row>
    <row r="80" spans="1:17" x14ac:dyDescent="0.3">
      <c r="A80" s="503">
        <v>392</v>
      </c>
      <c r="B80" s="473" t="s">
        <v>15</v>
      </c>
      <c r="C80" s="473" t="s">
        <v>246</v>
      </c>
      <c r="D80" s="476" t="s">
        <v>224</v>
      </c>
      <c r="E80" s="475" t="s">
        <v>25</v>
      </c>
      <c r="F80" s="515">
        <v>42920</v>
      </c>
      <c r="G80" s="506">
        <v>1</v>
      </c>
      <c r="H80" s="462">
        <f>G80*6</f>
        <v>6</v>
      </c>
      <c r="I80" s="471">
        <v>0</v>
      </c>
      <c r="J80" s="472">
        <f t="shared" si="10"/>
        <v>42920</v>
      </c>
      <c r="K80" s="463">
        <f t="shared" si="11"/>
        <v>257520</v>
      </c>
      <c r="M80" s="563">
        <v>30212</v>
      </c>
      <c r="O80" s="540" t="s">
        <v>274</v>
      </c>
      <c r="P80" s="569">
        <f t="shared" si="9"/>
        <v>42.06275652058784</v>
      </c>
    </row>
    <row r="81" spans="1:17" x14ac:dyDescent="0.3">
      <c r="A81" s="503">
        <v>31</v>
      </c>
      <c r="B81" s="473" t="s">
        <v>15</v>
      </c>
      <c r="C81" s="473" t="s">
        <v>246</v>
      </c>
      <c r="D81" s="477" t="s">
        <v>29</v>
      </c>
      <c r="E81" s="475" t="s">
        <v>24</v>
      </c>
      <c r="F81" s="515">
        <v>6870</v>
      </c>
      <c r="G81" s="506">
        <v>81</v>
      </c>
      <c r="H81" s="462">
        <f>G81*3</f>
        <v>243</v>
      </c>
      <c r="I81" s="471">
        <v>0</v>
      </c>
      <c r="J81" s="472">
        <f t="shared" si="10"/>
        <v>556470</v>
      </c>
      <c r="K81" s="463">
        <f t="shared" si="11"/>
        <v>1669410</v>
      </c>
      <c r="M81" s="563">
        <v>6250</v>
      </c>
      <c r="N81" s="539"/>
      <c r="O81" s="540" t="s">
        <v>276</v>
      </c>
      <c r="P81" s="569">
        <f t="shared" si="9"/>
        <v>9.9200000000000017</v>
      </c>
    </row>
    <row r="82" spans="1:17" x14ac:dyDescent="0.3">
      <c r="A82" s="503">
        <v>89</v>
      </c>
      <c r="B82" s="473" t="s">
        <v>15</v>
      </c>
      <c r="C82" s="473" t="s">
        <v>246</v>
      </c>
      <c r="D82" s="476" t="s">
        <v>29</v>
      </c>
      <c r="E82" s="475" t="s">
        <v>24</v>
      </c>
      <c r="F82" s="516">
        <v>6870</v>
      </c>
      <c r="G82" s="506">
        <v>73</v>
      </c>
      <c r="H82" s="462">
        <f>G82*6</f>
        <v>438</v>
      </c>
      <c r="I82" s="471">
        <v>0</v>
      </c>
      <c r="J82" s="472">
        <f t="shared" si="10"/>
        <v>501510</v>
      </c>
      <c r="K82" s="463">
        <f t="shared" si="11"/>
        <v>3009060</v>
      </c>
      <c r="M82" s="563">
        <v>6250</v>
      </c>
      <c r="N82" s="539"/>
      <c r="O82" s="540" t="s">
        <v>276</v>
      </c>
      <c r="P82" s="569">
        <f t="shared" si="9"/>
        <v>9.9200000000000017</v>
      </c>
      <c r="Q82" s="490"/>
    </row>
    <row r="83" spans="1:17" x14ac:dyDescent="0.3">
      <c r="A83" s="503">
        <v>153</v>
      </c>
      <c r="B83" s="473" t="s">
        <v>15</v>
      </c>
      <c r="C83" s="473" t="s">
        <v>246</v>
      </c>
      <c r="D83" s="476" t="s">
        <v>29</v>
      </c>
      <c r="E83" s="475" t="s">
        <v>24</v>
      </c>
      <c r="F83" s="516">
        <v>6870</v>
      </c>
      <c r="G83" s="506">
        <v>2</v>
      </c>
      <c r="H83" s="462">
        <f>G83*5</f>
        <v>10</v>
      </c>
      <c r="I83" s="471">
        <v>0</v>
      </c>
      <c r="J83" s="472">
        <f t="shared" si="10"/>
        <v>13740</v>
      </c>
      <c r="K83" s="463">
        <f t="shared" si="11"/>
        <v>68700</v>
      </c>
      <c r="M83" s="563">
        <v>6250</v>
      </c>
      <c r="N83" s="539"/>
      <c r="O83" s="540" t="s">
        <v>276</v>
      </c>
      <c r="P83" s="569">
        <f t="shared" si="9"/>
        <v>9.9200000000000017</v>
      </c>
    </row>
    <row r="84" spans="1:17" x14ac:dyDescent="0.3">
      <c r="A84" s="503">
        <v>213</v>
      </c>
      <c r="B84" s="473" t="s">
        <v>15</v>
      </c>
      <c r="C84" s="473" t="s">
        <v>246</v>
      </c>
      <c r="D84" s="476" t="s">
        <v>29</v>
      </c>
      <c r="E84" s="475" t="s">
        <v>24</v>
      </c>
      <c r="F84" s="516">
        <v>6870</v>
      </c>
      <c r="G84" s="506">
        <v>50</v>
      </c>
      <c r="H84" s="462">
        <f>G84*7</f>
        <v>350</v>
      </c>
      <c r="I84" s="471">
        <v>0</v>
      </c>
      <c r="J84" s="472">
        <f t="shared" si="10"/>
        <v>343500</v>
      </c>
      <c r="K84" s="463">
        <f t="shared" si="11"/>
        <v>2404500</v>
      </c>
      <c r="M84" s="563">
        <v>6250</v>
      </c>
      <c r="N84" s="539"/>
      <c r="O84" s="540" t="s">
        <v>276</v>
      </c>
      <c r="P84" s="569">
        <f t="shared" si="9"/>
        <v>9.9200000000000017</v>
      </c>
    </row>
    <row r="85" spans="1:17" x14ac:dyDescent="0.3">
      <c r="A85" s="503">
        <v>274</v>
      </c>
      <c r="B85" s="473" t="s">
        <v>15</v>
      </c>
      <c r="C85" s="473" t="s">
        <v>246</v>
      </c>
      <c r="D85" s="476" t="s">
        <v>29</v>
      </c>
      <c r="E85" s="475" t="s">
        <v>24</v>
      </c>
      <c r="F85" s="516">
        <v>6870</v>
      </c>
      <c r="G85" s="506">
        <v>30</v>
      </c>
      <c r="H85" s="462">
        <f>G85*1</f>
        <v>30</v>
      </c>
      <c r="I85" s="471">
        <v>0</v>
      </c>
      <c r="J85" s="472">
        <f t="shared" si="10"/>
        <v>206100</v>
      </c>
      <c r="K85" s="463">
        <f t="shared" si="11"/>
        <v>206100</v>
      </c>
      <c r="M85" s="563">
        <v>6250</v>
      </c>
      <c r="N85" s="539"/>
      <c r="O85" s="540" t="s">
        <v>276</v>
      </c>
      <c r="P85" s="569">
        <f t="shared" si="9"/>
        <v>9.9200000000000017</v>
      </c>
    </row>
    <row r="86" spans="1:17" x14ac:dyDescent="0.3">
      <c r="A86" s="503">
        <v>339</v>
      </c>
      <c r="B86" s="473" t="s">
        <v>15</v>
      </c>
      <c r="C86" s="473" t="s">
        <v>246</v>
      </c>
      <c r="D86" s="476" t="s">
        <v>29</v>
      </c>
      <c r="E86" s="475" t="s">
        <v>24</v>
      </c>
      <c r="F86" s="515">
        <v>6870</v>
      </c>
      <c r="G86" s="506">
        <v>2</v>
      </c>
      <c r="H86" s="462">
        <f>G86*4</f>
        <v>8</v>
      </c>
      <c r="I86" s="471">
        <v>0</v>
      </c>
      <c r="J86" s="472">
        <f t="shared" si="10"/>
        <v>13740</v>
      </c>
      <c r="K86" s="463">
        <f t="shared" si="11"/>
        <v>54960</v>
      </c>
      <c r="M86" s="563">
        <v>6250</v>
      </c>
      <c r="N86" s="539"/>
      <c r="O86" s="540" t="s">
        <v>276</v>
      </c>
      <c r="P86" s="569">
        <f t="shared" si="9"/>
        <v>9.9200000000000017</v>
      </c>
    </row>
    <row r="87" spans="1:17" x14ac:dyDescent="0.3">
      <c r="A87" s="503">
        <v>407</v>
      </c>
      <c r="B87" s="473" t="s">
        <v>15</v>
      </c>
      <c r="C87" s="473" t="s">
        <v>246</v>
      </c>
      <c r="D87" s="476" t="s">
        <v>29</v>
      </c>
      <c r="E87" s="475" t="s">
        <v>24</v>
      </c>
      <c r="F87" s="516">
        <v>6870</v>
      </c>
      <c r="G87" s="506">
        <v>2</v>
      </c>
      <c r="H87" s="462">
        <f>G87*6</f>
        <v>12</v>
      </c>
      <c r="I87" s="471">
        <v>0</v>
      </c>
      <c r="J87" s="472">
        <f t="shared" si="10"/>
        <v>13740</v>
      </c>
      <c r="K87" s="463">
        <f t="shared" si="11"/>
        <v>82440</v>
      </c>
      <c r="M87" s="563">
        <v>6250</v>
      </c>
      <c r="N87" s="539"/>
      <c r="O87" s="540" t="s">
        <v>276</v>
      </c>
      <c r="P87" s="569">
        <f t="shared" si="9"/>
        <v>9.9200000000000017</v>
      </c>
    </row>
    <row r="88" spans="1:17" x14ac:dyDescent="0.3">
      <c r="A88" s="503">
        <v>530</v>
      </c>
      <c r="B88" s="473" t="s">
        <v>15</v>
      </c>
      <c r="C88" s="473" t="s">
        <v>246</v>
      </c>
      <c r="D88" s="476" t="s">
        <v>29</v>
      </c>
      <c r="E88" s="475" t="s">
        <v>24</v>
      </c>
      <c r="F88" s="516">
        <v>6870</v>
      </c>
      <c r="G88" s="506">
        <v>100</v>
      </c>
      <c r="H88" s="462">
        <f>G88*3</f>
        <v>300</v>
      </c>
      <c r="I88" s="471">
        <v>0</v>
      </c>
      <c r="J88" s="472">
        <f t="shared" si="10"/>
        <v>687000</v>
      </c>
      <c r="K88" s="463">
        <f t="shared" si="11"/>
        <v>2061000</v>
      </c>
      <c r="M88" s="563">
        <v>6250</v>
      </c>
      <c r="N88" s="539"/>
      <c r="O88" s="540" t="s">
        <v>276</v>
      </c>
      <c r="P88" s="569">
        <f t="shared" si="9"/>
        <v>9.9200000000000017</v>
      </c>
    </row>
    <row r="89" spans="1:17" x14ac:dyDescent="0.3">
      <c r="A89" s="503">
        <v>472</v>
      </c>
      <c r="B89" s="473" t="s">
        <v>15</v>
      </c>
      <c r="C89" s="473" t="s">
        <v>246</v>
      </c>
      <c r="D89" s="476" t="s">
        <v>108</v>
      </c>
      <c r="E89" s="475" t="s">
        <v>24</v>
      </c>
      <c r="F89" s="516">
        <v>6870</v>
      </c>
      <c r="G89" s="506">
        <v>15</v>
      </c>
      <c r="H89" s="462">
        <f>G89*1</f>
        <v>15</v>
      </c>
      <c r="I89" s="471">
        <v>0</v>
      </c>
      <c r="J89" s="472">
        <f t="shared" si="10"/>
        <v>103050</v>
      </c>
      <c r="K89" s="463">
        <f t="shared" si="11"/>
        <v>103050</v>
      </c>
      <c r="M89" s="563">
        <v>6250</v>
      </c>
      <c r="N89" s="539"/>
      <c r="O89" s="540" t="s">
        <v>276</v>
      </c>
      <c r="P89" s="569">
        <f t="shared" si="9"/>
        <v>9.9200000000000017</v>
      </c>
    </row>
    <row r="90" spans="1:17" x14ac:dyDescent="0.3">
      <c r="A90" s="503">
        <v>160</v>
      </c>
      <c r="B90" s="473" t="s">
        <v>15</v>
      </c>
      <c r="C90" s="473" t="s">
        <v>246</v>
      </c>
      <c r="D90" s="476" t="s">
        <v>262</v>
      </c>
      <c r="E90" s="475" t="s">
        <v>24</v>
      </c>
      <c r="F90" s="515">
        <v>8000</v>
      </c>
      <c r="G90" s="506">
        <v>3</v>
      </c>
      <c r="H90" s="462">
        <f>G90*5</f>
        <v>15</v>
      </c>
      <c r="I90" s="471">
        <v>0</v>
      </c>
      <c r="J90" s="472">
        <f t="shared" si="10"/>
        <v>24000</v>
      </c>
      <c r="K90" s="463">
        <f t="shared" si="11"/>
        <v>120000</v>
      </c>
      <c r="M90" s="562">
        <v>5950</v>
      </c>
      <c r="O90" s="540" t="s">
        <v>279</v>
      </c>
      <c r="P90" s="569">
        <f t="shared" si="9"/>
        <v>34.453781512605048</v>
      </c>
    </row>
    <row r="91" spans="1:17" x14ac:dyDescent="0.3">
      <c r="A91" s="503">
        <v>346</v>
      </c>
      <c r="B91" s="473" t="s">
        <v>15</v>
      </c>
      <c r="C91" s="473" t="s">
        <v>246</v>
      </c>
      <c r="D91" s="476" t="s">
        <v>262</v>
      </c>
      <c r="E91" s="475" t="s">
        <v>24</v>
      </c>
      <c r="F91" s="515">
        <v>8000</v>
      </c>
      <c r="G91" s="506">
        <v>3</v>
      </c>
      <c r="H91" s="462">
        <f>G91*4</f>
        <v>12</v>
      </c>
      <c r="I91" s="471">
        <v>0</v>
      </c>
      <c r="J91" s="472">
        <f t="shared" si="10"/>
        <v>24000</v>
      </c>
      <c r="K91" s="463">
        <f t="shared" si="11"/>
        <v>96000</v>
      </c>
      <c r="M91" s="562">
        <v>5950</v>
      </c>
      <c r="O91" s="540" t="s">
        <v>279</v>
      </c>
      <c r="P91" s="569">
        <f t="shared" si="9"/>
        <v>34.453781512605048</v>
      </c>
    </row>
    <row r="92" spans="1:17" x14ac:dyDescent="0.3">
      <c r="A92" s="503">
        <v>411</v>
      </c>
      <c r="B92" s="473" t="s">
        <v>15</v>
      </c>
      <c r="C92" s="473" t="s">
        <v>246</v>
      </c>
      <c r="D92" s="476" t="s">
        <v>262</v>
      </c>
      <c r="E92" s="475" t="s">
        <v>24</v>
      </c>
      <c r="F92" s="515">
        <v>8000</v>
      </c>
      <c r="G92" s="506">
        <v>3</v>
      </c>
      <c r="H92" s="462">
        <f>G92*6</f>
        <v>18</v>
      </c>
      <c r="I92" s="471">
        <v>0</v>
      </c>
      <c r="J92" s="472">
        <f t="shared" si="10"/>
        <v>24000</v>
      </c>
      <c r="K92" s="463">
        <f t="shared" si="11"/>
        <v>144000</v>
      </c>
      <c r="M92" s="562">
        <v>5950</v>
      </c>
      <c r="O92" s="540" t="s">
        <v>279</v>
      </c>
      <c r="P92" s="569">
        <f t="shared" si="9"/>
        <v>34.453781512605048</v>
      </c>
    </row>
    <row r="93" spans="1:17" x14ac:dyDescent="0.3">
      <c r="A93" s="503">
        <v>520</v>
      </c>
      <c r="B93" s="473" t="s">
        <v>15</v>
      </c>
      <c r="C93" s="473" t="s">
        <v>246</v>
      </c>
      <c r="D93" s="495" t="s">
        <v>179</v>
      </c>
      <c r="E93" s="481" t="s">
        <v>25</v>
      </c>
      <c r="F93" s="516">
        <v>8690</v>
      </c>
      <c r="G93" s="506">
        <v>1</v>
      </c>
      <c r="H93" s="462">
        <f>G93*3</f>
        <v>3</v>
      </c>
      <c r="I93" s="471">
        <v>0</v>
      </c>
      <c r="J93" s="472">
        <f t="shared" si="10"/>
        <v>8690</v>
      </c>
      <c r="K93" s="463">
        <f t="shared" si="11"/>
        <v>26070</v>
      </c>
      <c r="M93" s="562">
        <v>7900</v>
      </c>
      <c r="O93" s="540" t="s">
        <v>280</v>
      </c>
      <c r="P93" s="569">
        <f t="shared" si="9"/>
        <v>10</v>
      </c>
    </row>
    <row r="94" spans="1:17" x14ac:dyDescent="0.3">
      <c r="A94" s="503">
        <v>532</v>
      </c>
      <c r="B94" s="473" t="s">
        <v>15</v>
      </c>
      <c r="C94" s="473" t="s">
        <v>246</v>
      </c>
      <c r="D94" s="476" t="s">
        <v>243</v>
      </c>
      <c r="E94" s="475" t="s">
        <v>25</v>
      </c>
      <c r="F94" s="516">
        <v>4150</v>
      </c>
      <c r="G94" s="506">
        <v>4</v>
      </c>
      <c r="H94" s="462">
        <f>G94*3</f>
        <v>12</v>
      </c>
      <c r="I94" s="471">
        <v>0</v>
      </c>
      <c r="J94" s="472">
        <f t="shared" si="10"/>
        <v>16600</v>
      </c>
      <c r="K94" s="463">
        <f t="shared" si="11"/>
        <v>49800</v>
      </c>
      <c r="M94" s="563">
        <f>2450+1300</f>
        <v>3750</v>
      </c>
      <c r="N94" s="539"/>
      <c r="O94" s="540" t="s">
        <v>284</v>
      </c>
      <c r="P94" s="569">
        <f t="shared" si="9"/>
        <v>10.666666666666671</v>
      </c>
    </row>
    <row r="95" spans="1:17" x14ac:dyDescent="0.3">
      <c r="A95" s="503">
        <v>24</v>
      </c>
      <c r="B95" s="473" t="s">
        <v>15</v>
      </c>
      <c r="C95" s="473" t="s">
        <v>246</v>
      </c>
      <c r="D95" s="477" t="s">
        <v>110</v>
      </c>
      <c r="E95" s="475" t="s">
        <v>25</v>
      </c>
      <c r="F95" s="516">
        <v>10890</v>
      </c>
      <c r="G95" s="506">
        <v>2</v>
      </c>
      <c r="H95" s="462">
        <f>G95*3</f>
        <v>6</v>
      </c>
      <c r="I95" s="471">
        <v>0</v>
      </c>
      <c r="J95" s="472">
        <f t="shared" si="10"/>
        <v>21780</v>
      </c>
      <c r="K95" s="463">
        <f t="shared" si="11"/>
        <v>65340</v>
      </c>
      <c r="M95" s="563">
        <v>10900</v>
      </c>
      <c r="N95" s="539"/>
      <c r="O95" s="540" t="s">
        <v>281</v>
      </c>
      <c r="P95" s="569">
        <f t="shared" si="9"/>
        <v>-9.1743119266055828E-2</v>
      </c>
    </row>
    <row r="96" spans="1:17" x14ac:dyDescent="0.3">
      <c r="A96" s="503">
        <v>399</v>
      </c>
      <c r="B96" s="473" t="s">
        <v>15</v>
      </c>
      <c r="C96" s="473" t="s">
        <v>246</v>
      </c>
      <c r="D96" s="477" t="s">
        <v>110</v>
      </c>
      <c r="E96" s="475" t="s">
        <v>25</v>
      </c>
      <c r="F96" s="516">
        <v>10890</v>
      </c>
      <c r="G96" s="506">
        <v>2</v>
      </c>
      <c r="H96" s="462">
        <f>G96*6</f>
        <v>12</v>
      </c>
      <c r="I96" s="471">
        <v>0</v>
      </c>
      <c r="J96" s="472">
        <f t="shared" si="10"/>
        <v>21780</v>
      </c>
      <c r="K96" s="463">
        <f t="shared" si="11"/>
        <v>130680</v>
      </c>
      <c r="M96" s="563">
        <v>10900</v>
      </c>
      <c r="N96" s="539"/>
      <c r="O96" s="540" t="s">
        <v>281</v>
      </c>
      <c r="P96" s="569">
        <f t="shared" si="9"/>
        <v>-9.1743119266055828E-2</v>
      </c>
    </row>
    <row r="97" spans="1:16" x14ac:dyDescent="0.3">
      <c r="A97" s="503">
        <v>82</v>
      </c>
      <c r="B97" s="473" t="s">
        <v>15</v>
      </c>
      <c r="C97" s="473" t="s">
        <v>246</v>
      </c>
      <c r="D97" s="477" t="s">
        <v>110</v>
      </c>
      <c r="E97" s="475" t="s">
        <v>25</v>
      </c>
      <c r="F97" s="516">
        <v>10890</v>
      </c>
      <c r="G97" s="506">
        <v>1</v>
      </c>
      <c r="H97" s="462">
        <f>G97*6</f>
        <v>6</v>
      </c>
      <c r="I97" s="471">
        <v>0</v>
      </c>
      <c r="J97" s="472">
        <f t="shared" si="10"/>
        <v>10890</v>
      </c>
      <c r="K97" s="463">
        <f t="shared" si="11"/>
        <v>65340</v>
      </c>
      <c r="M97" s="563">
        <v>10900</v>
      </c>
      <c r="N97" s="539"/>
      <c r="O97" s="540" t="s">
        <v>281</v>
      </c>
      <c r="P97" s="569">
        <f t="shared" si="9"/>
        <v>-9.1743119266055828E-2</v>
      </c>
    </row>
    <row r="98" spans="1:16" x14ac:dyDescent="0.3">
      <c r="A98" s="503">
        <v>146</v>
      </c>
      <c r="B98" s="473" t="s">
        <v>15</v>
      </c>
      <c r="C98" s="473" t="s">
        <v>246</v>
      </c>
      <c r="D98" s="477" t="s">
        <v>110</v>
      </c>
      <c r="E98" s="475" t="s">
        <v>25</v>
      </c>
      <c r="F98" s="516">
        <v>10890</v>
      </c>
      <c r="G98" s="506">
        <v>1</v>
      </c>
      <c r="H98" s="462">
        <f>G98*5</f>
        <v>5</v>
      </c>
      <c r="I98" s="471">
        <v>0</v>
      </c>
      <c r="J98" s="472">
        <f t="shared" si="10"/>
        <v>10890</v>
      </c>
      <c r="K98" s="463">
        <f t="shared" si="11"/>
        <v>54450</v>
      </c>
      <c r="M98" s="563">
        <v>10900</v>
      </c>
      <c r="N98" s="539"/>
      <c r="O98" s="540" t="s">
        <v>281</v>
      </c>
      <c r="P98" s="569">
        <f t="shared" si="9"/>
        <v>-9.1743119266055828E-2</v>
      </c>
    </row>
    <row r="99" spans="1:16" x14ac:dyDescent="0.3">
      <c r="A99" s="503">
        <v>206</v>
      </c>
      <c r="B99" s="473" t="s">
        <v>15</v>
      </c>
      <c r="C99" s="473" t="s">
        <v>246</v>
      </c>
      <c r="D99" s="477" t="s">
        <v>110</v>
      </c>
      <c r="E99" s="475" t="s">
        <v>25</v>
      </c>
      <c r="F99" s="516">
        <v>10890</v>
      </c>
      <c r="G99" s="506">
        <v>1</v>
      </c>
      <c r="H99" s="462">
        <f>G99*7</f>
        <v>7</v>
      </c>
      <c r="I99" s="471">
        <v>0</v>
      </c>
      <c r="J99" s="472">
        <f t="shared" si="10"/>
        <v>10890</v>
      </c>
      <c r="K99" s="463">
        <f t="shared" si="11"/>
        <v>76230</v>
      </c>
      <c r="M99" s="563">
        <v>10900</v>
      </c>
      <c r="N99" s="539"/>
      <c r="O99" s="540" t="s">
        <v>281</v>
      </c>
      <c r="P99" s="569">
        <f t="shared" si="9"/>
        <v>-9.1743119266055828E-2</v>
      </c>
    </row>
    <row r="100" spans="1:16" x14ac:dyDescent="0.3">
      <c r="A100" s="503">
        <v>268</v>
      </c>
      <c r="B100" s="473" t="s">
        <v>15</v>
      </c>
      <c r="C100" s="473" t="s">
        <v>246</v>
      </c>
      <c r="D100" s="477" t="s">
        <v>110</v>
      </c>
      <c r="E100" s="475" t="s">
        <v>25</v>
      </c>
      <c r="F100" s="516">
        <v>10890</v>
      </c>
      <c r="G100" s="506">
        <v>6</v>
      </c>
      <c r="H100" s="462">
        <f>G100*1</f>
        <v>6</v>
      </c>
      <c r="I100" s="471">
        <v>0</v>
      </c>
      <c r="J100" s="472">
        <f t="shared" si="10"/>
        <v>65340</v>
      </c>
      <c r="K100" s="463">
        <f t="shared" si="11"/>
        <v>65340</v>
      </c>
      <c r="M100" s="563">
        <v>10900</v>
      </c>
      <c r="N100" s="539"/>
      <c r="O100" s="540" t="s">
        <v>281</v>
      </c>
      <c r="P100" s="569">
        <f t="shared" si="9"/>
        <v>-9.1743119266055828E-2</v>
      </c>
    </row>
    <row r="101" spans="1:16" x14ac:dyDescent="0.3">
      <c r="A101" s="503">
        <v>331</v>
      </c>
      <c r="B101" s="473" t="s">
        <v>15</v>
      </c>
      <c r="C101" s="473" t="s">
        <v>246</v>
      </c>
      <c r="D101" s="477" t="s">
        <v>110</v>
      </c>
      <c r="E101" s="475" t="s">
        <v>25</v>
      </c>
      <c r="F101" s="516">
        <v>10890</v>
      </c>
      <c r="G101" s="506">
        <v>3</v>
      </c>
      <c r="H101" s="462">
        <f>G101*4</f>
        <v>12</v>
      </c>
      <c r="I101" s="471">
        <v>0</v>
      </c>
      <c r="J101" s="472">
        <f t="shared" si="10"/>
        <v>32670</v>
      </c>
      <c r="K101" s="463">
        <f t="shared" si="11"/>
        <v>130680</v>
      </c>
      <c r="M101" s="563">
        <v>10900</v>
      </c>
      <c r="N101" s="539"/>
      <c r="O101" s="540" t="s">
        <v>281</v>
      </c>
      <c r="P101" s="569">
        <f t="shared" si="9"/>
        <v>-9.1743119266055828E-2</v>
      </c>
    </row>
    <row r="102" spans="1:16" x14ac:dyDescent="0.3">
      <c r="A102" s="503">
        <v>538</v>
      </c>
      <c r="B102" s="473" t="s">
        <v>15</v>
      </c>
      <c r="C102" s="473" t="s">
        <v>246</v>
      </c>
      <c r="D102" s="477" t="s">
        <v>110</v>
      </c>
      <c r="E102" s="475" t="s">
        <v>25</v>
      </c>
      <c r="F102" s="516">
        <v>10890</v>
      </c>
      <c r="G102" s="506">
        <v>12</v>
      </c>
      <c r="H102" s="462">
        <f>G102*3</f>
        <v>36</v>
      </c>
      <c r="I102" s="471">
        <v>0</v>
      </c>
      <c r="J102" s="472">
        <f t="shared" si="10"/>
        <v>130680</v>
      </c>
      <c r="K102" s="463">
        <f t="shared" si="11"/>
        <v>392040</v>
      </c>
      <c r="M102" s="563">
        <v>10900</v>
      </c>
      <c r="N102" s="539"/>
      <c r="O102" s="540" t="s">
        <v>281</v>
      </c>
      <c r="P102" s="569">
        <f t="shared" si="9"/>
        <v>-9.1743119266055828E-2</v>
      </c>
    </row>
    <row r="103" spans="1:16" x14ac:dyDescent="0.3">
      <c r="A103" s="503">
        <v>471</v>
      </c>
      <c r="B103" s="473" t="s">
        <v>15</v>
      </c>
      <c r="C103" s="473" t="s">
        <v>246</v>
      </c>
      <c r="D103" s="476" t="s">
        <v>176</v>
      </c>
      <c r="E103" s="475" t="s">
        <v>24</v>
      </c>
      <c r="F103" s="522">
        <v>30000</v>
      </c>
      <c r="G103" s="508">
        <v>4</v>
      </c>
      <c r="H103" s="462">
        <f>G103*1</f>
        <v>4</v>
      </c>
      <c r="I103" s="471">
        <v>0</v>
      </c>
      <c r="J103" s="472">
        <f t="shared" si="10"/>
        <v>120000</v>
      </c>
      <c r="K103" s="463">
        <f t="shared" si="11"/>
        <v>120000</v>
      </c>
      <c r="M103" s="563">
        <f>43843*1.19/2</f>
        <v>26086.584999999999</v>
      </c>
      <c r="N103" s="541"/>
      <c r="O103" s="540" t="s">
        <v>282</v>
      </c>
      <c r="P103" s="569">
        <f t="shared" si="9"/>
        <v>15.001637814991881</v>
      </c>
    </row>
    <row r="104" spans="1:16" x14ac:dyDescent="0.3">
      <c r="A104" s="503">
        <v>22</v>
      </c>
      <c r="B104" s="473" t="s">
        <v>15</v>
      </c>
      <c r="C104" s="473" t="s">
        <v>246</v>
      </c>
      <c r="D104" s="474" t="s">
        <v>260</v>
      </c>
      <c r="E104" s="475" t="s">
        <v>24</v>
      </c>
      <c r="F104" s="523">
        <v>5316</v>
      </c>
      <c r="G104" s="506">
        <v>4</v>
      </c>
      <c r="H104" s="462">
        <f>G104*3</f>
        <v>12</v>
      </c>
      <c r="I104" s="471">
        <v>0</v>
      </c>
      <c r="J104" s="472">
        <f t="shared" si="10"/>
        <v>21264</v>
      </c>
      <c r="K104" s="463">
        <f t="shared" si="11"/>
        <v>63792</v>
      </c>
      <c r="M104" s="563">
        <f>2950</f>
        <v>2950</v>
      </c>
      <c r="N104" s="541"/>
      <c r="O104" s="540" t="s">
        <v>276</v>
      </c>
      <c r="P104" s="569">
        <f t="shared" si="9"/>
        <v>80.203389830508485</v>
      </c>
    </row>
    <row r="105" spans="1:16" x14ac:dyDescent="0.3">
      <c r="A105" s="503">
        <v>80</v>
      </c>
      <c r="B105" s="473" t="s">
        <v>15</v>
      </c>
      <c r="C105" s="473" t="s">
        <v>246</v>
      </c>
      <c r="D105" s="474" t="s">
        <v>260</v>
      </c>
      <c r="E105" s="475" t="s">
        <v>24</v>
      </c>
      <c r="F105" s="523">
        <v>5316</v>
      </c>
      <c r="G105" s="506">
        <v>4</v>
      </c>
      <c r="H105" s="462">
        <f>G105*6</f>
        <v>24</v>
      </c>
      <c r="I105" s="471">
        <v>0</v>
      </c>
      <c r="J105" s="472">
        <f t="shared" si="10"/>
        <v>21264</v>
      </c>
      <c r="K105" s="463">
        <f t="shared" si="11"/>
        <v>127584</v>
      </c>
      <c r="M105" s="563">
        <f>2950</f>
        <v>2950</v>
      </c>
      <c r="N105" s="541"/>
      <c r="O105" s="540" t="s">
        <v>276</v>
      </c>
      <c r="P105" s="569">
        <f t="shared" si="9"/>
        <v>80.203389830508485</v>
      </c>
    </row>
    <row r="106" spans="1:16" x14ac:dyDescent="0.3">
      <c r="A106" s="503">
        <v>144</v>
      </c>
      <c r="B106" s="473" t="s">
        <v>15</v>
      </c>
      <c r="C106" s="473" t="s">
        <v>246</v>
      </c>
      <c r="D106" s="474" t="s">
        <v>260</v>
      </c>
      <c r="E106" s="475" t="s">
        <v>24</v>
      </c>
      <c r="F106" s="523">
        <v>5316</v>
      </c>
      <c r="G106" s="506">
        <v>4</v>
      </c>
      <c r="H106" s="462">
        <f>G106*5</f>
        <v>20</v>
      </c>
      <c r="I106" s="471">
        <v>0</v>
      </c>
      <c r="J106" s="472">
        <f t="shared" si="10"/>
        <v>21264</v>
      </c>
      <c r="K106" s="463">
        <f t="shared" si="11"/>
        <v>106320</v>
      </c>
      <c r="M106" s="563">
        <f>2950</f>
        <v>2950</v>
      </c>
      <c r="N106" s="541"/>
      <c r="O106" s="540" t="s">
        <v>276</v>
      </c>
      <c r="P106" s="569">
        <f t="shared" si="9"/>
        <v>80.203389830508485</v>
      </c>
    </row>
    <row r="107" spans="1:16" x14ac:dyDescent="0.3">
      <c r="A107" s="503">
        <v>204</v>
      </c>
      <c r="B107" s="473" t="s">
        <v>15</v>
      </c>
      <c r="C107" s="473" t="s">
        <v>246</v>
      </c>
      <c r="D107" s="474" t="s">
        <v>260</v>
      </c>
      <c r="E107" s="475" t="s">
        <v>24</v>
      </c>
      <c r="F107" s="523">
        <v>5316</v>
      </c>
      <c r="G107" s="506">
        <v>4</v>
      </c>
      <c r="H107" s="462">
        <f>G107*7</f>
        <v>28</v>
      </c>
      <c r="I107" s="471">
        <v>0</v>
      </c>
      <c r="J107" s="472">
        <f t="shared" si="10"/>
        <v>21264</v>
      </c>
      <c r="K107" s="463">
        <f t="shared" si="11"/>
        <v>148848</v>
      </c>
      <c r="M107" s="563">
        <f>2950</f>
        <v>2950</v>
      </c>
      <c r="N107" s="541"/>
      <c r="O107" s="540" t="s">
        <v>276</v>
      </c>
      <c r="P107" s="569">
        <f t="shared" si="9"/>
        <v>80.203389830508485</v>
      </c>
    </row>
    <row r="108" spans="1:16" x14ac:dyDescent="0.3">
      <c r="A108" s="503">
        <v>266</v>
      </c>
      <c r="B108" s="473" t="s">
        <v>15</v>
      </c>
      <c r="C108" s="473" t="s">
        <v>246</v>
      </c>
      <c r="D108" s="474" t="s">
        <v>260</v>
      </c>
      <c r="E108" s="475" t="s">
        <v>24</v>
      </c>
      <c r="F108" s="523">
        <v>5316</v>
      </c>
      <c r="G108" s="506">
        <v>4</v>
      </c>
      <c r="H108" s="462">
        <f>G108*1</f>
        <v>4</v>
      </c>
      <c r="I108" s="471">
        <v>0</v>
      </c>
      <c r="J108" s="472">
        <f t="shared" si="10"/>
        <v>21264</v>
      </c>
      <c r="K108" s="463">
        <f t="shared" si="11"/>
        <v>21264</v>
      </c>
      <c r="M108" s="563">
        <f>2950</f>
        <v>2950</v>
      </c>
      <c r="N108" s="541"/>
      <c r="O108" s="540" t="s">
        <v>276</v>
      </c>
      <c r="P108" s="569">
        <f t="shared" si="9"/>
        <v>80.203389830508485</v>
      </c>
    </row>
    <row r="109" spans="1:16" x14ac:dyDescent="0.3">
      <c r="A109" s="503">
        <v>329</v>
      </c>
      <c r="B109" s="473" t="s">
        <v>15</v>
      </c>
      <c r="C109" s="473" t="s">
        <v>246</v>
      </c>
      <c r="D109" s="474" t="s">
        <v>260</v>
      </c>
      <c r="E109" s="475" t="s">
        <v>24</v>
      </c>
      <c r="F109" s="523">
        <v>5316</v>
      </c>
      <c r="G109" s="506">
        <v>4</v>
      </c>
      <c r="H109" s="462">
        <f>G109*4</f>
        <v>16</v>
      </c>
      <c r="I109" s="471">
        <v>0</v>
      </c>
      <c r="J109" s="472">
        <f t="shared" si="10"/>
        <v>21264</v>
      </c>
      <c r="K109" s="463">
        <f t="shared" si="11"/>
        <v>85056</v>
      </c>
      <c r="M109" s="563">
        <f>2950</f>
        <v>2950</v>
      </c>
      <c r="N109" s="541"/>
      <c r="O109" s="540" t="s">
        <v>276</v>
      </c>
      <c r="P109" s="569">
        <f t="shared" si="9"/>
        <v>80.203389830508485</v>
      </c>
    </row>
    <row r="110" spans="1:16" x14ac:dyDescent="0.3">
      <c r="A110" s="503">
        <v>397</v>
      </c>
      <c r="B110" s="473" t="s">
        <v>15</v>
      </c>
      <c r="C110" s="473" t="s">
        <v>246</v>
      </c>
      <c r="D110" s="474" t="s">
        <v>260</v>
      </c>
      <c r="E110" s="475" t="s">
        <v>24</v>
      </c>
      <c r="F110" s="523">
        <v>5316</v>
      </c>
      <c r="G110" s="506">
        <v>4</v>
      </c>
      <c r="H110" s="462">
        <f>G110*6</f>
        <v>24</v>
      </c>
      <c r="I110" s="471">
        <v>0</v>
      </c>
      <c r="J110" s="472">
        <f t="shared" si="10"/>
        <v>21264</v>
      </c>
      <c r="K110" s="463">
        <f t="shared" si="11"/>
        <v>127584</v>
      </c>
      <c r="M110" s="563">
        <f>2950</f>
        <v>2950</v>
      </c>
      <c r="N110" s="541"/>
      <c r="O110" s="540" t="s">
        <v>276</v>
      </c>
      <c r="P110" s="569">
        <f t="shared" si="9"/>
        <v>80.203389830508485</v>
      </c>
    </row>
    <row r="111" spans="1:16" x14ac:dyDescent="0.3">
      <c r="A111" s="503">
        <v>276</v>
      </c>
      <c r="B111" s="473" t="s">
        <v>15</v>
      </c>
      <c r="C111" s="473" t="s">
        <v>246</v>
      </c>
      <c r="D111" s="476" t="s">
        <v>259</v>
      </c>
      <c r="E111" s="475" t="s">
        <v>25</v>
      </c>
      <c r="F111" s="515">
        <v>13500</v>
      </c>
      <c r="G111" s="506">
        <v>2</v>
      </c>
      <c r="H111" s="462">
        <f>G111*1</f>
        <v>2</v>
      </c>
      <c r="I111" s="471">
        <v>0</v>
      </c>
      <c r="J111" s="472">
        <f t="shared" si="10"/>
        <v>27000</v>
      </c>
      <c r="K111" s="463">
        <f t="shared" si="11"/>
        <v>27000</v>
      </c>
      <c r="M111" s="563">
        <v>13300</v>
      </c>
      <c r="N111" s="541"/>
      <c r="O111" s="540" t="s">
        <v>276</v>
      </c>
      <c r="P111" s="569">
        <f t="shared" si="9"/>
        <v>1.5037593984962427</v>
      </c>
    </row>
    <row r="112" spans="1:16" x14ac:dyDescent="0.3">
      <c r="A112" s="503">
        <v>27</v>
      </c>
      <c r="B112" s="473" t="s">
        <v>15</v>
      </c>
      <c r="C112" s="473" t="s">
        <v>246</v>
      </c>
      <c r="D112" s="477" t="s">
        <v>257</v>
      </c>
      <c r="E112" s="475" t="s">
        <v>25</v>
      </c>
      <c r="F112" s="516">
        <v>8200</v>
      </c>
      <c r="G112" s="506">
        <v>10</v>
      </c>
      <c r="H112" s="462">
        <f>G112*3</f>
        <v>30</v>
      </c>
      <c r="I112" s="471">
        <v>0</v>
      </c>
      <c r="J112" s="472">
        <f t="shared" si="10"/>
        <v>82000</v>
      </c>
      <c r="K112" s="463">
        <f t="shared" si="11"/>
        <v>246000</v>
      </c>
      <c r="M112" s="563">
        <v>7491</v>
      </c>
      <c r="N112" s="541"/>
      <c r="O112" s="540" t="s">
        <v>276</v>
      </c>
      <c r="P112" s="569">
        <f t="shared" si="9"/>
        <v>9.4646909624883193</v>
      </c>
    </row>
    <row r="113" spans="1:17" x14ac:dyDescent="0.3">
      <c r="A113" s="503">
        <v>85</v>
      </c>
      <c r="B113" s="473" t="s">
        <v>15</v>
      </c>
      <c r="C113" s="473" t="s">
        <v>246</v>
      </c>
      <c r="D113" s="477" t="s">
        <v>257</v>
      </c>
      <c r="E113" s="475" t="s">
        <v>25</v>
      </c>
      <c r="F113" s="516">
        <v>8200</v>
      </c>
      <c r="G113" s="506">
        <v>6</v>
      </c>
      <c r="H113" s="462">
        <f>G113*6</f>
        <v>36</v>
      </c>
      <c r="I113" s="471">
        <v>0</v>
      </c>
      <c r="J113" s="472">
        <f t="shared" si="10"/>
        <v>49200</v>
      </c>
      <c r="K113" s="463">
        <f t="shared" si="11"/>
        <v>295200</v>
      </c>
      <c r="M113" s="563">
        <v>7491</v>
      </c>
      <c r="N113" s="541"/>
      <c r="O113" s="540" t="s">
        <v>276</v>
      </c>
      <c r="P113" s="569">
        <f t="shared" si="9"/>
        <v>9.4646909624883193</v>
      </c>
    </row>
    <row r="114" spans="1:17" x14ac:dyDescent="0.3">
      <c r="A114" s="503">
        <v>148</v>
      </c>
      <c r="B114" s="473" t="s">
        <v>15</v>
      </c>
      <c r="C114" s="473" t="s">
        <v>246</v>
      </c>
      <c r="D114" s="477" t="s">
        <v>257</v>
      </c>
      <c r="E114" s="475" t="s">
        <v>25</v>
      </c>
      <c r="F114" s="516">
        <v>8200</v>
      </c>
      <c r="G114" s="506">
        <v>4</v>
      </c>
      <c r="H114" s="462">
        <f>G114*5</f>
        <v>20</v>
      </c>
      <c r="I114" s="471">
        <v>0</v>
      </c>
      <c r="J114" s="472">
        <f t="shared" si="10"/>
        <v>32800</v>
      </c>
      <c r="K114" s="463">
        <f t="shared" si="11"/>
        <v>164000</v>
      </c>
      <c r="M114" s="563">
        <v>7491</v>
      </c>
      <c r="N114" s="541"/>
      <c r="O114" s="540" t="s">
        <v>276</v>
      </c>
      <c r="P114" s="569">
        <f t="shared" si="9"/>
        <v>9.4646909624883193</v>
      </c>
    </row>
    <row r="115" spans="1:17" x14ac:dyDescent="0.3">
      <c r="A115" s="503">
        <v>207</v>
      </c>
      <c r="B115" s="473" t="s">
        <v>15</v>
      </c>
      <c r="C115" s="473" t="s">
        <v>246</v>
      </c>
      <c r="D115" s="477" t="s">
        <v>257</v>
      </c>
      <c r="E115" s="475" t="s">
        <v>25</v>
      </c>
      <c r="F115" s="516">
        <v>8200</v>
      </c>
      <c r="G115" s="506">
        <v>4</v>
      </c>
      <c r="H115" s="462">
        <f>G115*7</f>
        <v>28</v>
      </c>
      <c r="I115" s="471">
        <v>0</v>
      </c>
      <c r="J115" s="472">
        <f t="shared" si="10"/>
        <v>32800</v>
      </c>
      <c r="K115" s="463">
        <f t="shared" si="11"/>
        <v>229600</v>
      </c>
      <c r="M115" s="563">
        <v>7491</v>
      </c>
      <c r="N115" s="541"/>
      <c r="O115" s="540" t="s">
        <v>276</v>
      </c>
      <c r="P115" s="569">
        <f t="shared" si="9"/>
        <v>9.4646909624883193</v>
      </c>
    </row>
    <row r="116" spans="1:17" x14ac:dyDescent="0.3">
      <c r="A116" s="503">
        <v>270</v>
      </c>
      <c r="B116" s="473" t="s">
        <v>15</v>
      </c>
      <c r="C116" s="473" t="s">
        <v>246</v>
      </c>
      <c r="D116" s="477" t="s">
        <v>257</v>
      </c>
      <c r="E116" s="475" t="s">
        <v>25</v>
      </c>
      <c r="F116" s="516">
        <v>8200</v>
      </c>
      <c r="G116" s="506">
        <v>12</v>
      </c>
      <c r="H116" s="462">
        <f>G116*1</f>
        <v>12</v>
      </c>
      <c r="I116" s="471">
        <v>0</v>
      </c>
      <c r="J116" s="472">
        <f t="shared" si="10"/>
        <v>98400</v>
      </c>
      <c r="K116" s="463">
        <f t="shared" si="11"/>
        <v>98400</v>
      </c>
      <c r="M116" s="563">
        <v>7491</v>
      </c>
      <c r="N116" s="541"/>
      <c r="O116" s="540" t="s">
        <v>276</v>
      </c>
      <c r="P116" s="569">
        <f t="shared" si="9"/>
        <v>9.4646909624883193</v>
      </c>
      <c r="Q116" s="464"/>
    </row>
    <row r="117" spans="1:17" x14ac:dyDescent="0.3">
      <c r="A117" s="503">
        <v>334</v>
      </c>
      <c r="B117" s="473" t="s">
        <v>15</v>
      </c>
      <c r="C117" s="473" t="s">
        <v>246</v>
      </c>
      <c r="D117" s="477" t="s">
        <v>257</v>
      </c>
      <c r="E117" s="475" t="s">
        <v>25</v>
      </c>
      <c r="F117" s="516">
        <v>8200</v>
      </c>
      <c r="G117" s="506">
        <v>12</v>
      </c>
      <c r="H117" s="462">
        <f>G117*4</f>
        <v>48</v>
      </c>
      <c r="I117" s="471">
        <v>0</v>
      </c>
      <c r="J117" s="472">
        <f t="shared" si="10"/>
        <v>98400</v>
      </c>
      <c r="K117" s="463">
        <f t="shared" si="11"/>
        <v>393600</v>
      </c>
      <c r="M117" s="563">
        <v>7491</v>
      </c>
      <c r="N117" s="541"/>
      <c r="O117" s="540" t="s">
        <v>276</v>
      </c>
      <c r="P117" s="569">
        <f t="shared" si="9"/>
        <v>9.4646909624883193</v>
      </c>
    </row>
    <row r="118" spans="1:17" x14ac:dyDescent="0.3">
      <c r="A118" s="503">
        <v>402</v>
      </c>
      <c r="B118" s="473" t="s">
        <v>15</v>
      </c>
      <c r="C118" s="473" t="s">
        <v>246</v>
      </c>
      <c r="D118" s="477" t="s">
        <v>257</v>
      </c>
      <c r="E118" s="475" t="s">
        <v>25</v>
      </c>
      <c r="F118" s="516">
        <v>8200</v>
      </c>
      <c r="G118" s="506">
        <v>6</v>
      </c>
      <c r="H118" s="462">
        <f>G118*6</f>
        <v>36</v>
      </c>
      <c r="I118" s="471">
        <v>0</v>
      </c>
      <c r="J118" s="472">
        <f t="shared" si="10"/>
        <v>49200</v>
      </c>
      <c r="K118" s="463">
        <f t="shared" si="11"/>
        <v>295200</v>
      </c>
      <c r="M118" s="563">
        <v>7491</v>
      </c>
      <c r="N118" s="541"/>
      <c r="O118" s="540" t="s">
        <v>276</v>
      </c>
      <c r="P118" s="569">
        <f t="shared" si="9"/>
        <v>9.4646909624883193</v>
      </c>
    </row>
    <row r="119" spans="1:17" s="490" customFormat="1" x14ac:dyDescent="0.3">
      <c r="A119" s="503">
        <v>26</v>
      </c>
      <c r="B119" s="473" t="s">
        <v>15</v>
      </c>
      <c r="C119" s="473" t="s">
        <v>246</v>
      </c>
      <c r="D119" s="477" t="s">
        <v>258</v>
      </c>
      <c r="E119" s="475" t="s">
        <v>24</v>
      </c>
      <c r="F119" s="515">
        <v>7500</v>
      </c>
      <c r="G119" s="506">
        <v>8</v>
      </c>
      <c r="H119" s="462">
        <f>G119*3</f>
        <v>24</v>
      </c>
      <c r="I119" s="471">
        <v>0</v>
      </c>
      <c r="J119" s="472">
        <f t="shared" si="10"/>
        <v>60000</v>
      </c>
      <c r="K119" s="463">
        <f t="shared" si="11"/>
        <v>180000</v>
      </c>
      <c r="L119" s="468"/>
      <c r="M119" s="563">
        <v>6850</v>
      </c>
      <c r="N119" s="541"/>
      <c r="O119" s="540" t="s">
        <v>276</v>
      </c>
      <c r="P119" s="569">
        <f t="shared" si="9"/>
        <v>9.4890510948905131</v>
      </c>
      <c r="Q119" s="468"/>
    </row>
    <row r="120" spans="1:17" x14ac:dyDescent="0.3">
      <c r="A120" s="503">
        <v>84</v>
      </c>
      <c r="B120" s="473" t="s">
        <v>15</v>
      </c>
      <c r="C120" s="473" t="s">
        <v>246</v>
      </c>
      <c r="D120" s="477" t="s">
        <v>258</v>
      </c>
      <c r="E120" s="475" t="s">
        <v>24</v>
      </c>
      <c r="F120" s="515">
        <v>7500</v>
      </c>
      <c r="G120" s="506">
        <v>6</v>
      </c>
      <c r="H120" s="462">
        <f>G120*6</f>
        <v>36</v>
      </c>
      <c r="I120" s="471">
        <v>0</v>
      </c>
      <c r="J120" s="472">
        <f t="shared" si="10"/>
        <v>45000</v>
      </c>
      <c r="K120" s="463">
        <f t="shared" si="11"/>
        <v>270000</v>
      </c>
      <c r="M120" s="563">
        <v>6850</v>
      </c>
      <c r="N120" s="541"/>
      <c r="O120" s="540" t="s">
        <v>276</v>
      </c>
      <c r="P120" s="569">
        <f t="shared" si="9"/>
        <v>9.4890510948905131</v>
      </c>
    </row>
    <row r="121" spans="1:17" x14ac:dyDescent="0.3">
      <c r="A121" s="503">
        <v>147</v>
      </c>
      <c r="B121" s="473" t="s">
        <v>15</v>
      </c>
      <c r="C121" s="473" t="s">
        <v>246</v>
      </c>
      <c r="D121" s="477" t="s">
        <v>258</v>
      </c>
      <c r="E121" s="475" t="s">
        <v>24</v>
      </c>
      <c r="F121" s="515">
        <v>7500</v>
      </c>
      <c r="G121" s="506">
        <v>16</v>
      </c>
      <c r="H121" s="462">
        <f>G121*5</f>
        <v>80</v>
      </c>
      <c r="I121" s="471">
        <v>0</v>
      </c>
      <c r="J121" s="472">
        <f t="shared" si="10"/>
        <v>120000</v>
      </c>
      <c r="K121" s="463">
        <f t="shared" si="11"/>
        <v>600000</v>
      </c>
      <c r="M121" s="563">
        <v>6850</v>
      </c>
      <c r="N121" s="541"/>
      <c r="O121" s="540" t="s">
        <v>276</v>
      </c>
      <c r="P121" s="569">
        <f t="shared" si="9"/>
        <v>9.4890510948905131</v>
      </c>
    </row>
    <row r="122" spans="1:17" x14ac:dyDescent="0.3">
      <c r="A122" s="503">
        <v>208</v>
      </c>
      <c r="B122" s="473" t="s">
        <v>15</v>
      </c>
      <c r="C122" s="473" t="s">
        <v>246</v>
      </c>
      <c r="D122" s="477" t="s">
        <v>258</v>
      </c>
      <c r="E122" s="475" t="s">
        <v>24</v>
      </c>
      <c r="F122" s="515">
        <v>7500</v>
      </c>
      <c r="G122" s="506">
        <v>4</v>
      </c>
      <c r="H122" s="462">
        <f>G122*7</f>
        <v>28</v>
      </c>
      <c r="I122" s="471">
        <v>0</v>
      </c>
      <c r="J122" s="472">
        <f t="shared" si="10"/>
        <v>30000</v>
      </c>
      <c r="K122" s="463">
        <f t="shared" si="11"/>
        <v>210000</v>
      </c>
      <c r="M122" s="563">
        <v>6850</v>
      </c>
      <c r="N122" s="541"/>
      <c r="O122" s="540" t="s">
        <v>276</v>
      </c>
      <c r="P122" s="569">
        <f t="shared" si="9"/>
        <v>9.4890510948905131</v>
      </c>
    </row>
    <row r="123" spans="1:17" x14ac:dyDescent="0.3">
      <c r="A123" s="503">
        <v>269</v>
      </c>
      <c r="B123" s="473" t="s">
        <v>15</v>
      </c>
      <c r="C123" s="473" t="s">
        <v>246</v>
      </c>
      <c r="D123" s="477" t="s">
        <v>258</v>
      </c>
      <c r="E123" s="475" t="s">
        <v>24</v>
      </c>
      <c r="F123" s="515">
        <v>7500</v>
      </c>
      <c r="G123" s="506">
        <v>60</v>
      </c>
      <c r="H123" s="462">
        <f>G123*1</f>
        <v>60</v>
      </c>
      <c r="I123" s="471">
        <v>0</v>
      </c>
      <c r="J123" s="472">
        <f t="shared" si="10"/>
        <v>450000</v>
      </c>
      <c r="K123" s="463">
        <f t="shared" si="11"/>
        <v>450000</v>
      </c>
      <c r="M123" s="563">
        <v>6850</v>
      </c>
      <c r="N123" s="541"/>
      <c r="O123" s="540" t="s">
        <v>276</v>
      </c>
      <c r="P123" s="569">
        <f t="shared" si="9"/>
        <v>9.4890510948905131</v>
      </c>
    </row>
    <row r="124" spans="1:17" x14ac:dyDescent="0.3">
      <c r="A124" s="503">
        <v>333</v>
      </c>
      <c r="B124" s="473" t="s">
        <v>15</v>
      </c>
      <c r="C124" s="473" t="s">
        <v>246</v>
      </c>
      <c r="D124" s="477" t="s">
        <v>258</v>
      </c>
      <c r="E124" s="475" t="s">
        <v>24</v>
      </c>
      <c r="F124" s="515">
        <v>7500</v>
      </c>
      <c r="G124" s="506">
        <v>4</v>
      </c>
      <c r="H124" s="462">
        <f>G124*4</f>
        <v>16</v>
      </c>
      <c r="I124" s="471">
        <v>0</v>
      </c>
      <c r="J124" s="472">
        <f t="shared" si="10"/>
        <v>30000</v>
      </c>
      <c r="K124" s="463">
        <f t="shared" si="11"/>
        <v>120000</v>
      </c>
      <c r="M124" s="563">
        <v>6850</v>
      </c>
      <c r="N124" s="541"/>
      <c r="O124" s="540" t="s">
        <v>276</v>
      </c>
      <c r="P124" s="569">
        <f t="shared" si="9"/>
        <v>9.4890510948905131</v>
      </c>
    </row>
    <row r="125" spans="1:17" x14ac:dyDescent="0.3">
      <c r="A125" s="503">
        <v>401</v>
      </c>
      <c r="B125" s="473" t="s">
        <v>15</v>
      </c>
      <c r="C125" s="473" t="s">
        <v>246</v>
      </c>
      <c r="D125" s="477" t="s">
        <v>258</v>
      </c>
      <c r="E125" s="475" t="s">
        <v>24</v>
      </c>
      <c r="F125" s="515">
        <v>7500</v>
      </c>
      <c r="G125" s="506">
        <v>6</v>
      </c>
      <c r="H125" s="462">
        <f>G125*6</f>
        <v>36</v>
      </c>
      <c r="I125" s="471">
        <v>0</v>
      </c>
      <c r="J125" s="472">
        <f t="shared" si="10"/>
        <v>45000</v>
      </c>
      <c r="K125" s="463">
        <f t="shared" si="11"/>
        <v>270000</v>
      </c>
      <c r="M125" s="563">
        <v>6850</v>
      </c>
      <c r="N125" s="541"/>
      <c r="O125" s="540" t="s">
        <v>276</v>
      </c>
      <c r="P125" s="569">
        <f t="shared" si="9"/>
        <v>9.4890510948905131</v>
      </c>
    </row>
    <row r="126" spans="1:17" x14ac:dyDescent="0.3">
      <c r="A126" s="503">
        <v>34</v>
      </c>
      <c r="B126" s="473" t="s">
        <v>15</v>
      </c>
      <c r="C126" s="473" t="s">
        <v>246</v>
      </c>
      <c r="D126" s="483" t="s">
        <v>251</v>
      </c>
      <c r="E126" s="475" t="s">
        <v>25</v>
      </c>
      <c r="F126" s="516">
        <v>3740</v>
      </c>
      <c r="G126" s="506">
        <v>2</v>
      </c>
      <c r="H126" s="462">
        <f>G126*3</f>
        <v>6</v>
      </c>
      <c r="I126" s="471">
        <v>0</v>
      </c>
      <c r="J126" s="472">
        <f t="shared" si="10"/>
        <v>7480</v>
      </c>
      <c r="K126" s="463">
        <f t="shared" si="11"/>
        <v>22440</v>
      </c>
      <c r="M126" s="563">
        <v>3400</v>
      </c>
      <c r="N126" s="541"/>
      <c r="O126" s="540" t="s">
        <v>280</v>
      </c>
      <c r="P126" s="569">
        <f t="shared" si="9"/>
        <v>10</v>
      </c>
    </row>
    <row r="127" spans="1:17" x14ac:dyDescent="0.3">
      <c r="A127" s="503">
        <v>92</v>
      </c>
      <c r="B127" s="473" t="s">
        <v>15</v>
      </c>
      <c r="C127" s="473" t="s">
        <v>246</v>
      </c>
      <c r="D127" s="483" t="s">
        <v>251</v>
      </c>
      <c r="E127" s="475" t="s">
        <v>25</v>
      </c>
      <c r="F127" s="516">
        <v>3740</v>
      </c>
      <c r="G127" s="506">
        <v>2</v>
      </c>
      <c r="H127" s="462">
        <f>G127*6</f>
        <v>12</v>
      </c>
      <c r="I127" s="471">
        <v>0</v>
      </c>
      <c r="J127" s="472">
        <f t="shared" si="10"/>
        <v>7480</v>
      </c>
      <c r="K127" s="463">
        <f t="shared" si="11"/>
        <v>44880</v>
      </c>
      <c r="M127" s="563">
        <v>3400</v>
      </c>
      <c r="N127" s="541"/>
      <c r="O127" s="540" t="s">
        <v>280</v>
      </c>
      <c r="P127" s="569">
        <f t="shared" si="9"/>
        <v>10</v>
      </c>
    </row>
    <row r="128" spans="1:17" x14ac:dyDescent="0.3">
      <c r="A128" s="503">
        <v>214</v>
      </c>
      <c r="B128" s="473" t="s">
        <v>15</v>
      </c>
      <c r="C128" s="473" t="s">
        <v>246</v>
      </c>
      <c r="D128" s="483" t="s">
        <v>251</v>
      </c>
      <c r="E128" s="475" t="s">
        <v>25</v>
      </c>
      <c r="F128" s="516">
        <v>3740</v>
      </c>
      <c r="G128" s="506">
        <v>2</v>
      </c>
      <c r="H128" s="462">
        <f>G128*7</f>
        <v>14</v>
      </c>
      <c r="I128" s="471">
        <v>0</v>
      </c>
      <c r="J128" s="472">
        <f t="shared" si="10"/>
        <v>7480</v>
      </c>
      <c r="K128" s="463">
        <f t="shared" si="11"/>
        <v>52360</v>
      </c>
      <c r="M128" s="563">
        <v>3400</v>
      </c>
      <c r="N128" s="541"/>
      <c r="O128" s="540" t="s">
        <v>280</v>
      </c>
      <c r="P128" s="569">
        <f t="shared" si="9"/>
        <v>10</v>
      </c>
    </row>
    <row r="129" spans="1:16" x14ac:dyDescent="0.3">
      <c r="A129" s="503">
        <v>278</v>
      </c>
      <c r="B129" s="473" t="s">
        <v>15</v>
      </c>
      <c r="C129" s="473" t="s">
        <v>246</v>
      </c>
      <c r="D129" s="483" t="s">
        <v>251</v>
      </c>
      <c r="E129" s="475" t="s">
        <v>25</v>
      </c>
      <c r="F129" s="516">
        <v>3740</v>
      </c>
      <c r="G129" s="506">
        <v>2</v>
      </c>
      <c r="H129" s="462">
        <f>G129*1</f>
        <v>2</v>
      </c>
      <c r="I129" s="471">
        <v>0</v>
      </c>
      <c r="J129" s="472">
        <f t="shared" si="10"/>
        <v>7480</v>
      </c>
      <c r="K129" s="463">
        <f t="shared" si="11"/>
        <v>7480</v>
      </c>
      <c r="M129" s="563">
        <v>3400</v>
      </c>
      <c r="N129" s="541"/>
      <c r="O129" s="540" t="s">
        <v>280</v>
      </c>
      <c r="P129" s="569">
        <f t="shared" si="9"/>
        <v>10</v>
      </c>
    </row>
    <row r="130" spans="1:16" x14ac:dyDescent="0.3">
      <c r="A130" s="503">
        <v>478</v>
      </c>
      <c r="B130" s="473" t="s">
        <v>15</v>
      </c>
      <c r="C130" s="473" t="s">
        <v>246</v>
      </c>
      <c r="D130" s="483" t="s">
        <v>251</v>
      </c>
      <c r="E130" s="475" t="s">
        <v>25</v>
      </c>
      <c r="F130" s="516">
        <v>3740</v>
      </c>
      <c r="G130" s="506">
        <v>2</v>
      </c>
      <c r="H130" s="462">
        <f>G130*1</f>
        <v>2</v>
      </c>
      <c r="I130" s="471">
        <v>0</v>
      </c>
      <c r="J130" s="472">
        <f t="shared" si="10"/>
        <v>7480</v>
      </c>
      <c r="K130" s="463">
        <f t="shared" si="11"/>
        <v>7480</v>
      </c>
      <c r="M130" s="563">
        <v>3400</v>
      </c>
      <c r="N130" s="541"/>
      <c r="O130" s="540" t="s">
        <v>280</v>
      </c>
      <c r="P130" s="569">
        <f t="shared" si="9"/>
        <v>10</v>
      </c>
    </row>
    <row r="131" spans="1:16" x14ac:dyDescent="0.3">
      <c r="A131" s="503">
        <v>529</v>
      </c>
      <c r="B131" s="473" t="s">
        <v>15</v>
      </c>
      <c r="C131" s="473" t="s">
        <v>246</v>
      </c>
      <c r="D131" s="483" t="s">
        <v>251</v>
      </c>
      <c r="E131" s="475" t="s">
        <v>25</v>
      </c>
      <c r="F131" s="516">
        <v>3740</v>
      </c>
      <c r="G131" s="506">
        <v>4</v>
      </c>
      <c r="H131" s="462">
        <f>G131*3</f>
        <v>12</v>
      </c>
      <c r="I131" s="471">
        <v>0</v>
      </c>
      <c r="J131" s="472">
        <f t="shared" si="10"/>
        <v>14960</v>
      </c>
      <c r="K131" s="463">
        <f t="shared" si="11"/>
        <v>44880</v>
      </c>
      <c r="M131" s="563">
        <v>3400</v>
      </c>
      <c r="N131" s="541"/>
      <c r="O131" s="540" t="s">
        <v>280</v>
      </c>
      <c r="P131" s="569">
        <f t="shared" si="9"/>
        <v>10</v>
      </c>
    </row>
    <row r="132" spans="1:16" ht="33" x14ac:dyDescent="0.3">
      <c r="A132" s="503">
        <v>264</v>
      </c>
      <c r="B132" s="473" t="s">
        <v>15</v>
      </c>
      <c r="C132" s="473" t="s">
        <v>246</v>
      </c>
      <c r="D132" s="482" t="s">
        <v>231</v>
      </c>
      <c r="E132" s="475" t="s">
        <v>25</v>
      </c>
      <c r="F132" s="516">
        <v>2922700</v>
      </c>
      <c r="G132" s="506">
        <v>1</v>
      </c>
      <c r="H132" s="462">
        <f>G132*1</f>
        <v>1</v>
      </c>
      <c r="I132" s="471">
        <v>0</v>
      </c>
      <c r="J132" s="472">
        <f t="shared" si="10"/>
        <v>2922700</v>
      </c>
      <c r="K132" s="463">
        <f t="shared" si="11"/>
        <v>2922700</v>
      </c>
    </row>
    <row r="133" spans="1:16" x14ac:dyDescent="0.3">
      <c r="A133" s="503">
        <v>277</v>
      </c>
      <c r="B133" s="473" t="s">
        <v>15</v>
      </c>
      <c r="C133" s="473" t="s">
        <v>246</v>
      </c>
      <c r="D133" s="476" t="s">
        <v>252</v>
      </c>
      <c r="E133" s="475" t="s">
        <v>25</v>
      </c>
      <c r="F133" s="515">
        <v>1000</v>
      </c>
      <c r="G133" s="506">
        <v>6</v>
      </c>
      <c r="H133" s="462">
        <f>G133*1</f>
        <v>6</v>
      </c>
      <c r="I133" s="471">
        <v>0</v>
      </c>
      <c r="J133" s="472">
        <f t="shared" si="10"/>
        <v>6000</v>
      </c>
      <c r="K133" s="463">
        <f t="shared" si="11"/>
        <v>6000</v>
      </c>
      <c r="M133" s="563">
        <v>910</v>
      </c>
      <c r="N133" s="541"/>
      <c r="O133" s="540" t="s">
        <v>280</v>
      </c>
      <c r="P133" s="569">
        <f t="shared" ref="P133:P165" si="12">+F133*100/M133 -100</f>
        <v>9.8901098901098834</v>
      </c>
    </row>
    <row r="134" spans="1:16" x14ac:dyDescent="0.3">
      <c r="A134" s="503">
        <v>535</v>
      </c>
      <c r="B134" s="473" t="s">
        <v>15</v>
      </c>
      <c r="C134" s="473" t="s">
        <v>246</v>
      </c>
      <c r="D134" s="476" t="s">
        <v>252</v>
      </c>
      <c r="E134" s="475" t="s">
        <v>25</v>
      </c>
      <c r="F134" s="515">
        <v>1000</v>
      </c>
      <c r="G134" s="506">
        <v>20</v>
      </c>
      <c r="H134" s="462">
        <f>G134*3</f>
        <v>60</v>
      </c>
      <c r="I134" s="471">
        <v>0</v>
      </c>
      <c r="J134" s="472">
        <f t="shared" si="10"/>
        <v>20000</v>
      </c>
      <c r="K134" s="463">
        <f t="shared" si="11"/>
        <v>60000</v>
      </c>
      <c r="M134" s="563">
        <v>910</v>
      </c>
      <c r="N134" s="541"/>
      <c r="O134" s="540" t="s">
        <v>280</v>
      </c>
      <c r="P134" s="569">
        <f t="shared" si="12"/>
        <v>9.8901098901098834</v>
      </c>
    </row>
    <row r="135" spans="1:16" x14ac:dyDescent="0.3">
      <c r="A135" s="503">
        <v>23</v>
      </c>
      <c r="B135" s="473" t="s">
        <v>15</v>
      </c>
      <c r="C135" s="473" t="s">
        <v>246</v>
      </c>
      <c r="D135" s="477" t="s">
        <v>253</v>
      </c>
      <c r="E135" s="475" t="s">
        <v>25</v>
      </c>
      <c r="F135" s="523">
        <f t="shared" ref="F135:F141" si="13">1000*1.2</f>
        <v>1200</v>
      </c>
      <c r="G135" s="506">
        <v>12</v>
      </c>
      <c r="H135" s="462">
        <f>G135*3</f>
        <v>36</v>
      </c>
      <c r="I135" s="471">
        <v>0</v>
      </c>
      <c r="J135" s="472">
        <f t="shared" si="10"/>
        <v>14400</v>
      </c>
      <c r="K135" s="463">
        <f t="shared" si="11"/>
        <v>43200</v>
      </c>
      <c r="M135" s="562">
        <v>600</v>
      </c>
      <c r="O135" s="540" t="s">
        <v>276</v>
      </c>
      <c r="P135" s="572">
        <f t="shared" si="12"/>
        <v>100</v>
      </c>
    </row>
    <row r="136" spans="1:16" x14ac:dyDescent="0.3">
      <c r="A136" s="503">
        <v>81</v>
      </c>
      <c r="B136" s="473" t="s">
        <v>15</v>
      </c>
      <c r="C136" s="473" t="s">
        <v>246</v>
      </c>
      <c r="D136" s="477" t="s">
        <v>253</v>
      </c>
      <c r="E136" s="475" t="s">
        <v>25</v>
      </c>
      <c r="F136" s="523">
        <f t="shared" si="13"/>
        <v>1200</v>
      </c>
      <c r="G136" s="506">
        <v>12</v>
      </c>
      <c r="H136" s="462">
        <f>G136*6</f>
        <v>72</v>
      </c>
      <c r="I136" s="471">
        <v>0</v>
      </c>
      <c r="J136" s="472">
        <f t="shared" si="10"/>
        <v>14400</v>
      </c>
      <c r="K136" s="463">
        <f t="shared" si="11"/>
        <v>86400</v>
      </c>
      <c r="M136" s="562">
        <v>600</v>
      </c>
      <c r="O136" s="540" t="s">
        <v>276</v>
      </c>
      <c r="P136" s="572">
        <f t="shared" si="12"/>
        <v>100</v>
      </c>
    </row>
    <row r="137" spans="1:16" x14ac:dyDescent="0.3">
      <c r="A137" s="503">
        <v>145</v>
      </c>
      <c r="B137" s="473" t="s">
        <v>15</v>
      </c>
      <c r="C137" s="473" t="s">
        <v>246</v>
      </c>
      <c r="D137" s="477" t="s">
        <v>253</v>
      </c>
      <c r="E137" s="475" t="s">
        <v>25</v>
      </c>
      <c r="F137" s="523">
        <f t="shared" si="13"/>
        <v>1200</v>
      </c>
      <c r="G137" s="506">
        <v>12</v>
      </c>
      <c r="H137" s="462">
        <f>G137*5</f>
        <v>60</v>
      </c>
      <c r="I137" s="471">
        <v>0</v>
      </c>
      <c r="J137" s="472">
        <f t="shared" si="10"/>
        <v>14400</v>
      </c>
      <c r="K137" s="463">
        <f t="shared" si="11"/>
        <v>72000</v>
      </c>
      <c r="M137" s="562">
        <v>600</v>
      </c>
      <c r="O137" s="540" t="s">
        <v>276</v>
      </c>
      <c r="P137" s="572">
        <f t="shared" si="12"/>
        <v>100</v>
      </c>
    </row>
    <row r="138" spans="1:16" x14ac:dyDescent="0.3">
      <c r="A138" s="503">
        <v>205</v>
      </c>
      <c r="B138" s="473" t="s">
        <v>15</v>
      </c>
      <c r="C138" s="473" t="s">
        <v>246</v>
      </c>
      <c r="D138" s="477" t="s">
        <v>253</v>
      </c>
      <c r="E138" s="475" t="s">
        <v>25</v>
      </c>
      <c r="F138" s="523">
        <f t="shared" si="13"/>
        <v>1200</v>
      </c>
      <c r="G138" s="506">
        <v>12</v>
      </c>
      <c r="H138" s="462">
        <f>G138*7</f>
        <v>84</v>
      </c>
      <c r="I138" s="471">
        <v>0</v>
      </c>
      <c r="J138" s="472">
        <f t="shared" ref="J138:J201" si="14">+F138*G138*(1+I138)</f>
        <v>14400</v>
      </c>
      <c r="K138" s="463">
        <f t="shared" ref="K138:K201" si="15">+F138*H138*(1+I138)</f>
        <v>100800</v>
      </c>
      <c r="M138" s="562">
        <v>600</v>
      </c>
      <c r="O138" s="540" t="s">
        <v>276</v>
      </c>
      <c r="P138" s="572">
        <f t="shared" si="12"/>
        <v>100</v>
      </c>
    </row>
    <row r="139" spans="1:16" x14ac:dyDescent="0.3">
      <c r="A139" s="503">
        <v>267</v>
      </c>
      <c r="B139" s="473" t="s">
        <v>15</v>
      </c>
      <c r="C139" s="473" t="s">
        <v>246</v>
      </c>
      <c r="D139" s="477" t="s">
        <v>253</v>
      </c>
      <c r="E139" s="475" t="s">
        <v>25</v>
      </c>
      <c r="F139" s="523">
        <f t="shared" si="13"/>
        <v>1200</v>
      </c>
      <c r="G139" s="506">
        <v>12</v>
      </c>
      <c r="H139" s="462">
        <f>G139*1</f>
        <v>12</v>
      </c>
      <c r="I139" s="471">
        <v>0</v>
      </c>
      <c r="J139" s="472">
        <f t="shared" si="14"/>
        <v>14400</v>
      </c>
      <c r="K139" s="463">
        <f t="shared" si="15"/>
        <v>14400</v>
      </c>
      <c r="M139" s="562">
        <v>600</v>
      </c>
      <c r="O139" s="540" t="s">
        <v>276</v>
      </c>
      <c r="P139" s="572">
        <f t="shared" si="12"/>
        <v>100</v>
      </c>
    </row>
    <row r="140" spans="1:16" x14ac:dyDescent="0.3">
      <c r="A140" s="503">
        <v>330</v>
      </c>
      <c r="B140" s="473" t="s">
        <v>15</v>
      </c>
      <c r="C140" s="473" t="s">
        <v>246</v>
      </c>
      <c r="D140" s="477" t="s">
        <v>253</v>
      </c>
      <c r="E140" s="475" t="s">
        <v>25</v>
      </c>
      <c r="F140" s="523">
        <f t="shared" si="13"/>
        <v>1200</v>
      </c>
      <c r="G140" s="506">
        <v>12</v>
      </c>
      <c r="H140" s="462">
        <f>G140*4</f>
        <v>48</v>
      </c>
      <c r="I140" s="471">
        <v>0</v>
      </c>
      <c r="J140" s="472">
        <f t="shared" si="14"/>
        <v>14400</v>
      </c>
      <c r="K140" s="463">
        <f t="shared" si="15"/>
        <v>57600</v>
      </c>
      <c r="M140" s="562">
        <v>600</v>
      </c>
      <c r="O140" s="540" t="s">
        <v>276</v>
      </c>
      <c r="P140" s="572">
        <f t="shared" si="12"/>
        <v>100</v>
      </c>
    </row>
    <row r="141" spans="1:16" x14ac:dyDescent="0.3">
      <c r="A141" s="503">
        <v>398</v>
      </c>
      <c r="B141" s="473" t="s">
        <v>15</v>
      </c>
      <c r="C141" s="473" t="s">
        <v>246</v>
      </c>
      <c r="D141" s="477" t="s">
        <v>253</v>
      </c>
      <c r="E141" s="475" t="s">
        <v>25</v>
      </c>
      <c r="F141" s="523">
        <f t="shared" si="13"/>
        <v>1200</v>
      </c>
      <c r="G141" s="506">
        <v>12</v>
      </c>
      <c r="H141" s="462">
        <f>G141*6</f>
        <v>72</v>
      </c>
      <c r="I141" s="471">
        <v>0</v>
      </c>
      <c r="J141" s="472">
        <f t="shared" si="14"/>
        <v>14400</v>
      </c>
      <c r="K141" s="463">
        <f t="shared" si="15"/>
        <v>86400</v>
      </c>
      <c r="M141" s="562">
        <v>600</v>
      </c>
      <c r="O141" s="540" t="s">
        <v>276</v>
      </c>
      <c r="P141" s="572">
        <f t="shared" si="12"/>
        <v>100</v>
      </c>
    </row>
    <row r="142" spans="1:16" x14ac:dyDescent="0.3">
      <c r="A142" s="503">
        <v>263</v>
      </c>
      <c r="B142" s="473" t="s">
        <v>15</v>
      </c>
      <c r="C142" s="473" t="s">
        <v>246</v>
      </c>
      <c r="D142" s="474" t="s">
        <v>234</v>
      </c>
      <c r="E142" s="475" t="s">
        <v>25</v>
      </c>
      <c r="F142" s="516">
        <v>3428000</v>
      </c>
      <c r="G142" s="506">
        <v>1</v>
      </c>
      <c r="H142" s="462">
        <f>G142*1</f>
        <v>1</v>
      </c>
      <c r="I142" s="471">
        <v>0</v>
      </c>
      <c r="J142" s="472">
        <f t="shared" si="14"/>
        <v>3428000</v>
      </c>
      <c r="K142" s="463">
        <f t="shared" si="15"/>
        <v>3428000</v>
      </c>
      <c r="M142" s="562">
        <v>2900625</v>
      </c>
      <c r="O142" s="540" t="s">
        <v>283</v>
      </c>
      <c r="P142" s="569">
        <f t="shared" si="12"/>
        <v>18.181426416720541</v>
      </c>
    </row>
    <row r="143" spans="1:16" x14ac:dyDescent="0.3">
      <c r="A143" s="503">
        <v>143</v>
      </c>
      <c r="B143" s="473" t="s">
        <v>15</v>
      </c>
      <c r="C143" s="473" t="s">
        <v>246</v>
      </c>
      <c r="D143" s="476" t="s">
        <v>42</v>
      </c>
      <c r="E143" s="475" t="s">
        <v>25</v>
      </c>
      <c r="F143" s="516">
        <v>2923520</v>
      </c>
      <c r="G143" s="506">
        <v>1</v>
      </c>
      <c r="H143" s="462">
        <f>G143*5</f>
        <v>5</v>
      </c>
      <c r="I143" s="471">
        <v>0</v>
      </c>
      <c r="J143" s="472">
        <f t="shared" si="14"/>
        <v>2923520</v>
      </c>
      <c r="K143" s="463">
        <f t="shared" si="15"/>
        <v>14617600</v>
      </c>
      <c r="M143" s="563">
        <f>1895250*1.19</f>
        <v>2255347.5</v>
      </c>
      <c r="N143" s="539"/>
      <c r="O143" s="540" t="s">
        <v>283</v>
      </c>
      <c r="P143" s="569">
        <f t="shared" si="12"/>
        <v>29.626144086443446</v>
      </c>
    </row>
    <row r="144" spans="1:16" x14ac:dyDescent="0.3">
      <c r="A144" s="503">
        <v>203</v>
      </c>
      <c r="B144" s="473" t="s">
        <v>15</v>
      </c>
      <c r="C144" s="473" t="s">
        <v>246</v>
      </c>
      <c r="D144" s="476" t="s">
        <v>42</v>
      </c>
      <c r="E144" s="475" t="s">
        <v>25</v>
      </c>
      <c r="F144" s="516">
        <v>2923520</v>
      </c>
      <c r="G144" s="506">
        <v>1</v>
      </c>
      <c r="H144" s="462">
        <f>G144*7</f>
        <v>7</v>
      </c>
      <c r="I144" s="471">
        <v>0</v>
      </c>
      <c r="J144" s="472">
        <f t="shared" si="14"/>
        <v>2923520</v>
      </c>
      <c r="K144" s="463">
        <f t="shared" si="15"/>
        <v>20464640</v>
      </c>
      <c r="M144" s="563">
        <f>1895250*1.19</f>
        <v>2255347.5</v>
      </c>
      <c r="N144" s="539"/>
      <c r="O144" s="540" t="s">
        <v>283</v>
      </c>
      <c r="P144" s="569">
        <f t="shared" si="12"/>
        <v>29.626144086443446</v>
      </c>
    </row>
    <row r="145" spans="1:17" x14ac:dyDescent="0.3">
      <c r="A145" s="503">
        <v>21</v>
      </c>
      <c r="B145" s="473" t="s">
        <v>15</v>
      </c>
      <c r="C145" s="473" t="s">
        <v>246</v>
      </c>
      <c r="D145" s="477" t="s">
        <v>23</v>
      </c>
      <c r="E145" s="475" t="s">
        <v>25</v>
      </c>
      <c r="F145" s="516">
        <v>1111200</v>
      </c>
      <c r="G145" s="506">
        <v>1</v>
      </c>
      <c r="H145" s="462">
        <f>G145*3</f>
        <v>3</v>
      </c>
      <c r="I145" s="471">
        <v>0</v>
      </c>
      <c r="J145" s="472">
        <f t="shared" si="14"/>
        <v>1111200</v>
      </c>
      <c r="K145" s="463">
        <f t="shared" si="15"/>
        <v>3333600</v>
      </c>
      <c r="M145" s="563">
        <f>873750*1.19</f>
        <v>1039762.5</v>
      </c>
      <c r="N145" s="539"/>
      <c r="O145" s="540" t="s">
        <v>283</v>
      </c>
      <c r="P145" s="569">
        <f t="shared" si="12"/>
        <v>6.8705593825513063</v>
      </c>
    </row>
    <row r="146" spans="1:17" x14ac:dyDescent="0.3">
      <c r="A146" s="503">
        <v>79</v>
      </c>
      <c r="B146" s="473" t="s">
        <v>15</v>
      </c>
      <c r="C146" s="473" t="s">
        <v>246</v>
      </c>
      <c r="D146" s="476" t="s">
        <v>23</v>
      </c>
      <c r="E146" s="475" t="s">
        <v>25</v>
      </c>
      <c r="F146" s="516">
        <v>1111210</v>
      </c>
      <c r="G146" s="506">
        <v>1</v>
      </c>
      <c r="H146" s="462">
        <f>G146*6</f>
        <v>6</v>
      </c>
      <c r="I146" s="471">
        <v>0</v>
      </c>
      <c r="J146" s="472">
        <f t="shared" si="14"/>
        <v>1111210</v>
      </c>
      <c r="K146" s="463">
        <f t="shared" si="15"/>
        <v>6667260</v>
      </c>
      <c r="M146" s="563">
        <f>873750*1.19</f>
        <v>1039762.5</v>
      </c>
      <c r="N146" s="539"/>
      <c r="O146" s="540" t="s">
        <v>283</v>
      </c>
      <c r="P146" s="569">
        <f t="shared" si="12"/>
        <v>6.8715211406451004</v>
      </c>
    </row>
    <row r="147" spans="1:17" x14ac:dyDescent="0.3">
      <c r="A147" s="503">
        <v>328</v>
      </c>
      <c r="B147" s="473" t="s">
        <v>15</v>
      </c>
      <c r="C147" s="473" t="s">
        <v>246</v>
      </c>
      <c r="D147" s="476" t="s">
        <v>23</v>
      </c>
      <c r="E147" s="475" t="s">
        <v>25</v>
      </c>
      <c r="F147" s="516">
        <v>1111210</v>
      </c>
      <c r="G147" s="506">
        <v>1</v>
      </c>
      <c r="H147" s="462">
        <f>G147*4</f>
        <v>4</v>
      </c>
      <c r="I147" s="471">
        <v>0</v>
      </c>
      <c r="J147" s="472">
        <f t="shared" si="14"/>
        <v>1111210</v>
      </c>
      <c r="K147" s="463">
        <f t="shared" si="15"/>
        <v>4444840</v>
      </c>
      <c r="M147" s="563">
        <f>873750*1.19</f>
        <v>1039762.5</v>
      </c>
      <c r="N147" s="539"/>
      <c r="O147" s="540" t="s">
        <v>283</v>
      </c>
      <c r="P147" s="569">
        <f t="shared" si="12"/>
        <v>6.8715211406451004</v>
      </c>
    </row>
    <row r="148" spans="1:17" x14ac:dyDescent="0.3">
      <c r="A148" s="503">
        <v>396</v>
      </c>
      <c r="B148" s="473" t="s">
        <v>15</v>
      </c>
      <c r="C148" s="473" t="s">
        <v>246</v>
      </c>
      <c r="D148" s="476" t="s">
        <v>23</v>
      </c>
      <c r="E148" s="475" t="s">
        <v>25</v>
      </c>
      <c r="F148" s="516">
        <v>1111210</v>
      </c>
      <c r="G148" s="506">
        <v>1</v>
      </c>
      <c r="H148" s="462">
        <f>G148*6</f>
        <v>6</v>
      </c>
      <c r="I148" s="471">
        <v>0</v>
      </c>
      <c r="J148" s="472">
        <f t="shared" si="14"/>
        <v>1111210</v>
      </c>
      <c r="K148" s="463">
        <f t="shared" si="15"/>
        <v>6667260</v>
      </c>
      <c r="M148" s="563">
        <f>873750*1.19</f>
        <v>1039762.5</v>
      </c>
      <c r="N148" s="539"/>
      <c r="O148" s="540" t="s">
        <v>283</v>
      </c>
      <c r="P148" s="569">
        <f t="shared" si="12"/>
        <v>6.8715211406451004</v>
      </c>
    </row>
    <row r="149" spans="1:17" x14ac:dyDescent="0.3">
      <c r="A149" s="503">
        <v>533</v>
      </c>
      <c r="B149" s="473" t="s">
        <v>15</v>
      </c>
      <c r="C149" s="473" t="s">
        <v>246</v>
      </c>
      <c r="D149" s="476" t="s">
        <v>373</v>
      </c>
      <c r="E149" s="475" t="s">
        <v>25</v>
      </c>
      <c r="F149" s="526">
        <v>3300</v>
      </c>
      <c r="G149" s="506">
        <v>4</v>
      </c>
      <c r="H149" s="462">
        <f>G149*3</f>
        <v>12</v>
      </c>
      <c r="I149" s="471">
        <v>0</v>
      </c>
      <c r="J149" s="472">
        <f t="shared" si="14"/>
        <v>13200</v>
      </c>
      <c r="K149" s="463">
        <f t="shared" si="15"/>
        <v>39600</v>
      </c>
      <c r="M149" s="563">
        <f>2450</f>
        <v>2450</v>
      </c>
      <c r="N149" s="539"/>
      <c r="O149" s="540" t="s">
        <v>285</v>
      </c>
      <c r="P149" s="569">
        <f t="shared" si="12"/>
        <v>34.693877551020421</v>
      </c>
    </row>
    <row r="150" spans="1:17" x14ac:dyDescent="0.3">
      <c r="A150" s="503">
        <v>519</v>
      </c>
      <c r="B150" s="473" t="s">
        <v>15</v>
      </c>
      <c r="C150" s="473" t="s">
        <v>246</v>
      </c>
      <c r="D150" s="495" t="s">
        <v>180</v>
      </c>
      <c r="E150" s="481" t="s">
        <v>25</v>
      </c>
      <c r="F150" s="516">
        <v>39900</v>
      </c>
      <c r="G150" s="506">
        <v>1</v>
      </c>
      <c r="H150" s="462">
        <f>G150*3</f>
        <v>3</v>
      </c>
      <c r="I150" s="471">
        <v>0</v>
      </c>
      <c r="J150" s="472">
        <f t="shared" si="14"/>
        <v>39900</v>
      </c>
      <c r="K150" s="463">
        <f t="shared" si="15"/>
        <v>119700</v>
      </c>
      <c r="M150" s="562">
        <f>39900+4400</f>
        <v>44300</v>
      </c>
      <c r="O150" s="540" t="s">
        <v>286</v>
      </c>
      <c r="P150" s="569">
        <f t="shared" si="12"/>
        <v>-9.9322799097065513</v>
      </c>
    </row>
    <row r="151" spans="1:17" x14ac:dyDescent="0.3">
      <c r="A151" s="503">
        <v>475</v>
      </c>
      <c r="B151" s="473" t="s">
        <v>15</v>
      </c>
      <c r="C151" s="473" t="s">
        <v>246</v>
      </c>
      <c r="D151" s="476" t="s">
        <v>254</v>
      </c>
      <c r="E151" s="475" t="s">
        <v>24</v>
      </c>
      <c r="F151" s="516">
        <v>11000</v>
      </c>
      <c r="G151" s="506">
        <v>60</v>
      </c>
      <c r="H151" s="462">
        <f>G151*1</f>
        <v>60</v>
      </c>
      <c r="I151" s="471">
        <v>0</v>
      </c>
      <c r="J151" s="472">
        <f t="shared" si="14"/>
        <v>660000</v>
      </c>
      <c r="K151" s="463">
        <f t="shared" si="15"/>
        <v>660000</v>
      </c>
      <c r="M151" s="563">
        <f>25900/3</f>
        <v>8633.3333333333339</v>
      </c>
      <c r="N151" s="541"/>
      <c r="O151" s="540" t="s">
        <v>280</v>
      </c>
      <c r="P151" s="569">
        <f t="shared" si="12"/>
        <v>27.413127413127398</v>
      </c>
    </row>
    <row r="152" spans="1:17" x14ac:dyDescent="0.3">
      <c r="A152" s="503">
        <v>534</v>
      </c>
      <c r="B152" s="473" t="s">
        <v>15</v>
      </c>
      <c r="C152" s="473" t="s">
        <v>246</v>
      </c>
      <c r="D152" s="476" t="s">
        <v>254</v>
      </c>
      <c r="E152" s="475" t="s">
        <v>24</v>
      </c>
      <c r="F152" s="516">
        <v>11000</v>
      </c>
      <c r="G152" s="506">
        <v>60</v>
      </c>
      <c r="H152" s="462">
        <f>G152*3</f>
        <v>180</v>
      </c>
      <c r="I152" s="471">
        <v>0</v>
      </c>
      <c r="J152" s="472">
        <f t="shared" si="14"/>
        <v>660000</v>
      </c>
      <c r="K152" s="463">
        <f t="shared" si="15"/>
        <v>1980000</v>
      </c>
      <c r="M152" s="563">
        <f>25900/3</f>
        <v>8633.3333333333339</v>
      </c>
      <c r="N152" s="541"/>
      <c r="O152" s="540" t="s">
        <v>280</v>
      </c>
      <c r="P152" s="569">
        <f t="shared" si="12"/>
        <v>27.413127413127398</v>
      </c>
    </row>
    <row r="153" spans="1:17" x14ac:dyDescent="0.3">
      <c r="A153" s="503">
        <v>32</v>
      </c>
      <c r="B153" s="473" t="s">
        <v>15</v>
      </c>
      <c r="C153" s="473" t="s">
        <v>246</v>
      </c>
      <c r="D153" s="482" t="s">
        <v>255</v>
      </c>
      <c r="E153" s="481" t="s">
        <v>24</v>
      </c>
      <c r="F153" s="516">
        <v>26307.5</v>
      </c>
      <c r="G153" s="506">
        <v>8</v>
      </c>
      <c r="H153" s="462">
        <f>G153*3</f>
        <v>24</v>
      </c>
      <c r="I153" s="471">
        <v>0</v>
      </c>
      <c r="J153" s="472">
        <f t="shared" si="14"/>
        <v>210460</v>
      </c>
      <c r="K153" s="463">
        <f t="shared" si="15"/>
        <v>631380</v>
      </c>
      <c r="M153" s="563">
        <f>45900/3</f>
        <v>15300</v>
      </c>
      <c r="N153" s="541"/>
      <c r="O153" s="540" t="s">
        <v>287</v>
      </c>
      <c r="P153" s="569">
        <f t="shared" si="12"/>
        <v>71.944444444444457</v>
      </c>
    </row>
    <row r="154" spans="1:17" x14ac:dyDescent="0.3">
      <c r="A154" s="503">
        <v>90</v>
      </c>
      <c r="B154" s="473" t="s">
        <v>15</v>
      </c>
      <c r="C154" s="473" t="s">
        <v>246</v>
      </c>
      <c r="D154" s="482" t="s">
        <v>255</v>
      </c>
      <c r="E154" s="481" t="s">
        <v>24</v>
      </c>
      <c r="F154" s="516">
        <v>26307.5</v>
      </c>
      <c r="G154" s="506">
        <v>4</v>
      </c>
      <c r="H154" s="462">
        <f>G154*6</f>
        <v>24</v>
      </c>
      <c r="I154" s="471">
        <v>0</v>
      </c>
      <c r="J154" s="472">
        <f t="shared" si="14"/>
        <v>105230</v>
      </c>
      <c r="K154" s="463">
        <f t="shared" si="15"/>
        <v>631380</v>
      </c>
      <c r="M154" s="563">
        <f>45900/3</f>
        <v>15300</v>
      </c>
      <c r="N154" s="541"/>
      <c r="O154" s="540" t="s">
        <v>287</v>
      </c>
      <c r="P154" s="569">
        <f t="shared" si="12"/>
        <v>71.944444444444457</v>
      </c>
    </row>
    <row r="155" spans="1:17" x14ac:dyDescent="0.3">
      <c r="A155" s="503">
        <v>215</v>
      </c>
      <c r="B155" s="473" t="s">
        <v>15</v>
      </c>
      <c r="C155" s="473" t="s">
        <v>246</v>
      </c>
      <c r="D155" s="482" t="s">
        <v>255</v>
      </c>
      <c r="E155" s="481" t="s">
        <v>24</v>
      </c>
      <c r="F155" s="516">
        <v>26307.5</v>
      </c>
      <c r="G155" s="506">
        <v>10</v>
      </c>
      <c r="H155" s="462">
        <f>G155*7</f>
        <v>70</v>
      </c>
      <c r="I155" s="471">
        <v>0</v>
      </c>
      <c r="J155" s="472">
        <f t="shared" si="14"/>
        <v>263075</v>
      </c>
      <c r="K155" s="463">
        <f t="shared" si="15"/>
        <v>1841525</v>
      </c>
      <c r="M155" s="563">
        <f>45900/3</f>
        <v>15300</v>
      </c>
      <c r="N155" s="541"/>
      <c r="O155" s="540" t="s">
        <v>287</v>
      </c>
      <c r="P155" s="569">
        <f t="shared" si="12"/>
        <v>71.944444444444457</v>
      </c>
    </row>
    <row r="156" spans="1:17" s="464" customFormat="1" x14ac:dyDescent="0.3">
      <c r="A156" s="503">
        <v>279</v>
      </c>
      <c r="B156" s="473" t="s">
        <v>15</v>
      </c>
      <c r="C156" s="473" t="s">
        <v>246</v>
      </c>
      <c r="D156" s="482" t="s">
        <v>255</v>
      </c>
      <c r="E156" s="481" t="s">
        <v>24</v>
      </c>
      <c r="F156" s="516">
        <v>26307.5</v>
      </c>
      <c r="G156" s="506">
        <v>26</v>
      </c>
      <c r="H156" s="462">
        <f>G156*1</f>
        <v>26</v>
      </c>
      <c r="I156" s="471">
        <v>0</v>
      </c>
      <c r="J156" s="472">
        <f t="shared" si="14"/>
        <v>683995</v>
      </c>
      <c r="K156" s="463">
        <f t="shared" si="15"/>
        <v>683995</v>
      </c>
      <c r="L156" s="468"/>
      <c r="M156" s="563">
        <f>45900/3</f>
        <v>15300</v>
      </c>
      <c r="N156" s="541"/>
      <c r="O156" s="540" t="s">
        <v>287</v>
      </c>
      <c r="P156" s="569">
        <f t="shared" si="12"/>
        <v>71.944444444444457</v>
      </c>
      <c r="Q156" s="468"/>
    </row>
    <row r="157" spans="1:17" x14ac:dyDescent="0.3">
      <c r="A157" s="503">
        <v>35</v>
      </c>
      <c r="B157" s="473" t="s">
        <v>15</v>
      </c>
      <c r="C157" s="473" t="s">
        <v>246</v>
      </c>
      <c r="D157" s="477" t="s">
        <v>30</v>
      </c>
      <c r="E157" s="475" t="s">
        <v>24</v>
      </c>
      <c r="F157" s="516">
        <v>2000</v>
      </c>
      <c r="G157" s="506">
        <v>120</v>
      </c>
      <c r="H157" s="462">
        <f>G157*3</f>
        <v>360</v>
      </c>
      <c r="I157" s="471">
        <v>0</v>
      </c>
      <c r="J157" s="472">
        <f t="shared" si="14"/>
        <v>240000</v>
      </c>
      <c r="K157" s="463">
        <f t="shared" si="15"/>
        <v>720000</v>
      </c>
      <c r="M157" s="563">
        <f t="shared" ref="M157:M162" si="16">5500/3</f>
        <v>1833.3333333333333</v>
      </c>
      <c r="N157" s="541"/>
      <c r="O157" s="540" t="s">
        <v>280</v>
      </c>
      <c r="P157" s="569">
        <f t="shared" si="12"/>
        <v>9.0909090909090935</v>
      </c>
    </row>
    <row r="158" spans="1:17" x14ac:dyDescent="0.3">
      <c r="A158" s="503">
        <v>93</v>
      </c>
      <c r="B158" s="473" t="s">
        <v>15</v>
      </c>
      <c r="C158" s="473" t="s">
        <v>246</v>
      </c>
      <c r="D158" s="476" t="s">
        <v>30</v>
      </c>
      <c r="E158" s="475" t="s">
        <v>24</v>
      </c>
      <c r="F158" s="516">
        <v>2000</v>
      </c>
      <c r="G158" s="506">
        <v>120</v>
      </c>
      <c r="H158" s="462">
        <f>G158*6</f>
        <v>720</v>
      </c>
      <c r="I158" s="471">
        <v>0</v>
      </c>
      <c r="J158" s="472">
        <f t="shared" si="14"/>
        <v>240000</v>
      </c>
      <c r="K158" s="463">
        <f t="shared" si="15"/>
        <v>1440000</v>
      </c>
      <c r="M158" s="563">
        <f t="shared" si="16"/>
        <v>1833.3333333333333</v>
      </c>
      <c r="N158" s="541"/>
      <c r="O158" s="540" t="s">
        <v>280</v>
      </c>
      <c r="P158" s="569">
        <f t="shared" si="12"/>
        <v>9.0909090909090935</v>
      </c>
    </row>
    <row r="159" spans="1:17" x14ac:dyDescent="0.3">
      <c r="A159" s="503">
        <v>216</v>
      </c>
      <c r="B159" s="473" t="s">
        <v>15</v>
      </c>
      <c r="C159" s="473" t="s">
        <v>246</v>
      </c>
      <c r="D159" s="476" t="s">
        <v>30</v>
      </c>
      <c r="E159" s="475" t="s">
        <v>24</v>
      </c>
      <c r="F159" s="516">
        <v>2000</v>
      </c>
      <c r="G159" s="506">
        <v>100</v>
      </c>
      <c r="H159" s="462">
        <f>G159*7</f>
        <v>700</v>
      </c>
      <c r="I159" s="471">
        <v>0</v>
      </c>
      <c r="J159" s="472">
        <f t="shared" si="14"/>
        <v>200000</v>
      </c>
      <c r="K159" s="463">
        <f t="shared" si="15"/>
        <v>1400000</v>
      </c>
      <c r="M159" s="563">
        <f t="shared" si="16"/>
        <v>1833.3333333333333</v>
      </c>
      <c r="N159" s="541"/>
      <c r="O159" s="540" t="s">
        <v>280</v>
      </c>
      <c r="P159" s="569">
        <f t="shared" si="12"/>
        <v>9.0909090909090935</v>
      </c>
    </row>
    <row r="160" spans="1:17" x14ac:dyDescent="0.3">
      <c r="A160" s="503">
        <v>275</v>
      </c>
      <c r="B160" s="473" t="s">
        <v>15</v>
      </c>
      <c r="C160" s="473" t="s">
        <v>246</v>
      </c>
      <c r="D160" s="476" t="s">
        <v>30</v>
      </c>
      <c r="E160" s="475" t="s">
        <v>24</v>
      </c>
      <c r="F160" s="516">
        <v>2000</v>
      </c>
      <c r="G160" s="506">
        <v>64</v>
      </c>
      <c r="H160" s="462">
        <f>G160*1</f>
        <v>64</v>
      </c>
      <c r="I160" s="471">
        <v>0</v>
      </c>
      <c r="J160" s="472">
        <f t="shared" si="14"/>
        <v>128000</v>
      </c>
      <c r="K160" s="463">
        <f t="shared" si="15"/>
        <v>128000</v>
      </c>
      <c r="M160" s="563">
        <f t="shared" si="16"/>
        <v>1833.3333333333333</v>
      </c>
      <c r="N160" s="541"/>
      <c r="O160" s="540" t="s">
        <v>280</v>
      </c>
      <c r="P160" s="569">
        <f t="shared" si="12"/>
        <v>9.0909090909090935</v>
      </c>
    </row>
    <row r="161" spans="1:17" x14ac:dyDescent="0.3">
      <c r="A161" s="503">
        <v>528</v>
      </c>
      <c r="B161" s="473" t="s">
        <v>15</v>
      </c>
      <c r="C161" s="473" t="s">
        <v>246</v>
      </c>
      <c r="D161" s="476" t="s">
        <v>30</v>
      </c>
      <c r="E161" s="475" t="s">
        <v>24</v>
      </c>
      <c r="F161" s="516">
        <v>2000</v>
      </c>
      <c r="G161" s="506">
        <v>80</v>
      </c>
      <c r="H161" s="462">
        <f>G161*3</f>
        <v>240</v>
      </c>
      <c r="I161" s="471">
        <v>0</v>
      </c>
      <c r="J161" s="472">
        <f t="shared" si="14"/>
        <v>160000</v>
      </c>
      <c r="K161" s="463">
        <f t="shared" si="15"/>
        <v>480000</v>
      </c>
      <c r="M161" s="563">
        <f t="shared" si="16"/>
        <v>1833.3333333333333</v>
      </c>
      <c r="N161" s="541"/>
      <c r="O161" s="540" t="s">
        <v>280</v>
      </c>
      <c r="P161" s="569">
        <f t="shared" si="12"/>
        <v>9.0909090909090935</v>
      </c>
    </row>
    <row r="162" spans="1:17" x14ac:dyDescent="0.3">
      <c r="A162" s="503">
        <v>479</v>
      </c>
      <c r="B162" s="473" t="s">
        <v>15</v>
      </c>
      <c r="C162" s="473" t="s">
        <v>246</v>
      </c>
      <c r="D162" s="476" t="s">
        <v>109</v>
      </c>
      <c r="E162" s="475" t="s">
        <v>24</v>
      </c>
      <c r="F162" s="516">
        <v>2000</v>
      </c>
      <c r="G162" s="506">
        <v>40</v>
      </c>
      <c r="H162" s="462">
        <f>G162*1</f>
        <v>40</v>
      </c>
      <c r="I162" s="471">
        <v>0</v>
      </c>
      <c r="J162" s="472">
        <f t="shared" si="14"/>
        <v>80000</v>
      </c>
      <c r="K162" s="463">
        <f t="shared" si="15"/>
        <v>80000</v>
      </c>
      <c r="M162" s="563">
        <f t="shared" si="16"/>
        <v>1833.3333333333333</v>
      </c>
      <c r="N162" s="541"/>
      <c r="O162" s="540" t="s">
        <v>280</v>
      </c>
      <c r="P162" s="569">
        <f t="shared" si="12"/>
        <v>9.0909090909090935</v>
      </c>
    </row>
    <row r="163" spans="1:17" x14ac:dyDescent="0.3">
      <c r="A163" s="503">
        <v>476</v>
      </c>
      <c r="B163" s="473" t="s">
        <v>15</v>
      </c>
      <c r="C163" s="473" t="s">
        <v>246</v>
      </c>
      <c r="D163" s="476" t="s">
        <v>256</v>
      </c>
      <c r="E163" s="475" t="s">
        <v>25</v>
      </c>
      <c r="F163" s="516">
        <v>2600</v>
      </c>
      <c r="G163" s="506">
        <v>12</v>
      </c>
      <c r="H163" s="462">
        <f>G163*1</f>
        <v>12</v>
      </c>
      <c r="I163" s="471">
        <v>0</v>
      </c>
      <c r="J163" s="472">
        <f t="shared" si="14"/>
        <v>31200</v>
      </c>
      <c r="K163" s="463">
        <f t="shared" si="15"/>
        <v>31200</v>
      </c>
      <c r="M163" s="563">
        <v>2600</v>
      </c>
      <c r="N163" s="541"/>
      <c r="O163" s="540" t="s">
        <v>280</v>
      </c>
      <c r="P163" s="569">
        <f t="shared" si="12"/>
        <v>0</v>
      </c>
      <c r="Q163" s="464"/>
    </row>
    <row r="164" spans="1:17" x14ac:dyDescent="0.3">
      <c r="A164" s="503">
        <v>536</v>
      </c>
      <c r="B164" s="473" t="s">
        <v>15</v>
      </c>
      <c r="C164" s="473" t="s">
        <v>246</v>
      </c>
      <c r="D164" s="476" t="s">
        <v>256</v>
      </c>
      <c r="E164" s="475" t="s">
        <v>25</v>
      </c>
      <c r="F164" s="516">
        <v>2600</v>
      </c>
      <c r="G164" s="506">
        <v>12</v>
      </c>
      <c r="H164" s="462">
        <f>G164*3</f>
        <v>36</v>
      </c>
      <c r="I164" s="471">
        <v>0</v>
      </c>
      <c r="J164" s="472">
        <f t="shared" si="14"/>
        <v>31200</v>
      </c>
      <c r="K164" s="463">
        <f t="shared" si="15"/>
        <v>93600</v>
      </c>
      <c r="M164" s="563">
        <v>2600</v>
      </c>
      <c r="N164" s="541"/>
      <c r="O164" s="540" t="s">
        <v>280</v>
      </c>
      <c r="P164" s="569">
        <f t="shared" si="12"/>
        <v>0</v>
      </c>
    </row>
    <row r="165" spans="1:17" x14ac:dyDescent="0.3">
      <c r="A165" s="503">
        <v>443</v>
      </c>
      <c r="B165" s="473" t="s">
        <v>15</v>
      </c>
      <c r="C165" s="473" t="s">
        <v>246</v>
      </c>
      <c r="D165" s="489" t="s">
        <v>93</v>
      </c>
      <c r="E165" s="475" t="s">
        <v>25</v>
      </c>
      <c r="F165" s="524">
        <v>5319000</v>
      </c>
      <c r="G165" s="508">
        <v>1</v>
      </c>
      <c r="H165" s="462">
        <f>G165*1</f>
        <v>1</v>
      </c>
      <c r="I165" s="471">
        <v>0</v>
      </c>
      <c r="J165" s="472">
        <f t="shared" si="14"/>
        <v>5319000</v>
      </c>
      <c r="K165" s="463">
        <f t="shared" si="15"/>
        <v>5319000</v>
      </c>
      <c r="M165" s="563">
        <v>7800000</v>
      </c>
      <c r="N165" s="541"/>
      <c r="O165" s="540" t="s">
        <v>288</v>
      </c>
      <c r="P165" s="569">
        <f t="shared" si="12"/>
        <v>-31.807692307692307</v>
      </c>
    </row>
    <row r="166" spans="1:17" x14ac:dyDescent="0.3">
      <c r="A166" s="503">
        <v>8</v>
      </c>
      <c r="B166" s="473" t="s">
        <v>5</v>
      </c>
      <c r="C166" s="513" t="s">
        <v>218</v>
      </c>
      <c r="D166" s="469" t="s">
        <v>54</v>
      </c>
      <c r="E166" s="470" t="s">
        <v>46</v>
      </c>
      <c r="F166" s="515">
        <v>10000</v>
      </c>
      <c r="G166" s="506">
        <v>0.79500000000000004</v>
      </c>
      <c r="H166" s="462">
        <f>G166*3</f>
        <v>2.3850000000000002</v>
      </c>
      <c r="I166" s="471">
        <v>0</v>
      </c>
      <c r="J166" s="472">
        <f t="shared" si="14"/>
        <v>7950</v>
      </c>
      <c r="K166" s="463">
        <f t="shared" si="15"/>
        <v>23850.000000000004</v>
      </c>
    </row>
    <row r="167" spans="1:17" x14ac:dyDescent="0.3">
      <c r="A167" s="503">
        <v>66</v>
      </c>
      <c r="B167" s="473" t="s">
        <v>5</v>
      </c>
      <c r="C167" s="513" t="s">
        <v>218</v>
      </c>
      <c r="D167" s="488" t="s">
        <v>54</v>
      </c>
      <c r="E167" s="470" t="s">
        <v>46</v>
      </c>
      <c r="F167" s="515">
        <v>10000</v>
      </c>
      <c r="G167" s="506">
        <v>0.71599999999999997</v>
      </c>
      <c r="H167" s="462">
        <f>G167*6</f>
        <v>4.2959999999999994</v>
      </c>
      <c r="I167" s="471">
        <v>0</v>
      </c>
      <c r="J167" s="472">
        <f t="shared" si="14"/>
        <v>7160</v>
      </c>
      <c r="K167" s="463">
        <f t="shared" si="15"/>
        <v>42959.999999999993</v>
      </c>
    </row>
    <row r="168" spans="1:17" x14ac:dyDescent="0.3">
      <c r="A168" s="503">
        <v>125</v>
      </c>
      <c r="B168" s="473" t="s">
        <v>5</v>
      </c>
      <c r="C168" s="513" t="s">
        <v>218</v>
      </c>
      <c r="D168" s="488" t="s">
        <v>54</v>
      </c>
      <c r="E168" s="470" t="s">
        <v>46</v>
      </c>
      <c r="F168" s="515">
        <v>10000</v>
      </c>
      <c r="G168" s="506">
        <v>1.698</v>
      </c>
      <c r="H168" s="462">
        <f>G168*5</f>
        <v>8.49</v>
      </c>
      <c r="I168" s="471">
        <v>0</v>
      </c>
      <c r="J168" s="472">
        <f t="shared" si="14"/>
        <v>16980</v>
      </c>
      <c r="K168" s="463">
        <f t="shared" si="15"/>
        <v>84900</v>
      </c>
    </row>
    <row r="169" spans="1:17" x14ac:dyDescent="0.3">
      <c r="A169" s="503">
        <v>189</v>
      </c>
      <c r="B169" s="473" t="s">
        <v>5</v>
      </c>
      <c r="C169" s="513" t="s">
        <v>218</v>
      </c>
      <c r="D169" s="488" t="s">
        <v>54</v>
      </c>
      <c r="E169" s="470" t="s">
        <v>46</v>
      </c>
      <c r="F169" s="515">
        <v>10000</v>
      </c>
      <c r="G169" s="506">
        <f>G166</f>
        <v>0.79500000000000004</v>
      </c>
      <c r="H169" s="462">
        <f>G169*7</f>
        <v>5.5650000000000004</v>
      </c>
      <c r="I169" s="471">
        <v>0</v>
      </c>
      <c r="J169" s="472">
        <f t="shared" si="14"/>
        <v>7950</v>
      </c>
      <c r="K169" s="463">
        <f t="shared" si="15"/>
        <v>55650.000000000007</v>
      </c>
    </row>
    <row r="170" spans="1:17" x14ac:dyDescent="0.3">
      <c r="A170" s="503">
        <v>248</v>
      </c>
      <c r="B170" s="473" t="s">
        <v>5</v>
      </c>
      <c r="C170" s="513" t="s">
        <v>218</v>
      </c>
      <c r="D170" s="488" t="s">
        <v>54</v>
      </c>
      <c r="E170" s="470" t="s">
        <v>46</v>
      </c>
      <c r="F170" s="515">
        <v>10000</v>
      </c>
      <c r="G170" s="506">
        <v>6.4279999999999999</v>
      </c>
      <c r="H170" s="462">
        <f>G170*1</f>
        <v>6.4279999999999999</v>
      </c>
      <c r="I170" s="471">
        <v>0</v>
      </c>
      <c r="J170" s="472">
        <f t="shared" si="14"/>
        <v>64280</v>
      </c>
      <c r="K170" s="463">
        <f t="shared" si="15"/>
        <v>64280</v>
      </c>
    </row>
    <row r="171" spans="1:17" x14ac:dyDescent="0.3">
      <c r="A171" s="503">
        <v>311</v>
      </c>
      <c r="B171" s="473" t="s">
        <v>5</v>
      </c>
      <c r="C171" s="513" t="s">
        <v>218</v>
      </c>
      <c r="D171" s="488" t="s">
        <v>54</v>
      </c>
      <c r="E171" s="470" t="s">
        <v>46</v>
      </c>
      <c r="F171" s="515">
        <v>10000</v>
      </c>
      <c r="G171" s="506">
        <v>1.2709999999999999</v>
      </c>
      <c r="H171" s="462">
        <f>G171*4</f>
        <v>5.0839999999999996</v>
      </c>
      <c r="I171" s="471">
        <v>0</v>
      </c>
      <c r="J171" s="472">
        <f t="shared" si="14"/>
        <v>12709.999999999998</v>
      </c>
      <c r="K171" s="463">
        <f t="shared" si="15"/>
        <v>50839.999999999993</v>
      </c>
    </row>
    <row r="172" spans="1:17" x14ac:dyDescent="0.3">
      <c r="A172" s="503">
        <v>375</v>
      </c>
      <c r="B172" s="473" t="s">
        <v>5</v>
      </c>
      <c r="C172" s="513" t="s">
        <v>218</v>
      </c>
      <c r="D172" s="488" t="s">
        <v>54</v>
      </c>
      <c r="E172" s="470" t="s">
        <v>46</v>
      </c>
      <c r="F172" s="515">
        <v>10000</v>
      </c>
      <c r="G172" s="506">
        <v>1.452</v>
      </c>
      <c r="H172" s="462">
        <f>G172*6</f>
        <v>8.7119999999999997</v>
      </c>
      <c r="I172" s="471">
        <v>0</v>
      </c>
      <c r="J172" s="472">
        <f t="shared" si="14"/>
        <v>14520</v>
      </c>
      <c r="K172" s="463">
        <f t="shared" si="15"/>
        <v>87120</v>
      </c>
    </row>
    <row r="173" spans="1:17" x14ac:dyDescent="0.3">
      <c r="A173" s="503">
        <v>439</v>
      </c>
      <c r="B173" s="473" t="s">
        <v>5</v>
      </c>
      <c r="C173" s="513" t="s">
        <v>218</v>
      </c>
      <c r="D173" s="488" t="s">
        <v>54</v>
      </c>
      <c r="E173" s="470" t="s">
        <v>46</v>
      </c>
      <c r="F173" s="515">
        <v>10000</v>
      </c>
      <c r="G173" s="506">
        <v>8.9529999999999994</v>
      </c>
      <c r="H173" s="462">
        <f>G173*1</f>
        <v>8.9529999999999994</v>
      </c>
      <c r="I173" s="471">
        <v>0</v>
      </c>
      <c r="J173" s="472">
        <f t="shared" si="14"/>
        <v>89530</v>
      </c>
      <c r="K173" s="463">
        <f t="shared" si="15"/>
        <v>89530</v>
      </c>
    </row>
    <row r="174" spans="1:17" x14ac:dyDescent="0.3">
      <c r="A174" s="503">
        <v>509</v>
      </c>
      <c r="B174" s="473" t="s">
        <v>5</v>
      </c>
      <c r="C174" s="513" t="s">
        <v>218</v>
      </c>
      <c r="D174" s="488" t="s">
        <v>54</v>
      </c>
      <c r="E174" s="470" t="s">
        <v>46</v>
      </c>
      <c r="F174" s="515">
        <v>10000</v>
      </c>
      <c r="G174" s="506">
        <v>2.8029999999999999</v>
      </c>
      <c r="H174" s="462">
        <f>G174*3</f>
        <v>8.4089999999999989</v>
      </c>
      <c r="I174" s="471">
        <v>0</v>
      </c>
      <c r="J174" s="472">
        <f t="shared" si="14"/>
        <v>28030</v>
      </c>
      <c r="K174" s="463">
        <f t="shared" si="15"/>
        <v>84089.999999999985</v>
      </c>
    </row>
    <row r="175" spans="1:17" x14ac:dyDescent="0.3">
      <c r="A175" s="503">
        <v>43</v>
      </c>
      <c r="B175" s="473" t="s">
        <v>16</v>
      </c>
      <c r="C175" s="513" t="s">
        <v>218</v>
      </c>
      <c r="D175" s="477" t="s">
        <v>73</v>
      </c>
      <c r="E175" s="470" t="s">
        <v>111</v>
      </c>
      <c r="F175" s="529">
        <v>121666</v>
      </c>
      <c r="G175" s="506">
        <v>9</v>
      </c>
      <c r="H175" s="462">
        <f>G175*3</f>
        <v>27</v>
      </c>
      <c r="I175" s="471">
        <v>0</v>
      </c>
      <c r="J175" s="472">
        <f t="shared" si="14"/>
        <v>1094994</v>
      </c>
      <c r="K175" s="566">
        <f t="shared" si="15"/>
        <v>3284982</v>
      </c>
      <c r="O175" s="540" t="s">
        <v>324</v>
      </c>
      <c r="P175" s="569" t="e">
        <f t="shared" ref="P175:P181" si="17">+F175*100/M175 -100</f>
        <v>#DIV/0!</v>
      </c>
    </row>
    <row r="176" spans="1:17" x14ac:dyDescent="0.3">
      <c r="A176" s="503">
        <v>101</v>
      </c>
      <c r="B176" s="473" t="s">
        <v>16</v>
      </c>
      <c r="C176" s="513" t="s">
        <v>218</v>
      </c>
      <c r="D176" s="476" t="s">
        <v>73</v>
      </c>
      <c r="E176" s="470" t="s">
        <v>111</v>
      </c>
      <c r="F176" s="529">
        <v>121666</v>
      </c>
      <c r="G176" s="506">
        <v>10</v>
      </c>
      <c r="H176" s="462">
        <f>G176*6</f>
        <v>60</v>
      </c>
      <c r="I176" s="471">
        <v>0</v>
      </c>
      <c r="J176" s="472">
        <f t="shared" si="14"/>
        <v>1216660</v>
      </c>
      <c r="K176" s="566">
        <f t="shared" si="15"/>
        <v>7299960</v>
      </c>
      <c r="O176" s="540" t="s">
        <v>324</v>
      </c>
      <c r="P176" s="569" t="e">
        <f t="shared" si="17"/>
        <v>#DIV/0!</v>
      </c>
    </row>
    <row r="177" spans="1:16" x14ac:dyDescent="0.3">
      <c r="A177" s="503">
        <v>167</v>
      </c>
      <c r="B177" s="473" t="s">
        <v>16</v>
      </c>
      <c r="C177" s="513" t="s">
        <v>218</v>
      </c>
      <c r="D177" s="476" t="s">
        <v>73</v>
      </c>
      <c r="E177" s="470" t="s">
        <v>111</v>
      </c>
      <c r="F177" s="529">
        <v>121666</v>
      </c>
      <c r="G177" s="506">
        <v>5</v>
      </c>
      <c r="H177" s="462">
        <f>G177*5</f>
        <v>25</v>
      </c>
      <c r="I177" s="471">
        <v>0</v>
      </c>
      <c r="J177" s="472">
        <f t="shared" si="14"/>
        <v>608330</v>
      </c>
      <c r="K177" s="566">
        <f t="shared" si="15"/>
        <v>3041650</v>
      </c>
      <c r="O177" s="540" t="s">
        <v>324</v>
      </c>
      <c r="P177" s="569" t="e">
        <f t="shared" si="17"/>
        <v>#DIV/0!</v>
      </c>
    </row>
    <row r="178" spans="1:16" x14ac:dyDescent="0.3">
      <c r="A178" s="503">
        <v>224</v>
      </c>
      <c r="B178" s="473" t="s">
        <v>16</v>
      </c>
      <c r="C178" s="513" t="s">
        <v>218</v>
      </c>
      <c r="D178" s="476" t="s">
        <v>73</v>
      </c>
      <c r="E178" s="470" t="s">
        <v>111</v>
      </c>
      <c r="F178" s="529">
        <v>121666</v>
      </c>
      <c r="G178" s="506">
        <v>10</v>
      </c>
      <c r="H178" s="462">
        <f>G178*7</f>
        <v>70</v>
      </c>
      <c r="I178" s="471">
        <v>0</v>
      </c>
      <c r="J178" s="472">
        <f t="shared" si="14"/>
        <v>1216660</v>
      </c>
      <c r="K178" s="566">
        <f t="shared" si="15"/>
        <v>8516620</v>
      </c>
      <c r="O178" s="540" t="s">
        <v>324</v>
      </c>
      <c r="P178" s="569" t="e">
        <f t="shared" si="17"/>
        <v>#DIV/0!</v>
      </c>
    </row>
    <row r="179" spans="1:16" x14ac:dyDescent="0.3">
      <c r="A179" s="503">
        <v>287</v>
      </c>
      <c r="B179" s="473" t="s">
        <v>16</v>
      </c>
      <c r="C179" s="513" t="s">
        <v>218</v>
      </c>
      <c r="D179" s="476" t="s">
        <v>73</v>
      </c>
      <c r="E179" s="470" t="s">
        <v>111</v>
      </c>
      <c r="F179" s="529">
        <v>121666</v>
      </c>
      <c r="G179" s="506">
        <v>12</v>
      </c>
      <c r="H179" s="462">
        <f>G179*1</f>
        <v>12</v>
      </c>
      <c r="I179" s="471">
        <v>0</v>
      </c>
      <c r="J179" s="472">
        <f t="shared" si="14"/>
        <v>1459992</v>
      </c>
      <c r="K179" s="566">
        <f t="shared" si="15"/>
        <v>1459992</v>
      </c>
      <c r="O179" s="540" t="s">
        <v>324</v>
      </c>
      <c r="P179" s="569" t="e">
        <f t="shared" si="17"/>
        <v>#DIV/0!</v>
      </c>
    </row>
    <row r="180" spans="1:16" x14ac:dyDescent="0.3">
      <c r="A180" s="503">
        <v>353</v>
      </c>
      <c r="B180" s="473" t="s">
        <v>16</v>
      </c>
      <c r="C180" s="513" t="s">
        <v>218</v>
      </c>
      <c r="D180" s="476" t="s">
        <v>73</v>
      </c>
      <c r="E180" s="470" t="s">
        <v>111</v>
      </c>
      <c r="F180" s="529">
        <v>121666</v>
      </c>
      <c r="G180" s="506">
        <v>5</v>
      </c>
      <c r="H180" s="462">
        <f>G180*4</f>
        <v>20</v>
      </c>
      <c r="I180" s="471">
        <v>0</v>
      </c>
      <c r="J180" s="472">
        <f t="shared" si="14"/>
        <v>608330</v>
      </c>
      <c r="K180" s="566">
        <f t="shared" si="15"/>
        <v>2433320</v>
      </c>
      <c r="O180" s="540" t="s">
        <v>324</v>
      </c>
      <c r="P180" s="569" t="e">
        <f t="shared" si="17"/>
        <v>#DIV/0!</v>
      </c>
    </row>
    <row r="181" spans="1:16" x14ac:dyDescent="0.3">
      <c r="A181" s="503">
        <v>418</v>
      </c>
      <c r="B181" s="473" t="s">
        <v>16</v>
      </c>
      <c r="C181" s="513" t="s">
        <v>218</v>
      </c>
      <c r="D181" s="476" t="s">
        <v>73</v>
      </c>
      <c r="E181" s="470" t="s">
        <v>111</v>
      </c>
      <c r="F181" s="529">
        <v>121666</v>
      </c>
      <c r="G181" s="506">
        <v>5</v>
      </c>
      <c r="H181" s="462">
        <f>G181*6</f>
        <v>30</v>
      </c>
      <c r="I181" s="471">
        <v>0</v>
      </c>
      <c r="J181" s="472">
        <f t="shared" si="14"/>
        <v>608330</v>
      </c>
      <c r="K181" s="566">
        <f t="shared" si="15"/>
        <v>3649980</v>
      </c>
      <c r="O181" s="540" t="s">
        <v>324</v>
      </c>
      <c r="P181" s="569" t="e">
        <f t="shared" si="17"/>
        <v>#DIV/0!</v>
      </c>
    </row>
    <row r="182" spans="1:16" x14ac:dyDescent="0.3">
      <c r="A182" s="503">
        <v>548</v>
      </c>
      <c r="B182" s="473" t="s">
        <v>17</v>
      </c>
      <c r="C182" s="513" t="s">
        <v>219</v>
      </c>
      <c r="D182" s="476" t="s">
        <v>52</v>
      </c>
      <c r="E182" s="470" t="s">
        <v>59</v>
      </c>
      <c r="F182" s="530">
        <v>140000</v>
      </c>
      <c r="G182" s="506">
        <v>20</v>
      </c>
      <c r="H182" s="462">
        <f>G182*3</f>
        <v>60</v>
      </c>
      <c r="I182" s="471">
        <v>0</v>
      </c>
      <c r="J182" s="472">
        <f t="shared" si="14"/>
        <v>2800000</v>
      </c>
      <c r="K182" s="463">
        <f t="shared" si="15"/>
        <v>8400000</v>
      </c>
    </row>
    <row r="183" spans="1:16" x14ac:dyDescent="0.3">
      <c r="A183" s="503">
        <v>489</v>
      </c>
      <c r="B183" s="473" t="s">
        <v>17</v>
      </c>
      <c r="C183" s="513" t="s">
        <v>219</v>
      </c>
      <c r="D183" s="476" t="s">
        <v>50</v>
      </c>
      <c r="E183" s="470" t="s">
        <v>59</v>
      </c>
      <c r="F183" s="530">
        <v>140000</v>
      </c>
      <c r="G183" s="506">
        <v>35</v>
      </c>
      <c r="H183" s="462">
        <f>G183*1</f>
        <v>35</v>
      </c>
      <c r="I183" s="471">
        <v>0</v>
      </c>
      <c r="J183" s="472">
        <f t="shared" si="14"/>
        <v>4900000</v>
      </c>
      <c r="K183" s="463">
        <f t="shared" si="15"/>
        <v>4900000</v>
      </c>
    </row>
    <row r="184" spans="1:16" x14ac:dyDescent="0.3">
      <c r="A184" s="503">
        <v>47</v>
      </c>
      <c r="B184" s="473" t="s">
        <v>17</v>
      </c>
      <c r="C184" s="513" t="s">
        <v>219</v>
      </c>
      <c r="D184" s="477" t="s">
        <v>33</v>
      </c>
      <c r="E184" s="470" t="s">
        <v>59</v>
      </c>
      <c r="F184" s="530">
        <v>140000</v>
      </c>
      <c r="G184" s="506">
        <v>2</v>
      </c>
      <c r="H184" s="462">
        <f>G184*3</f>
        <v>6</v>
      </c>
      <c r="I184" s="471">
        <v>0</v>
      </c>
      <c r="J184" s="472">
        <f t="shared" si="14"/>
        <v>280000</v>
      </c>
      <c r="K184" s="463">
        <f t="shared" si="15"/>
        <v>840000</v>
      </c>
    </row>
    <row r="185" spans="1:16" x14ac:dyDescent="0.3">
      <c r="A185" s="503">
        <v>105</v>
      </c>
      <c r="B185" s="473" t="s">
        <v>17</v>
      </c>
      <c r="C185" s="513" t="s">
        <v>219</v>
      </c>
      <c r="D185" s="476" t="s">
        <v>33</v>
      </c>
      <c r="E185" s="470" t="s">
        <v>59</v>
      </c>
      <c r="F185" s="530">
        <v>140000</v>
      </c>
      <c r="G185" s="506">
        <v>2</v>
      </c>
      <c r="H185" s="462">
        <f>G185*6</f>
        <v>12</v>
      </c>
      <c r="I185" s="471">
        <v>0</v>
      </c>
      <c r="J185" s="472">
        <f t="shared" si="14"/>
        <v>280000</v>
      </c>
      <c r="K185" s="463">
        <f t="shared" si="15"/>
        <v>1680000</v>
      </c>
    </row>
    <row r="186" spans="1:16" x14ac:dyDescent="0.3">
      <c r="A186" s="503">
        <v>171</v>
      </c>
      <c r="B186" s="473" t="s">
        <v>17</v>
      </c>
      <c r="C186" s="513" t="s">
        <v>219</v>
      </c>
      <c r="D186" s="476" t="s">
        <v>33</v>
      </c>
      <c r="E186" s="470" t="s">
        <v>59</v>
      </c>
      <c r="F186" s="530">
        <v>140000</v>
      </c>
      <c r="G186" s="506">
        <v>4</v>
      </c>
      <c r="H186" s="462">
        <f>G186*5</f>
        <v>20</v>
      </c>
      <c r="I186" s="471">
        <v>0</v>
      </c>
      <c r="J186" s="472">
        <f t="shared" si="14"/>
        <v>560000</v>
      </c>
      <c r="K186" s="463">
        <f t="shared" si="15"/>
        <v>2800000</v>
      </c>
    </row>
    <row r="187" spans="1:16" x14ac:dyDescent="0.3">
      <c r="A187" s="503">
        <v>228</v>
      </c>
      <c r="B187" s="473" t="s">
        <v>17</v>
      </c>
      <c r="C187" s="513" t="s">
        <v>219</v>
      </c>
      <c r="D187" s="476" t="s">
        <v>33</v>
      </c>
      <c r="E187" s="470" t="s">
        <v>59</v>
      </c>
      <c r="F187" s="530">
        <v>140000</v>
      </c>
      <c r="G187" s="506">
        <v>2</v>
      </c>
      <c r="H187" s="462">
        <f>G187*7</f>
        <v>14</v>
      </c>
      <c r="I187" s="471">
        <v>0</v>
      </c>
      <c r="J187" s="472">
        <f t="shared" si="14"/>
        <v>280000</v>
      </c>
      <c r="K187" s="463">
        <f t="shared" si="15"/>
        <v>1960000</v>
      </c>
    </row>
    <row r="188" spans="1:16" x14ac:dyDescent="0.3">
      <c r="A188" s="503">
        <v>291</v>
      </c>
      <c r="B188" s="473" t="s">
        <v>17</v>
      </c>
      <c r="C188" s="513" t="s">
        <v>219</v>
      </c>
      <c r="D188" s="476" t="s">
        <v>33</v>
      </c>
      <c r="E188" s="470" t="s">
        <v>59</v>
      </c>
      <c r="F188" s="530">
        <v>140000</v>
      </c>
      <c r="G188" s="506">
        <v>16</v>
      </c>
      <c r="H188" s="462">
        <f>G188*1</f>
        <v>16</v>
      </c>
      <c r="I188" s="471">
        <v>0</v>
      </c>
      <c r="J188" s="472">
        <f t="shared" si="14"/>
        <v>2240000</v>
      </c>
      <c r="K188" s="463">
        <f t="shared" si="15"/>
        <v>2240000</v>
      </c>
    </row>
    <row r="189" spans="1:16" x14ac:dyDescent="0.3">
      <c r="A189" s="503">
        <v>357</v>
      </c>
      <c r="B189" s="473" t="s">
        <v>17</v>
      </c>
      <c r="C189" s="513" t="s">
        <v>219</v>
      </c>
      <c r="D189" s="476" t="s">
        <v>33</v>
      </c>
      <c r="E189" s="470" t="s">
        <v>59</v>
      </c>
      <c r="F189" s="530">
        <v>140000</v>
      </c>
      <c r="G189" s="506">
        <v>6</v>
      </c>
      <c r="H189" s="462">
        <f>G189*4</f>
        <v>24</v>
      </c>
      <c r="I189" s="471">
        <v>0</v>
      </c>
      <c r="J189" s="472">
        <f t="shared" si="14"/>
        <v>840000</v>
      </c>
      <c r="K189" s="463">
        <f t="shared" si="15"/>
        <v>3360000</v>
      </c>
    </row>
    <row r="190" spans="1:16" x14ac:dyDescent="0.3">
      <c r="A190" s="503">
        <v>422</v>
      </c>
      <c r="B190" s="473" t="s">
        <v>17</v>
      </c>
      <c r="C190" s="513" t="s">
        <v>219</v>
      </c>
      <c r="D190" s="476" t="s">
        <v>33</v>
      </c>
      <c r="E190" s="470" t="s">
        <v>59</v>
      </c>
      <c r="F190" s="530">
        <v>140000</v>
      </c>
      <c r="G190" s="506">
        <v>8</v>
      </c>
      <c r="H190" s="462">
        <f>G190*6</f>
        <v>48</v>
      </c>
      <c r="I190" s="471">
        <v>0</v>
      </c>
      <c r="J190" s="472">
        <f t="shared" si="14"/>
        <v>1120000</v>
      </c>
      <c r="K190" s="463">
        <f t="shared" si="15"/>
        <v>6720000</v>
      </c>
    </row>
    <row r="191" spans="1:16" ht="33" x14ac:dyDescent="0.3">
      <c r="A191" s="503">
        <v>172</v>
      </c>
      <c r="B191" s="473" t="s">
        <v>17</v>
      </c>
      <c r="C191" s="513" t="s">
        <v>219</v>
      </c>
      <c r="D191" s="476" t="s">
        <v>43</v>
      </c>
      <c r="E191" s="470" t="s">
        <v>59</v>
      </c>
      <c r="F191" s="530">
        <v>160854</v>
      </c>
      <c r="G191" s="506">
        <v>4</v>
      </c>
      <c r="H191" s="462">
        <f>G191*5</f>
        <v>20</v>
      </c>
      <c r="I191" s="471">
        <v>0</v>
      </c>
      <c r="J191" s="472">
        <f t="shared" si="14"/>
        <v>643416</v>
      </c>
      <c r="K191" s="463">
        <f t="shared" si="15"/>
        <v>3217080</v>
      </c>
    </row>
    <row r="192" spans="1:16" ht="33" x14ac:dyDescent="0.3">
      <c r="A192" s="503">
        <v>292</v>
      </c>
      <c r="B192" s="473" t="s">
        <v>17</v>
      </c>
      <c r="C192" s="513" t="s">
        <v>219</v>
      </c>
      <c r="D192" s="476" t="s">
        <v>43</v>
      </c>
      <c r="E192" s="470" t="s">
        <v>59</v>
      </c>
      <c r="F192" s="530">
        <v>160854</v>
      </c>
      <c r="G192" s="506">
        <v>16</v>
      </c>
      <c r="H192" s="462">
        <f>G192*1</f>
        <v>16</v>
      </c>
      <c r="I192" s="471">
        <v>0</v>
      </c>
      <c r="J192" s="472">
        <f t="shared" si="14"/>
        <v>2573664</v>
      </c>
      <c r="K192" s="463">
        <f t="shared" si="15"/>
        <v>2573664</v>
      </c>
    </row>
    <row r="193" spans="1:17" ht="33" x14ac:dyDescent="0.3">
      <c r="A193" s="503">
        <v>358</v>
      </c>
      <c r="B193" s="473" t="s">
        <v>17</v>
      </c>
      <c r="C193" s="513" t="s">
        <v>219</v>
      </c>
      <c r="D193" s="476" t="s">
        <v>43</v>
      </c>
      <c r="E193" s="470" t="s">
        <v>59</v>
      </c>
      <c r="F193" s="530">
        <v>160854</v>
      </c>
      <c r="G193" s="506">
        <v>4</v>
      </c>
      <c r="H193" s="462">
        <f>G193*4</f>
        <v>16</v>
      </c>
      <c r="I193" s="471">
        <v>0</v>
      </c>
      <c r="J193" s="472">
        <f t="shared" si="14"/>
        <v>643416</v>
      </c>
      <c r="K193" s="463">
        <f t="shared" si="15"/>
        <v>2573664</v>
      </c>
    </row>
    <row r="194" spans="1:17" ht="33" x14ac:dyDescent="0.3">
      <c r="A194" s="503">
        <v>423</v>
      </c>
      <c r="B194" s="473" t="s">
        <v>17</v>
      </c>
      <c r="C194" s="513" t="s">
        <v>219</v>
      </c>
      <c r="D194" s="476" t="s">
        <v>43</v>
      </c>
      <c r="E194" s="470" t="s">
        <v>59</v>
      </c>
      <c r="F194" s="530">
        <v>160854</v>
      </c>
      <c r="G194" s="506">
        <v>7</v>
      </c>
      <c r="H194" s="462">
        <f>G194*6</f>
        <v>42</v>
      </c>
      <c r="I194" s="471">
        <v>0</v>
      </c>
      <c r="J194" s="472">
        <f t="shared" si="14"/>
        <v>1125978</v>
      </c>
      <c r="K194" s="463">
        <f t="shared" si="15"/>
        <v>6755868</v>
      </c>
    </row>
    <row r="195" spans="1:17" ht="33" x14ac:dyDescent="0.3">
      <c r="A195" s="503">
        <v>549</v>
      </c>
      <c r="B195" s="473" t="s">
        <v>17</v>
      </c>
      <c r="C195" s="513" t="s">
        <v>219</v>
      </c>
      <c r="D195" s="476" t="s">
        <v>43</v>
      </c>
      <c r="E195" s="470" t="s">
        <v>59</v>
      </c>
      <c r="F195" s="530">
        <v>160854</v>
      </c>
      <c r="G195" s="506">
        <v>20</v>
      </c>
      <c r="H195" s="462">
        <f>G195*3</f>
        <v>60</v>
      </c>
      <c r="I195" s="471">
        <v>0</v>
      </c>
      <c r="J195" s="472">
        <f t="shared" si="14"/>
        <v>3217080</v>
      </c>
      <c r="K195" s="463">
        <f t="shared" si="15"/>
        <v>9651240</v>
      </c>
    </row>
    <row r="196" spans="1:17" x14ac:dyDescent="0.3">
      <c r="A196" s="503">
        <v>6</v>
      </c>
      <c r="B196" s="473" t="s">
        <v>5</v>
      </c>
      <c r="C196" s="513" t="s">
        <v>219</v>
      </c>
      <c r="D196" s="469" t="s">
        <v>20</v>
      </c>
      <c r="E196" s="470" t="s">
        <v>72</v>
      </c>
      <c r="F196" s="515">
        <f>'APU01'!H50*5%</f>
        <v>83347.400000000009</v>
      </c>
      <c r="G196" s="506">
        <v>1</v>
      </c>
      <c r="H196" s="462">
        <f>G196*3</f>
        <v>3</v>
      </c>
      <c r="I196" s="471">
        <v>0</v>
      </c>
      <c r="J196" s="472">
        <f t="shared" si="14"/>
        <v>83347.400000000009</v>
      </c>
      <c r="K196" s="463">
        <f t="shared" si="15"/>
        <v>250042.2</v>
      </c>
    </row>
    <row r="197" spans="1:17" s="464" customFormat="1" x14ac:dyDescent="0.3">
      <c r="A197" s="503">
        <v>64</v>
      </c>
      <c r="B197" s="473" t="s">
        <v>5</v>
      </c>
      <c r="C197" s="513" t="s">
        <v>219</v>
      </c>
      <c r="D197" s="469" t="s">
        <v>20</v>
      </c>
      <c r="E197" s="470" t="s">
        <v>72</v>
      </c>
      <c r="F197" s="515">
        <f>'APU02'!H51*5%</f>
        <v>79276.5</v>
      </c>
      <c r="G197" s="506">
        <v>1</v>
      </c>
      <c r="H197" s="462">
        <f>G197*6</f>
        <v>6</v>
      </c>
      <c r="I197" s="471">
        <v>0</v>
      </c>
      <c r="J197" s="472">
        <f t="shared" si="14"/>
        <v>79276.5</v>
      </c>
      <c r="K197" s="463">
        <f t="shared" si="15"/>
        <v>475659</v>
      </c>
      <c r="L197" s="468"/>
      <c r="M197" s="562"/>
      <c r="N197" s="468"/>
      <c r="O197" s="540"/>
      <c r="P197" s="540"/>
      <c r="Q197" s="468"/>
    </row>
    <row r="198" spans="1:17" x14ac:dyDescent="0.3">
      <c r="A198" s="503">
        <v>123</v>
      </c>
      <c r="B198" s="473" t="s">
        <v>5</v>
      </c>
      <c r="C198" s="513" t="s">
        <v>219</v>
      </c>
      <c r="D198" s="469" t="s">
        <v>20</v>
      </c>
      <c r="E198" s="470" t="s">
        <v>72</v>
      </c>
      <c r="F198" s="515">
        <f>'APU03'!H58*5%</f>
        <v>79276.5</v>
      </c>
      <c r="G198" s="506">
        <v>1</v>
      </c>
      <c r="H198" s="462">
        <f>G198*5</f>
        <v>5</v>
      </c>
      <c r="I198" s="471">
        <v>0</v>
      </c>
      <c r="J198" s="472">
        <f t="shared" si="14"/>
        <v>79276.5</v>
      </c>
      <c r="K198" s="463">
        <f t="shared" si="15"/>
        <v>396382.5</v>
      </c>
    </row>
    <row r="199" spans="1:17" x14ac:dyDescent="0.3">
      <c r="A199" s="503">
        <v>187</v>
      </c>
      <c r="B199" s="473" t="s">
        <v>5</v>
      </c>
      <c r="C199" s="513" t="s">
        <v>219</v>
      </c>
      <c r="D199" s="469" t="s">
        <v>20</v>
      </c>
      <c r="E199" s="470" t="s">
        <v>72</v>
      </c>
      <c r="F199" s="515">
        <f>'APU04'!H51*5%</f>
        <v>79276.5</v>
      </c>
      <c r="G199" s="506">
        <v>1</v>
      </c>
      <c r="H199" s="462">
        <f>G199*7</f>
        <v>7</v>
      </c>
      <c r="I199" s="471">
        <v>0</v>
      </c>
      <c r="J199" s="472">
        <f t="shared" si="14"/>
        <v>79276.5</v>
      </c>
      <c r="K199" s="463">
        <f t="shared" si="15"/>
        <v>554935.5</v>
      </c>
    </row>
    <row r="200" spans="1:17" x14ac:dyDescent="0.3">
      <c r="A200" s="503">
        <v>246</v>
      </c>
      <c r="B200" s="473" t="s">
        <v>5</v>
      </c>
      <c r="C200" s="513" t="s">
        <v>219</v>
      </c>
      <c r="D200" s="469" t="s">
        <v>20</v>
      </c>
      <c r="E200" s="470" t="s">
        <v>72</v>
      </c>
      <c r="F200" s="515">
        <f>'APU05'!H57*5%</f>
        <v>205829.45</v>
      </c>
      <c r="G200" s="506">
        <v>1</v>
      </c>
      <c r="H200" s="462">
        <f>G200*1</f>
        <v>1</v>
      </c>
      <c r="I200" s="471">
        <v>0</v>
      </c>
      <c r="J200" s="472">
        <f t="shared" si="14"/>
        <v>205829.45</v>
      </c>
      <c r="K200" s="463">
        <f t="shared" si="15"/>
        <v>205829.45</v>
      </c>
    </row>
    <row r="201" spans="1:17" x14ac:dyDescent="0.3">
      <c r="A201" s="503">
        <v>309</v>
      </c>
      <c r="B201" s="473" t="s">
        <v>5</v>
      </c>
      <c r="C201" s="513" t="s">
        <v>219</v>
      </c>
      <c r="D201" s="469" t="s">
        <v>20</v>
      </c>
      <c r="E201" s="470" t="s">
        <v>72</v>
      </c>
      <c r="F201" s="515">
        <f>'APU06'!H58*5%</f>
        <v>79276.5</v>
      </c>
      <c r="G201" s="506">
        <v>1</v>
      </c>
      <c r="H201" s="462">
        <f>G201*4</f>
        <v>4</v>
      </c>
      <c r="I201" s="471">
        <v>0</v>
      </c>
      <c r="J201" s="472">
        <f t="shared" si="14"/>
        <v>79276.5</v>
      </c>
      <c r="K201" s="463">
        <f t="shared" si="15"/>
        <v>317106</v>
      </c>
    </row>
    <row r="202" spans="1:17" x14ac:dyDescent="0.3">
      <c r="A202" s="503">
        <v>373</v>
      </c>
      <c r="B202" s="473" t="s">
        <v>5</v>
      </c>
      <c r="C202" s="513" t="s">
        <v>219</v>
      </c>
      <c r="D202" s="469" t="s">
        <v>20</v>
      </c>
      <c r="E202" s="470" t="s">
        <v>72</v>
      </c>
      <c r="F202" s="515">
        <f>'APU07'!H59*5%</f>
        <v>79276.5</v>
      </c>
      <c r="G202" s="506">
        <v>1</v>
      </c>
      <c r="H202" s="462">
        <f>G202*6</f>
        <v>6</v>
      </c>
      <c r="I202" s="471">
        <v>0</v>
      </c>
      <c r="J202" s="472">
        <f t="shared" ref="J202:J265" si="18">+F202*G202*(1+I202)</f>
        <v>79276.5</v>
      </c>
      <c r="K202" s="463">
        <f t="shared" ref="K202:K265" si="19">+F202*H202*(1+I202)</f>
        <v>475659</v>
      </c>
    </row>
    <row r="203" spans="1:17" x14ac:dyDescent="0.3">
      <c r="A203" s="503">
        <v>438</v>
      </c>
      <c r="B203" s="473" t="s">
        <v>5</v>
      </c>
      <c r="C203" s="513" t="s">
        <v>219</v>
      </c>
      <c r="D203" s="469" t="s">
        <v>20</v>
      </c>
      <c r="E203" s="470" t="s">
        <v>72</v>
      </c>
      <c r="F203" s="515">
        <f>'APU08'!H61*5%</f>
        <v>1378881</v>
      </c>
      <c r="G203" s="506">
        <v>1</v>
      </c>
      <c r="H203" s="462">
        <f>G203*1</f>
        <v>1</v>
      </c>
      <c r="I203" s="471">
        <v>0</v>
      </c>
      <c r="J203" s="472">
        <f t="shared" si="18"/>
        <v>1378881</v>
      </c>
      <c r="K203" s="463">
        <f t="shared" si="19"/>
        <v>1378881</v>
      </c>
    </row>
    <row r="204" spans="1:17" x14ac:dyDescent="0.3">
      <c r="A204" s="503">
        <v>508</v>
      </c>
      <c r="B204" s="473" t="s">
        <v>5</v>
      </c>
      <c r="C204" s="513" t="s">
        <v>219</v>
      </c>
      <c r="D204" s="469" t="s">
        <v>20</v>
      </c>
      <c r="E204" s="470" t="s">
        <v>72</v>
      </c>
      <c r="F204" s="515">
        <f>'APU09'!H50*5%</f>
        <v>529081.30000000005</v>
      </c>
      <c r="G204" s="506">
        <v>1</v>
      </c>
      <c r="H204" s="462">
        <f>G204*3</f>
        <v>3</v>
      </c>
      <c r="I204" s="471">
        <v>0</v>
      </c>
      <c r="J204" s="472">
        <f t="shared" si="18"/>
        <v>529081.30000000005</v>
      </c>
      <c r="K204" s="463">
        <f t="shared" si="19"/>
        <v>1587243.9000000001</v>
      </c>
    </row>
    <row r="205" spans="1:17" x14ac:dyDescent="0.3">
      <c r="A205" s="503">
        <v>492</v>
      </c>
      <c r="B205" s="473" t="s">
        <v>17</v>
      </c>
      <c r="C205" s="513" t="s">
        <v>219</v>
      </c>
      <c r="D205" s="476" t="s">
        <v>68</v>
      </c>
      <c r="E205" s="470" t="s">
        <v>59</v>
      </c>
      <c r="F205" s="530">
        <v>150000</v>
      </c>
      <c r="G205" s="506">
        <v>60</v>
      </c>
      <c r="H205" s="462">
        <f>G205*1</f>
        <v>60</v>
      </c>
      <c r="I205" s="471">
        <v>0</v>
      </c>
      <c r="J205" s="472">
        <f t="shared" si="18"/>
        <v>9000000</v>
      </c>
      <c r="K205" s="463">
        <f t="shared" si="19"/>
        <v>9000000</v>
      </c>
    </row>
    <row r="206" spans="1:17" x14ac:dyDescent="0.3">
      <c r="A206" s="503">
        <v>551</v>
      </c>
      <c r="B206" s="473" t="s">
        <v>17</v>
      </c>
      <c r="C206" s="513" t="s">
        <v>219</v>
      </c>
      <c r="D206" s="476" t="s">
        <v>68</v>
      </c>
      <c r="E206" s="470" t="s">
        <v>59</v>
      </c>
      <c r="F206" s="530">
        <v>150000</v>
      </c>
      <c r="G206" s="506">
        <v>30</v>
      </c>
      <c r="H206" s="462">
        <f>G206*3</f>
        <v>90</v>
      </c>
      <c r="I206" s="471">
        <v>0</v>
      </c>
      <c r="J206" s="472">
        <f t="shared" si="18"/>
        <v>4500000</v>
      </c>
      <c r="K206" s="463">
        <f t="shared" si="19"/>
        <v>13500000</v>
      </c>
    </row>
    <row r="207" spans="1:17" x14ac:dyDescent="0.3">
      <c r="A207" s="503">
        <v>550</v>
      </c>
      <c r="B207" s="473" t="s">
        <v>17</v>
      </c>
      <c r="C207" s="513" t="s">
        <v>219</v>
      </c>
      <c r="D207" s="477" t="s">
        <v>64</v>
      </c>
      <c r="E207" s="470" t="s">
        <v>59</v>
      </c>
      <c r="F207" s="530">
        <v>150000</v>
      </c>
      <c r="G207" s="506">
        <v>7</v>
      </c>
      <c r="H207" s="462">
        <f>G207*3</f>
        <v>21</v>
      </c>
      <c r="I207" s="471">
        <v>0</v>
      </c>
      <c r="J207" s="472">
        <f t="shared" si="18"/>
        <v>1050000</v>
      </c>
      <c r="K207" s="463">
        <f t="shared" si="19"/>
        <v>3150000</v>
      </c>
    </row>
    <row r="208" spans="1:17" x14ac:dyDescent="0.3">
      <c r="A208" s="503">
        <v>230</v>
      </c>
      <c r="B208" s="473" t="s">
        <v>17</v>
      </c>
      <c r="C208" s="513" t="s">
        <v>219</v>
      </c>
      <c r="D208" s="477" t="s">
        <v>64</v>
      </c>
      <c r="E208" s="470" t="s">
        <v>59</v>
      </c>
      <c r="F208" s="530">
        <v>150000</v>
      </c>
      <c r="G208" s="506">
        <v>3</v>
      </c>
      <c r="H208" s="462">
        <f>G208*7</f>
        <v>21</v>
      </c>
      <c r="I208" s="471">
        <v>0</v>
      </c>
      <c r="J208" s="472">
        <f t="shared" si="18"/>
        <v>450000</v>
      </c>
      <c r="K208" s="463">
        <f t="shared" si="19"/>
        <v>3150000</v>
      </c>
    </row>
    <row r="209" spans="1:11" x14ac:dyDescent="0.3">
      <c r="A209" s="503">
        <v>359</v>
      </c>
      <c r="B209" s="473" t="s">
        <v>17</v>
      </c>
      <c r="C209" s="513" t="s">
        <v>219</v>
      </c>
      <c r="D209" s="477" t="s">
        <v>64</v>
      </c>
      <c r="E209" s="470" t="s">
        <v>59</v>
      </c>
      <c r="F209" s="530">
        <v>150000</v>
      </c>
      <c r="G209" s="506">
        <v>4</v>
      </c>
      <c r="H209" s="462">
        <f>G209*4</f>
        <v>16</v>
      </c>
      <c r="I209" s="471">
        <v>0</v>
      </c>
      <c r="J209" s="472">
        <f t="shared" si="18"/>
        <v>600000</v>
      </c>
      <c r="K209" s="463">
        <f t="shared" si="19"/>
        <v>2400000</v>
      </c>
    </row>
    <row r="210" spans="1:11" x14ac:dyDescent="0.3">
      <c r="A210" s="503">
        <v>424</v>
      </c>
      <c r="B210" s="473" t="s">
        <v>17</v>
      </c>
      <c r="C210" s="513" t="s">
        <v>219</v>
      </c>
      <c r="D210" s="477" t="s">
        <v>64</v>
      </c>
      <c r="E210" s="470" t="s">
        <v>59</v>
      </c>
      <c r="F210" s="530">
        <v>150000</v>
      </c>
      <c r="G210" s="506">
        <v>6</v>
      </c>
      <c r="H210" s="462">
        <f>G210*6</f>
        <v>36</v>
      </c>
      <c r="I210" s="471">
        <v>0</v>
      </c>
      <c r="J210" s="472">
        <f t="shared" si="18"/>
        <v>900000</v>
      </c>
      <c r="K210" s="463">
        <f t="shared" si="19"/>
        <v>5400000</v>
      </c>
    </row>
    <row r="211" spans="1:11" x14ac:dyDescent="0.3">
      <c r="A211" s="503">
        <v>49</v>
      </c>
      <c r="B211" s="473" t="s">
        <v>17</v>
      </c>
      <c r="C211" s="513" t="s">
        <v>219</v>
      </c>
      <c r="D211" s="477" t="s">
        <v>64</v>
      </c>
      <c r="E211" s="470" t="s">
        <v>59</v>
      </c>
      <c r="F211" s="530">
        <v>150000</v>
      </c>
      <c r="G211" s="506">
        <v>2</v>
      </c>
      <c r="H211" s="462">
        <f>G211*3</f>
        <v>6</v>
      </c>
      <c r="I211" s="471">
        <v>0</v>
      </c>
      <c r="J211" s="472">
        <f t="shared" si="18"/>
        <v>300000</v>
      </c>
      <c r="K211" s="463">
        <f t="shared" si="19"/>
        <v>900000</v>
      </c>
    </row>
    <row r="212" spans="1:11" x14ac:dyDescent="0.3">
      <c r="A212" s="503">
        <v>107</v>
      </c>
      <c r="B212" s="473" t="s">
        <v>17</v>
      </c>
      <c r="C212" s="513" t="s">
        <v>219</v>
      </c>
      <c r="D212" s="476" t="s">
        <v>64</v>
      </c>
      <c r="E212" s="470" t="s">
        <v>59</v>
      </c>
      <c r="F212" s="530">
        <v>150000</v>
      </c>
      <c r="G212" s="506">
        <v>2</v>
      </c>
      <c r="H212" s="462">
        <f>G212*6</f>
        <v>12</v>
      </c>
      <c r="I212" s="471">
        <v>0</v>
      </c>
      <c r="J212" s="472">
        <f t="shared" si="18"/>
        <v>300000</v>
      </c>
      <c r="K212" s="463">
        <f t="shared" si="19"/>
        <v>1800000</v>
      </c>
    </row>
    <row r="213" spans="1:11" x14ac:dyDescent="0.3">
      <c r="A213" s="503">
        <v>173</v>
      </c>
      <c r="B213" s="473" t="s">
        <v>17</v>
      </c>
      <c r="C213" s="513" t="s">
        <v>219</v>
      </c>
      <c r="D213" s="476" t="s">
        <v>64</v>
      </c>
      <c r="E213" s="470" t="s">
        <v>59</v>
      </c>
      <c r="F213" s="530">
        <v>150000</v>
      </c>
      <c r="G213" s="506">
        <v>4</v>
      </c>
      <c r="H213" s="462">
        <f>G213*5</f>
        <v>20</v>
      </c>
      <c r="I213" s="471">
        <v>0</v>
      </c>
      <c r="J213" s="472">
        <f t="shared" si="18"/>
        <v>600000</v>
      </c>
      <c r="K213" s="463">
        <f t="shared" si="19"/>
        <v>3000000</v>
      </c>
    </row>
    <row r="214" spans="1:11" x14ac:dyDescent="0.3">
      <c r="A214" s="503">
        <v>293</v>
      </c>
      <c r="B214" s="473" t="s">
        <v>17</v>
      </c>
      <c r="C214" s="513" t="s">
        <v>219</v>
      </c>
      <c r="D214" s="476" t="s">
        <v>64</v>
      </c>
      <c r="E214" s="470" t="s">
        <v>59</v>
      </c>
      <c r="F214" s="530">
        <v>150000</v>
      </c>
      <c r="G214" s="506">
        <v>16</v>
      </c>
      <c r="H214" s="462">
        <f>G214*1</f>
        <v>16</v>
      </c>
      <c r="I214" s="471">
        <v>0</v>
      </c>
      <c r="J214" s="472">
        <f t="shared" si="18"/>
        <v>2400000</v>
      </c>
      <c r="K214" s="463">
        <f t="shared" si="19"/>
        <v>2400000</v>
      </c>
    </row>
    <row r="215" spans="1:11" x14ac:dyDescent="0.3">
      <c r="A215" s="503">
        <v>491</v>
      </c>
      <c r="B215" s="473" t="s">
        <v>17</v>
      </c>
      <c r="C215" s="513" t="s">
        <v>219</v>
      </c>
      <c r="D215" s="476" t="s">
        <v>64</v>
      </c>
      <c r="E215" s="470" t="s">
        <v>59</v>
      </c>
      <c r="F215" s="530">
        <v>150000</v>
      </c>
      <c r="G215" s="506">
        <v>35</v>
      </c>
      <c r="H215" s="462">
        <f>G215*1</f>
        <v>35</v>
      </c>
      <c r="I215" s="471">
        <v>0</v>
      </c>
      <c r="J215" s="472">
        <f t="shared" si="18"/>
        <v>5250000</v>
      </c>
      <c r="K215" s="463">
        <f t="shared" si="19"/>
        <v>5250000</v>
      </c>
    </row>
    <row r="216" spans="1:11" x14ac:dyDescent="0.3">
      <c r="A216" s="503">
        <v>5</v>
      </c>
      <c r="B216" s="473" t="s">
        <v>5</v>
      </c>
      <c r="C216" s="513" t="s">
        <v>219</v>
      </c>
      <c r="D216" s="469" t="s">
        <v>71</v>
      </c>
      <c r="E216" s="470" t="s">
        <v>46</v>
      </c>
      <c r="F216" s="515">
        <v>50000</v>
      </c>
      <c r="G216" s="506">
        <v>0.79500000000000004</v>
      </c>
      <c r="H216" s="462">
        <f>G216*3</f>
        <v>2.3850000000000002</v>
      </c>
      <c r="I216" s="471">
        <v>0</v>
      </c>
      <c r="J216" s="472">
        <f t="shared" si="18"/>
        <v>39750</v>
      </c>
      <c r="K216" s="463">
        <f t="shared" si="19"/>
        <v>119250.00000000001</v>
      </c>
    </row>
    <row r="217" spans="1:11" x14ac:dyDescent="0.3">
      <c r="A217" s="503">
        <v>63</v>
      </c>
      <c r="B217" s="473" t="s">
        <v>5</v>
      </c>
      <c r="C217" s="513" t="s">
        <v>219</v>
      </c>
      <c r="D217" s="488" t="s">
        <v>71</v>
      </c>
      <c r="E217" s="470" t="s">
        <v>46</v>
      </c>
      <c r="F217" s="515">
        <v>50000</v>
      </c>
      <c r="G217" s="506">
        <v>0.71599999999999997</v>
      </c>
      <c r="H217" s="462">
        <f>G217*6</f>
        <v>4.2959999999999994</v>
      </c>
      <c r="I217" s="471">
        <v>0</v>
      </c>
      <c r="J217" s="472">
        <f t="shared" si="18"/>
        <v>35800</v>
      </c>
      <c r="K217" s="463">
        <f t="shared" si="19"/>
        <v>214799.99999999997</v>
      </c>
    </row>
    <row r="218" spans="1:11" x14ac:dyDescent="0.3">
      <c r="A218" s="503">
        <v>122</v>
      </c>
      <c r="B218" s="473" t="s">
        <v>5</v>
      </c>
      <c r="C218" s="513" t="s">
        <v>219</v>
      </c>
      <c r="D218" s="488" t="s">
        <v>71</v>
      </c>
      <c r="E218" s="470" t="s">
        <v>46</v>
      </c>
      <c r="F218" s="515">
        <v>50000</v>
      </c>
      <c r="G218" s="506">
        <v>1.698</v>
      </c>
      <c r="H218" s="462">
        <f>G218*5</f>
        <v>8.49</v>
      </c>
      <c r="I218" s="471">
        <v>0</v>
      </c>
      <c r="J218" s="472">
        <f t="shared" si="18"/>
        <v>84900</v>
      </c>
      <c r="K218" s="463">
        <f t="shared" si="19"/>
        <v>424500</v>
      </c>
    </row>
    <row r="219" spans="1:11" x14ac:dyDescent="0.3">
      <c r="A219" s="503">
        <v>186</v>
      </c>
      <c r="B219" s="473" t="s">
        <v>5</v>
      </c>
      <c r="C219" s="513" t="s">
        <v>219</v>
      </c>
      <c r="D219" s="488" t="s">
        <v>71</v>
      </c>
      <c r="E219" s="470" t="s">
        <v>46</v>
      </c>
      <c r="F219" s="515">
        <v>50000</v>
      </c>
      <c r="G219" s="506">
        <v>1.0349999999999999</v>
      </c>
      <c r="H219" s="462">
        <f>G219*7</f>
        <v>7.2449999999999992</v>
      </c>
      <c r="I219" s="471">
        <v>0</v>
      </c>
      <c r="J219" s="472">
        <f t="shared" si="18"/>
        <v>51749.999999999993</v>
      </c>
      <c r="K219" s="463">
        <f t="shared" si="19"/>
        <v>362249.99999999994</v>
      </c>
    </row>
    <row r="220" spans="1:11" x14ac:dyDescent="0.3">
      <c r="A220" s="503">
        <v>245</v>
      </c>
      <c r="B220" s="473" t="s">
        <v>5</v>
      </c>
      <c r="C220" s="513" t="s">
        <v>219</v>
      </c>
      <c r="D220" s="488" t="s">
        <v>71</v>
      </c>
      <c r="E220" s="470" t="s">
        <v>46</v>
      </c>
      <c r="F220" s="515">
        <v>50000</v>
      </c>
      <c r="G220" s="506">
        <v>6.4279999999999999</v>
      </c>
      <c r="H220" s="462">
        <f>G220*1</f>
        <v>6.4279999999999999</v>
      </c>
      <c r="I220" s="471">
        <v>0</v>
      </c>
      <c r="J220" s="472">
        <f t="shared" si="18"/>
        <v>321400</v>
      </c>
      <c r="K220" s="463">
        <f t="shared" si="19"/>
        <v>321400</v>
      </c>
    </row>
    <row r="221" spans="1:11" x14ac:dyDescent="0.3">
      <c r="A221" s="503">
        <v>308</v>
      </c>
      <c r="B221" s="473" t="s">
        <v>5</v>
      </c>
      <c r="C221" s="513" t="s">
        <v>219</v>
      </c>
      <c r="D221" s="488" t="s">
        <v>71</v>
      </c>
      <c r="E221" s="470" t="s">
        <v>46</v>
      </c>
      <c r="F221" s="515">
        <v>50000</v>
      </c>
      <c r="G221" s="506">
        <v>1.2709999999999999</v>
      </c>
      <c r="H221" s="462">
        <f>G221*4</f>
        <v>5.0839999999999996</v>
      </c>
      <c r="I221" s="471">
        <v>0</v>
      </c>
      <c r="J221" s="472">
        <f t="shared" si="18"/>
        <v>63549.999999999993</v>
      </c>
      <c r="K221" s="463">
        <f t="shared" si="19"/>
        <v>254199.99999999997</v>
      </c>
    </row>
    <row r="222" spans="1:11" x14ac:dyDescent="0.3">
      <c r="A222" s="503">
        <v>372</v>
      </c>
      <c r="B222" s="473" t="s">
        <v>5</v>
      </c>
      <c r="C222" s="513" t="s">
        <v>219</v>
      </c>
      <c r="D222" s="488" t="s">
        <v>71</v>
      </c>
      <c r="E222" s="470" t="s">
        <v>46</v>
      </c>
      <c r="F222" s="515">
        <v>50000</v>
      </c>
      <c r="G222" s="506">
        <v>1.452</v>
      </c>
      <c r="H222" s="462">
        <f>G222*6</f>
        <v>8.7119999999999997</v>
      </c>
      <c r="I222" s="471">
        <v>0</v>
      </c>
      <c r="J222" s="472">
        <f t="shared" si="18"/>
        <v>72600</v>
      </c>
      <c r="K222" s="463">
        <f t="shared" si="19"/>
        <v>435600</v>
      </c>
    </row>
    <row r="223" spans="1:11" x14ac:dyDescent="0.3">
      <c r="A223" s="503">
        <v>437</v>
      </c>
      <c r="B223" s="473" t="s">
        <v>5</v>
      </c>
      <c r="C223" s="513" t="s">
        <v>219</v>
      </c>
      <c r="D223" s="488" t="s">
        <v>71</v>
      </c>
      <c r="E223" s="470" t="s">
        <v>46</v>
      </c>
      <c r="F223" s="515">
        <v>50000</v>
      </c>
      <c r="G223" s="506">
        <v>8.9529999999999994</v>
      </c>
      <c r="H223" s="462">
        <f>G223*1</f>
        <v>8.9529999999999994</v>
      </c>
      <c r="I223" s="471">
        <v>0</v>
      </c>
      <c r="J223" s="472">
        <f t="shared" si="18"/>
        <v>447649.99999999994</v>
      </c>
      <c r="K223" s="463">
        <f t="shared" si="19"/>
        <v>447649.99999999994</v>
      </c>
    </row>
    <row r="224" spans="1:11" x14ac:dyDescent="0.3">
      <c r="A224" s="503">
        <v>507</v>
      </c>
      <c r="B224" s="473" t="s">
        <v>5</v>
      </c>
      <c r="C224" s="513" t="s">
        <v>219</v>
      </c>
      <c r="D224" s="488" t="s">
        <v>71</v>
      </c>
      <c r="E224" s="470" t="s">
        <v>46</v>
      </c>
      <c r="F224" s="515">
        <v>50000</v>
      </c>
      <c r="G224" s="506">
        <v>2.8029999999999999</v>
      </c>
      <c r="H224" s="462">
        <f>G224*3</f>
        <v>8.4089999999999989</v>
      </c>
      <c r="I224" s="471">
        <v>0</v>
      </c>
      <c r="J224" s="472">
        <f t="shared" si="18"/>
        <v>140150</v>
      </c>
      <c r="K224" s="463">
        <f t="shared" si="19"/>
        <v>420449.99999999994</v>
      </c>
    </row>
    <row r="225" spans="1:17" x14ac:dyDescent="0.3">
      <c r="A225" s="503">
        <v>7</v>
      </c>
      <c r="B225" s="473" t="s">
        <v>5</v>
      </c>
      <c r="C225" s="513" t="s">
        <v>219</v>
      </c>
      <c r="D225" s="469" t="s">
        <v>70</v>
      </c>
      <c r="E225" s="470" t="s">
        <v>46</v>
      </c>
      <c r="F225" s="515">
        <v>97038</v>
      </c>
      <c r="G225" s="506">
        <v>2</v>
      </c>
      <c r="H225" s="462">
        <f>G225*3</f>
        <v>6</v>
      </c>
      <c r="I225" s="471">
        <v>0</v>
      </c>
      <c r="J225" s="472">
        <f t="shared" si="18"/>
        <v>194076</v>
      </c>
      <c r="K225" s="463">
        <f t="shared" si="19"/>
        <v>582228</v>
      </c>
    </row>
    <row r="226" spans="1:17" x14ac:dyDescent="0.3">
      <c r="A226" s="503">
        <v>65</v>
      </c>
      <c r="B226" s="473" t="s">
        <v>5</v>
      </c>
      <c r="C226" s="513" t="s">
        <v>219</v>
      </c>
      <c r="D226" s="488" t="s">
        <v>70</v>
      </c>
      <c r="E226" s="470" t="s">
        <v>46</v>
      </c>
      <c r="F226" s="515">
        <v>97038</v>
      </c>
      <c r="G226" s="506">
        <v>2</v>
      </c>
      <c r="H226" s="462">
        <f>G226*6</f>
        <v>12</v>
      </c>
      <c r="I226" s="471">
        <v>0</v>
      </c>
      <c r="J226" s="472">
        <f t="shared" si="18"/>
        <v>194076</v>
      </c>
      <c r="K226" s="463">
        <f t="shared" si="19"/>
        <v>1164456</v>
      </c>
      <c r="Q226" s="464"/>
    </row>
    <row r="227" spans="1:17" x14ac:dyDescent="0.3">
      <c r="A227" s="503">
        <v>124</v>
      </c>
      <c r="B227" s="473" t="s">
        <v>5</v>
      </c>
      <c r="C227" s="513" t="s">
        <v>219</v>
      </c>
      <c r="D227" s="488" t="s">
        <v>70</v>
      </c>
      <c r="E227" s="470" t="s">
        <v>46</v>
      </c>
      <c r="F227" s="515">
        <v>97038</v>
      </c>
      <c r="G227" s="506">
        <v>2</v>
      </c>
      <c r="H227" s="462">
        <f>G227*5</f>
        <v>10</v>
      </c>
      <c r="I227" s="471">
        <v>0</v>
      </c>
      <c r="J227" s="472">
        <f t="shared" si="18"/>
        <v>194076</v>
      </c>
      <c r="K227" s="463">
        <f t="shared" si="19"/>
        <v>970380</v>
      </c>
    </row>
    <row r="228" spans="1:17" x14ac:dyDescent="0.3">
      <c r="A228" s="503">
        <v>188</v>
      </c>
      <c r="B228" s="473" t="s">
        <v>5</v>
      </c>
      <c r="C228" s="513" t="s">
        <v>219</v>
      </c>
      <c r="D228" s="488" t="s">
        <v>70</v>
      </c>
      <c r="E228" s="470" t="s">
        <v>46</v>
      </c>
      <c r="F228" s="515">
        <v>97038</v>
      </c>
      <c r="G228" s="506">
        <v>2</v>
      </c>
      <c r="H228" s="462">
        <f>G228*7</f>
        <v>14</v>
      </c>
      <c r="I228" s="471">
        <v>0</v>
      </c>
      <c r="J228" s="472">
        <f t="shared" si="18"/>
        <v>194076</v>
      </c>
      <c r="K228" s="463">
        <f t="shared" si="19"/>
        <v>1358532</v>
      </c>
    </row>
    <row r="229" spans="1:17" x14ac:dyDescent="0.3">
      <c r="A229" s="503">
        <v>247</v>
      </c>
      <c r="B229" s="473" t="s">
        <v>5</v>
      </c>
      <c r="C229" s="513" t="s">
        <v>219</v>
      </c>
      <c r="D229" s="488" t="s">
        <v>70</v>
      </c>
      <c r="E229" s="470" t="s">
        <v>46</v>
      </c>
      <c r="F229" s="515">
        <v>97038</v>
      </c>
      <c r="G229" s="506">
        <v>2</v>
      </c>
      <c r="H229" s="462">
        <f>G229*1</f>
        <v>2</v>
      </c>
      <c r="I229" s="471">
        <v>0</v>
      </c>
      <c r="J229" s="472">
        <f t="shared" si="18"/>
        <v>194076</v>
      </c>
      <c r="K229" s="463">
        <f t="shared" si="19"/>
        <v>194076</v>
      </c>
    </row>
    <row r="230" spans="1:17" x14ac:dyDescent="0.3">
      <c r="A230" s="503">
        <v>310</v>
      </c>
      <c r="B230" s="473" t="s">
        <v>5</v>
      </c>
      <c r="C230" s="513" t="s">
        <v>219</v>
      </c>
      <c r="D230" s="488" t="s">
        <v>70</v>
      </c>
      <c r="E230" s="470" t="s">
        <v>46</v>
      </c>
      <c r="F230" s="515">
        <v>97038</v>
      </c>
      <c r="G230" s="506">
        <v>2</v>
      </c>
      <c r="H230" s="462">
        <f>G230*4</f>
        <v>8</v>
      </c>
      <c r="I230" s="471">
        <v>0</v>
      </c>
      <c r="J230" s="472">
        <f t="shared" si="18"/>
        <v>194076</v>
      </c>
      <c r="K230" s="463">
        <f t="shared" si="19"/>
        <v>776304</v>
      </c>
    </row>
    <row r="231" spans="1:17" x14ac:dyDescent="0.3">
      <c r="A231" s="503">
        <v>374</v>
      </c>
      <c r="B231" s="473" t="s">
        <v>5</v>
      </c>
      <c r="C231" s="513" t="s">
        <v>219</v>
      </c>
      <c r="D231" s="488" t="s">
        <v>70</v>
      </c>
      <c r="E231" s="470" t="s">
        <v>46</v>
      </c>
      <c r="F231" s="515">
        <v>97038</v>
      </c>
      <c r="G231" s="506">
        <v>2</v>
      </c>
      <c r="H231" s="462">
        <f>G231*6</f>
        <v>12</v>
      </c>
      <c r="I231" s="471">
        <v>0</v>
      </c>
      <c r="J231" s="472">
        <f t="shared" si="18"/>
        <v>194076</v>
      </c>
      <c r="K231" s="463">
        <f t="shared" si="19"/>
        <v>1164456</v>
      </c>
    </row>
    <row r="232" spans="1:17" x14ac:dyDescent="0.3">
      <c r="A232" s="503">
        <v>490</v>
      </c>
      <c r="B232" s="473" t="s">
        <v>17</v>
      </c>
      <c r="C232" s="513" t="s">
        <v>219</v>
      </c>
      <c r="D232" s="476" t="s">
        <v>60</v>
      </c>
      <c r="E232" s="470" t="s">
        <v>59</v>
      </c>
      <c r="F232" s="530">
        <v>97799</v>
      </c>
      <c r="G232" s="506">
        <v>35</v>
      </c>
      <c r="H232" s="462">
        <f>G232*1</f>
        <v>35</v>
      </c>
      <c r="I232" s="471">
        <v>0</v>
      </c>
      <c r="J232" s="472">
        <f t="shared" si="18"/>
        <v>3422965</v>
      </c>
      <c r="K232" s="463">
        <f t="shared" si="19"/>
        <v>3422965</v>
      </c>
    </row>
    <row r="233" spans="1:17" ht="33" x14ac:dyDescent="0.3">
      <c r="A233" s="503">
        <v>48</v>
      </c>
      <c r="B233" s="473" t="s">
        <v>17</v>
      </c>
      <c r="C233" s="513" t="s">
        <v>219</v>
      </c>
      <c r="D233" s="477" t="s">
        <v>32</v>
      </c>
      <c r="E233" s="470" t="s">
        <v>59</v>
      </c>
      <c r="F233" s="530">
        <v>97799</v>
      </c>
      <c r="G233" s="506">
        <v>1</v>
      </c>
      <c r="H233" s="462">
        <f>G233*3</f>
        <v>3</v>
      </c>
      <c r="I233" s="471">
        <v>0</v>
      </c>
      <c r="J233" s="472">
        <f t="shared" si="18"/>
        <v>97799</v>
      </c>
      <c r="K233" s="463">
        <f t="shared" si="19"/>
        <v>293397</v>
      </c>
    </row>
    <row r="234" spans="1:17" ht="33" x14ac:dyDescent="0.3">
      <c r="A234" s="503">
        <v>106</v>
      </c>
      <c r="B234" s="473" t="s">
        <v>17</v>
      </c>
      <c r="C234" s="513" t="s">
        <v>219</v>
      </c>
      <c r="D234" s="476" t="s">
        <v>32</v>
      </c>
      <c r="E234" s="470" t="s">
        <v>59</v>
      </c>
      <c r="F234" s="530">
        <v>97799</v>
      </c>
      <c r="G234" s="506">
        <v>1</v>
      </c>
      <c r="H234" s="462">
        <f>G234*6</f>
        <v>6</v>
      </c>
      <c r="I234" s="471">
        <v>0</v>
      </c>
      <c r="J234" s="472">
        <f t="shared" si="18"/>
        <v>97799</v>
      </c>
      <c r="K234" s="463">
        <f t="shared" si="19"/>
        <v>586794</v>
      </c>
    </row>
    <row r="235" spans="1:17" ht="33" x14ac:dyDescent="0.3">
      <c r="A235" s="503">
        <v>229</v>
      </c>
      <c r="B235" s="473" t="s">
        <v>17</v>
      </c>
      <c r="C235" s="513" t="s">
        <v>219</v>
      </c>
      <c r="D235" s="476" t="s">
        <v>32</v>
      </c>
      <c r="E235" s="470" t="s">
        <v>59</v>
      </c>
      <c r="F235" s="530">
        <v>97799</v>
      </c>
      <c r="G235" s="506">
        <v>2</v>
      </c>
      <c r="H235" s="462">
        <f>G235*7</f>
        <v>14</v>
      </c>
      <c r="I235" s="471">
        <v>0</v>
      </c>
      <c r="J235" s="472">
        <f t="shared" si="18"/>
        <v>195598</v>
      </c>
      <c r="K235" s="463">
        <f t="shared" si="19"/>
        <v>1369186</v>
      </c>
    </row>
    <row r="236" spans="1:17" ht="33" x14ac:dyDescent="0.3">
      <c r="A236" s="503">
        <v>493</v>
      </c>
      <c r="B236" s="473" t="s">
        <v>17</v>
      </c>
      <c r="C236" s="513" t="s">
        <v>219</v>
      </c>
      <c r="D236" s="477" t="s">
        <v>69</v>
      </c>
      <c r="E236" s="470" t="s">
        <v>59</v>
      </c>
      <c r="F236" s="530">
        <v>90000</v>
      </c>
      <c r="G236" s="506">
        <v>60</v>
      </c>
      <c r="H236" s="462">
        <f>G236*1</f>
        <v>60</v>
      </c>
      <c r="I236" s="471">
        <v>0</v>
      </c>
      <c r="J236" s="472">
        <f t="shared" si="18"/>
        <v>5400000</v>
      </c>
      <c r="K236" s="463">
        <f t="shared" si="19"/>
        <v>5400000</v>
      </c>
    </row>
    <row r="237" spans="1:17" ht="33" x14ac:dyDescent="0.3">
      <c r="A237" s="503">
        <v>552</v>
      </c>
      <c r="B237" s="473" t="s">
        <v>17</v>
      </c>
      <c r="C237" s="513" t="s">
        <v>219</v>
      </c>
      <c r="D237" s="477" t="s">
        <v>69</v>
      </c>
      <c r="E237" s="470" t="s">
        <v>59</v>
      </c>
      <c r="F237" s="530">
        <v>90000</v>
      </c>
      <c r="G237" s="506">
        <v>40</v>
      </c>
      <c r="H237" s="462">
        <f>G237*3</f>
        <v>120</v>
      </c>
      <c r="I237" s="471">
        <v>0</v>
      </c>
      <c r="J237" s="472">
        <f t="shared" si="18"/>
        <v>3600000</v>
      </c>
      <c r="K237" s="463">
        <f t="shared" si="19"/>
        <v>10800000</v>
      </c>
    </row>
    <row r="238" spans="1:17" x14ac:dyDescent="0.3">
      <c r="A238" s="503">
        <v>469</v>
      </c>
      <c r="B238" s="473" t="s">
        <v>15</v>
      </c>
      <c r="C238" s="473" t="s">
        <v>221</v>
      </c>
      <c r="D238" s="476" t="s">
        <v>55</v>
      </c>
      <c r="E238" s="475" t="s">
        <v>25</v>
      </c>
      <c r="F238" s="517">
        <v>6000000</v>
      </c>
      <c r="G238" s="508">
        <v>1</v>
      </c>
      <c r="H238" s="462">
        <f>G238*1</f>
        <v>1</v>
      </c>
      <c r="I238" s="471">
        <v>0</v>
      </c>
      <c r="J238" s="472">
        <f t="shared" si="18"/>
        <v>6000000</v>
      </c>
      <c r="K238" s="463">
        <f t="shared" si="19"/>
        <v>6000000</v>
      </c>
      <c r="M238" s="563">
        <f>4499900+700000</f>
        <v>5199900</v>
      </c>
      <c r="N238" s="541"/>
      <c r="O238" s="540" t="s">
        <v>289</v>
      </c>
      <c r="P238" s="569">
        <f t="shared" ref="P238:P301" si="20">+F238*100/M238 -100</f>
        <v>15.386834362199266</v>
      </c>
    </row>
    <row r="239" spans="1:17" x14ac:dyDescent="0.3">
      <c r="A239" s="503">
        <v>37</v>
      </c>
      <c r="B239" s="473" t="s">
        <v>15</v>
      </c>
      <c r="C239" s="513" t="s">
        <v>221</v>
      </c>
      <c r="D239" s="477" t="s">
        <v>27</v>
      </c>
      <c r="E239" s="475" t="s">
        <v>25</v>
      </c>
      <c r="F239" s="515">
        <v>91620</v>
      </c>
      <c r="G239" s="506">
        <v>1</v>
      </c>
      <c r="H239" s="462">
        <f>G239*3</f>
        <v>3</v>
      </c>
      <c r="I239" s="471">
        <v>0</v>
      </c>
      <c r="J239" s="472">
        <f t="shared" si="18"/>
        <v>91620</v>
      </c>
      <c r="K239" s="463">
        <f t="shared" si="19"/>
        <v>274860</v>
      </c>
      <c r="O239" s="540" t="s">
        <v>290</v>
      </c>
      <c r="P239" s="569" t="e">
        <f>+F239*100/M239 -100</f>
        <v>#DIV/0!</v>
      </c>
    </row>
    <row r="240" spans="1:17" x14ac:dyDescent="0.3">
      <c r="A240" s="503">
        <v>95</v>
      </c>
      <c r="B240" s="473" t="s">
        <v>15</v>
      </c>
      <c r="C240" s="513" t="s">
        <v>221</v>
      </c>
      <c r="D240" s="476" t="s">
        <v>27</v>
      </c>
      <c r="E240" s="475" t="s">
        <v>25</v>
      </c>
      <c r="F240" s="515">
        <v>89180</v>
      </c>
      <c r="G240" s="506">
        <v>1</v>
      </c>
      <c r="H240" s="462">
        <f>G240*6</f>
        <v>6</v>
      </c>
      <c r="I240" s="471">
        <v>0</v>
      </c>
      <c r="J240" s="472">
        <f t="shared" si="18"/>
        <v>89180</v>
      </c>
      <c r="K240" s="463">
        <f t="shared" si="19"/>
        <v>535080</v>
      </c>
      <c r="O240" s="540" t="s">
        <v>290</v>
      </c>
      <c r="P240" s="569" t="e">
        <f t="shared" si="20"/>
        <v>#DIV/0!</v>
      </c>
    </row>
    <row r="241" spans="1:17" s="464" customFormat="1" x14ac:dyDescent="0.3">
      <c r="A241" s="503">
        <v>161</v>
      </c>
      <c r="B241" s="473" t="s">
        <v>15</v>
      </c>
      <c r="C241" s="513" t="s">
        <v>221</v>
      </c>
      <c r="D241" s="476" t="s">
        <v>27</v>
      </c>
      <c r="E241" s="475" t="s">
        <v>25</v>
      </c>
      <c r="F241" s="515">
        <v>300000</v>
      </c>
      <c r="G241" s="506">
        <v>1</v>
      </c>
      <c r="H241" s="462">
        <f>G241*5</f>
        <v>5</v>
      </c>
      <c r="I241" s="471">
        <v>0</v>
      </c>
      <c r="J241" s="472">
        <f t="shared" si="18"/>
        <v>300000</v>
      </c>
      <c r="K241" s="463">
        <f t="shared" si="19"/>
        <v>1500000</v>
      </c>
      <c r="L241" s="468"/>
      <c r="M241" s="562"/>
      <c r="N241" s="468"/>
      <c r="O241" s="540" t="s">
        <v>290</v>
      </c>
      <c r="P241" s="569" t="e">
        <f t="shared" si="20"/>
        <v>#DIV/0!</v>
      </c>
      <c r="Q241" s="468"/>
    </row>
    <row r="242" spans="1:17" x14ac:dyDescent="0.3">
      <c r="A242" s="503">
        <v>218</v>
      </c>
      <c r="B242" s="473" t="s">
        <v>15</v>
      </c>
      <c r="C242" s="513" t="s">
        <v>221</v>
      </c>
      <c r="D242" s="476" t="s">
        <v>27</v>
      </c>
      <c r="E242" s="475" t="s">
        <v>25</v>
      </c>
      <c r="F242" s="515">
        <v>143884</v>
      </c>
      <c r="G242" s="506">
        <v>1</v>
      </c>
      <c r="H242" s="462">
        <f>G242*7</f>
        <v>7</v>
      </c>
      <c r="I242" s="471">
        <v>0</v>
      </c>
      <c r="J242" s="472">
        <f t="shared" si="18"/>
        <v>143884</v>
      </c>
      <c r="K242" s="463">
        <f t="shared" si="19"/>
        <v>1007188</v>
      </c>
      <c r="O242" s="540" t="s">
        <v>290</v>
      </c>
      <c r="P242" s="569" t="e">
        <f t="shared" si="20"/>
        <v>#DIV/0!</v>
      </c>
    </row>
    <row r="243" spans="1:17" x14ac:dyDescent="0.3">
      <c r="A243" s="503">
        <v>281</v>
      </c>
      <c r="B243" s="473" t="s">
        <v>15</v>
      </c>
      <c r="C243" s="513" t="s">
        <v>221</v>
      </c>
      <c r="D243" s="476" t="s">
        <v>27</v>
      </c>
      <c r="E243" s="475" t="s">
        <v>25</v>
      </c>
      <c r="F243" s="515">
        <v>650000</v>
      </c>
      <c r="G243" s="506">
        <v>1</v>
      </c>
      <c r="H243" s="462">
        <f>G243*1</f>
        <v>1</v>
      </c>
      <c r="I243" s="471">
        <v>0</v>
      </c>
      <c r="J243" s="472">
        <f t="shared" si="18"/>
        <v>650000</v>
      </c>
      <c r="K243" s="463">
        <f t="shared" si="19"/>
        <v>650000</v>
      </c>
      <c r="O243" s="540" t="s">
        <v>290</v>
      </c>
      <c r="P243" s="569" t="e">
        <f t="shared" si="20"/>
        <v>#DIV/0!</v>
      </c>
    </row>
    <row r="244" spans="1:17" x14ac:dyDescent="0.3">
      <c r="A244" s="503">
        <v>347</v>
      </c>
      <c r="B244" s="473" t="s">
        <v>15</v>
      </c>
      <c r="C244" s="513" t="s">
        <v>221</v>
      </c>
      <c r="D244" s="476" t="s">
        <v>27</v>
      </c>
      <c r="E244" s="475" t="s">
        <v>25</v>
      </c>
      <c r="F244" s="515">
        <v>250000</v>
      </c>
      <c r="G244" s="506">
        <v>1</v>
      </c>
      <c r="H244" s="462">
        <f>G244*4</f>
        <v>4</v>
      </c>
      <c r="I244" s="471">
        <v>0</v>
      </c>
      <c r="J244" s="472">
        <f t="shared" si="18"/>
        <v>250000</v>
      </c>
      <c r="K244" s="463">
        <f t="shared" si="19"/>
        <v>1000000</v>
      </c>
      <c r="O244" s="540" t="s">
        <v>290</v>
      </c>
      <c r="P244" s="569" t="e">
        <f t="shared" si="20"/>
        <v>#DIV/0!</v>
      </c>
    </row>
    <row r="245" spans="1:17" x14ac:dyDescent="0.3">
      <c r="A245" s="503">
        <v>412</v>
      </c>
      <c r="B245" s="473" t="s">
        <v>15</v>
      </c>
      <c r="C245" s="513" t="s">
        <v>221</v>
      </c>
      <c r="D245" s="476" t="s">
        <v>27</v>
      </c>
      <c r="E245" s="475" t="s">
        <v>25</v>
      </c>
      <c r="F245" s="515">
        <v>250000</v>
      </c>
      <c r="G245" s="506">
        <v>1</v>
      </c>
      <c r="H245" s="462">
        <f>G245*6</f>
        <v>6</v>
      </c>
      <c r="I245" s="471">
        <v>0</v>
      </c>
      <c r="J245" s="472">
        <f t="shared" si="18"/>
        <v>250000</v>
      </c>
      <c r="K245" s="463">
        <f t="shared" si="19"/>
        <v>1500000</v>
      </c>
      <c r="O245" s="540" t="s">
        <v>290</v>
      </c>
      <c r="P245" s="569" t="e">
        <f t="shared" si="20"/>
        <v>#DIV/0!</v>
      </c>
    </row>
    <row r="246" spans="1:17" x14ac:dyDescent="0.3">
      <c r="A246" s="503">
        <v>481</v>
      </c>
      <c r="B246" s="473" t="s">
        <v>15</v>
      </c>
      <c r="C246" s="513" t="s">
        <v>221</v>
      </c>
      <c r="D246" s="476" t="s">
        <v>27</v>
      </c>
      <c r="E246" s="475" t="s">
        <v>25</v>
      </c>
      <c r="F246" s="525">
        <v>994665</v>
      </c>
      <c r="G246" s="506">
        <v>1</v>
      </c>
      <c r="H246" s="462">
        <f>G246*1</f>
        <v>1</v>
      </c>
      <c r="I246" s="471">
        <v>0</v>
      </c>
      <c r="J246" s="472">
        <f t="shared" si="18"/>
        <v>994665</v>
      </c>
      <c r="K246" s="463">
        <f t="shared" si="19"/>
        <v>994665</v>
      </c>
      <c r="O246" s="540" t="s">
        <v>290</v>
      </c>
      <c r="P246" s="569" t="e">
        <f t="shared" si="20"/>
        <v>#DIV/0!</v>
      </c>
    </row>
    <row r="247" spans="1:17" x14ac:dyDescent="0.3">
      <c r="A247" s="503">
        <v>539</v>
      </c>
      <c r="B247" s="473" t="s">
        <v>15</v>
      </c>
      <c r="C247" s="513" t="s">
        <v>221</v>
      </c>
      <c r="D247" s="476" t="s">
        <v>27</v>
      </c>
      <c r="E247" s="475" t="s">
        <v>25</v>
      </c>
      <c r="F247" s="515">
        <v>525308</v>
      </c>
      <c r="G247" s="506">
        <v>1</v>
      </c>
      <c r="H247" s="462">
        <f>G247*3</f>
        <v>3</v>
      </c>
      <c r="I247" s="471">
        <v>0</v>
      </c>
      <c r="J247" s="472">
        <f t="shared" si="18"/>
        <v>525308</v>
      </c>
      <c r="K247" s="463">
        <f t="shared" si="19"/>
        <v>1575924</v>
      </c>
      <c r="O247" s="540" t="s">
        <v>290</v>
      </c>
      <c r="P247" s="569" t="e">
        <f t="shared" si="20"/>
        <v>#DIV/0!</v>
      </c>
    </row>
    <row r="248" spans="1:17" ht="33" x14ac:dyDescent="0.3">
      <c r="A248" s="503">
        <v>42</v>
      </c>
      <c r="B248" s="473" t="s">
        <v>16</v>
      </c>
      <c r="C248" s="513" t="s">
        <v>221</v>
      </c>
      <c r="D248" s="485" t="s">
        <v>184</v>
      </c>
      <c r="E248" s="470" t="s">
        <v>46</v>
      </c>
      <c r="F248" s="529">
        <v>33333</v>
      </c>
      <c r="G248" s="506">
        <v>0.4</v>
      </c>
      <c r="H248" s="462">
        <f>G248*3</f>
        <v>1.2000000000000002</v>
      </c>
      <c r="I248" s="471">
        <v>0</v>
      </c>
      <c r="J248" s="472">
        <f t="shared" si="18"/>
        <v>13333.2</v>
      </c>
      <c r="K248" s="566">
        <f t="shared" si="19"/>
        <v>39999.600000000006</v>
      </c>
      <c r="O248" s="540" t="s">
        <v>324</v>
      </c>
      <c r="P248" s="569" t="e">
        <f t="shared" si="20"/>
        <v>#DIV/0!</v>
      </c>
    </row>
    <row r="249" spans="1:17" ht="33" x14ac:dyDescent="0.3">
      <c r="A249" s="503">
        <v>100</v>
      </c>
      <c r="B249" s="473" t="s">
        <v>16</v>
      </c>
      <c r="C249" s="513" t="s">
        <v>221</v>
      </c>
      <c r="D249" s="485" t="s">
        <v>184</v>
      </c>
      <c r="E249" s="470" t="s">
        <v>46</v>
      </c>
      <c r="F249" s="529">
        <v>33333</v>
      </c>
      <c r="G249" s="506">
        <v>0.36</v>
      </c>
      <c r="H249" s="462">
        <f>G249*6</f>
        <v>2.16</v>
      </c>
      <c r="I249" s="471">
        <v>0</v>
      </c>
      <c r="J249" s="472">
        <f t="shared" si="18"/>
        <v>11999.88</v>
      </c>
      <c r="K249" s="566">
        <f t="shared" si="19"/>
        <v>71999.28</v>
      </c>
      <c r="O249" s="540" t="s">
        <v>324</v>
      </c>
      <c r="P249" s="569" t="e">
        <f t="shared" si="20"/>
        <v>#DIV/0!</v>
      </c>
    </row>
    <row r="250" spans="1:17" ht="33" x14ac:dyDescent="0.3">
      <c r="A250" s="503">
        <v>166</v>
      </c>
      <c r="B250" s="473" t="s">
        <v>16</v>
      </c>
      <c r="C250" s="513" t="s">
        <v>221</v>
      </c>
      <c r="D250" s="485" t="s">
        <v>184</v>
      </c>
      <c r="E250" s="470" t="s">
        <v>46</v>
      </c>
      <c r="F250" s="529">
        <v>33333</v>
      </c>
      <c r="G250" s="506">
        <v>0.85</v>
      </c>
      <c r="H250" s="462">
        <f>G250*5</f>
        <v>4.25</v>
      </c>
      <c r="I250" s="471">
        <v>0</v>
      </c>
      <c r="J250" s="472">
        <f t="shared" si="18"/>
        <v>28333.05</v>
      </c>
      <c r="K250" s="566">
        <f t="shared" si="19"/>
        <v>141665.25</v>
      </c>
      <c r="O250" s="540" t="s">
        <v>324</v>
      </c>
      <c r="P250" s="569" t="e">
        <f t="shared" si="20"/>
        <v>#DIV/0!</v>
      </c>
    </row>
    <row r="251" spans="1:17" ht="33" x14ac:dyDescent="0.3">
      <c r="A251" s="503">
        <v>223</v>
      </c>
      <c r="B251" s="473" t="s">
        <v>16</v>
      </c>
      <c r="C251" s="513" t="s">
        <v>221</v>
      </c>
      <c r="D251" s="485" t="s">
        <v>184</v>
      </c>
      <c r="E251" s="470" t="s">
        <v>46</v>
      </c>
      <c r="F251" s="529">
        <v>33333</v>
      </c>
      <c r="G251" s="506">
        <v>0.52</v>
      </c>
      <c r="H251" s="462">
        <f>G251*7</f>
        <v>3.64</v>
      </c>
      <c r="I251" s="471">
        <v>0</v>
      </c>
      <c r="J251" s="472">
        <f t="shared" si="18"/>
        <v>17333.16</v>
      </c>
      <c r="K251" s="566">
        <f t="shared" si="19"/>
        <v>121332.12000000001</v>
      </c>
      <c r="O251" s="540" t="s">
        <v>324</v>
      </c>
      <c r="P251" s="569" t="e">
        <f t="shared" si="20"/>
        <v>#DIV/0!</v>
      </c>
    </row>
    <row r="252" spans="1:17" ht="33" x14ac:dyDescent="0.3">
      <c r="A252" s="503">
        <v>286</v>
      </c>
      <c r="B252" s="473" t="s">
        <v>16</v>
      </c>
      <c r="C252" s="513" t="s">
        <v>221</v>
      </c>
      <c r="D252" s="485" t="s">
        <v>184</v>
      </c>
      <c r="E252" s="470" t="s">
        <v>46</v>
      </c>
      <c r="F252" s="529">
        <v>33333</v>
      </c>
      <c r="G252" s="506">
        <v>3.21</v>
      </c>
      <c r="H252" s="462">
        <f>G252*1</f>
        <v>3.21</v>
      </c>
      <c r="I252" s="471">
        <v>0</v>
      </c>
      <c r="J252" s="472">
        <f t="shared" si="18"/>
        <v>106998.93</v>
      </c>
      <c r="K252" s="566">
        <f t="shared" si="19"/>
        <v>106998.93</v>
      </c>
      <c r="O252" s="540" t="s">
        <v>324</v>
      </c>
      <c r="P252" s="569" t="e">
        <f t="shared" si="20"/>
        <v>#DIV/0!</v>
      </c>
    </row>
    <row r="253" spans="1:17" ht="33" x14ac:dyDescent="0.3">
      <c r="A253" s="503">
        <v>352</v>
      </c>
      <c r="B253" s="473" t="s">
        <v>16</v>
      </c>
      <c r="C253" s="513" t="s">
        <v>221</v>
      </c>
      <c r="D253" s="485" t="s">
        <v>184</v>
      </c>
      <c r="E253" s="470" t="s">
        <v>46</v>
      </c>
      <c r="F253" s="529">
        <v>33333</v>
      </c>
      <c r="G253" s="506">
        <v>0.64</v>
      </c>
      <c r="H253" s="462">
        <f>G253*4</f>
        <v>2.56</v>
      </c>
      <c r="I253" s="471">
        <v>0</v>
      </c>
      <c r="J253" s="472">
        <f t="shared" si="18"/>
        <v>21333.119999999999</v>
      </c>
      <c r="K253" s="566">
        <f t="shared" si="19"/>
        <v>85332.479999999996</v>
      </c>
      <c r="O253" s="540" t="s">
        <v>324</v>
      </c>
      <c r="P253" s="569" t="e">
        <f t="shared" si="20"/>
        <v>#DIV/0!</v>
      </c>
    </row>
    <row r="254" spans="1:17" ht="33" x14ac:dyDescent="0.3">
      <c r="A254" s="503">
        <v>417</v>
      </c>
      <c r="B254" s="473" t="s">
        <v>16</v>
      </c>
      <c r="C254" s="513" t="s">
        <v>221</v>
      </c>
      <c r="D254" s="485" t="s">
        <v>184</v>
      </c>
      <c r="E254" s="470" t="s">
        <v>46</v>
      </c>
      <c r="F254" s="529">
        <v>33333</v>
      </c>
      <c r="G254" s="506">
        <v>0.73</v>
      </c>
      <c r="H254" s="462">
        <f>G254*6</f>
        <v>4.38</v>
      </c>
      <c r="I254" s="471">
        <v>0</v>
      </c>
      <c r="J254" s="472">
        <f t="shared" si="18"/>
        <v>24333.09</v>
      </c>
      <c r="K254" s="566">
        <f t="shared" si="19"/>
        <v>145998.54</v>
      </c>
      <c r="O254" s="540" t="s">
        <v>324</v>
      </c>
      <c r="P254" s="569" t="e">
        <f t="shared" si="20"/>
        <v>#DIV/0!</v>
      </c>
    </row>
    <row r="255" spans="1:17" ht="33" x14ac:dyDescent="0.3">
      <c r="A255" s="503">
        <v>485</v>
      </c>
      <c r="B255" s="473" t="s">
        <v>16</v>
      </c>
      <c r="C255" s="513" t="s">
        <v>221</v>
      </c>
      <c r="D255" s="485" t="s">
        <v>184</v>
      </c>
      <c r="E255" s="470" t="s">
        <v>46</v>
      </c>
      <c r="F255" s="529">
        <v>33333</v>
      </c>
      <c r="G255" s="506">
        <v>34.4</v>
      </c>
      <c r="H255" s="462">
        <f>G255*1</f>
        <v>34.4</v>
      </c>
      <c r="I255" s="471">
        <v>0</v>
      </c>
      <c r="J255" s="472">
        <f t="shared" si="18"/>
        <v>1146655.2</v>
      </c>
      <c r="K255" s="566">
        <f t="shared" si="19"/>
        <v>1146655.2</v>
      </c>
      <c r="O255" s="540" t="s">
        <v>324</v>
      </c>
      <c r="P255" s="569" t="e">
        <f t="shared" si="20"/>
        <v>#DIV/0!</v>
      </c>
    </row>
    <row r="256" spans="1:17" ht="33" x14ac:dyDescent="0.3">
      <c r="A256" s="503">
        <v>543</v>
      </c>
      <c r="B256" s="473" t="s">
        <v>16</v>
      </c>
      <c r="C256" s="513" t="s">
        <v>221</v>
      </c>
      <c r="D256" s="485" t="s">
        <v>184</v>
      </c>
      <c r="E256" s="470" t="s">
        <v>46</v>
      </c>
      <c r="F256" s="529">
        <v>33333</v>
      </c>
      <c r="G256" s="506">
        <v>1.4</v>
      </c>
      <c r="H256" s="462">
        <f>G256*3</f>
        <v>4.1999999999999993</v>
      </c>
      <c r="I256" s="471">
        <v>0</v>
      </c>
      <c r="J256" s="472">
        <f t="shared" si="18"/>
        <v>46666.2</v>
      </c>
      <c r="K256" s="566">
        <f t="shared" si="19"/>
        <v>139998.59999999998</v>
      </c>
      <c r="O256" s="540" t="s">
        <v>324</v>
      </c>
      <c r="P256" s="569" t="e">
        <f t="shared" si="20"/>
        <v>#DIV/0!</v>
      </c>
    </row>
    <row r="257" spans="1:16" x14ac:dyDescent="0.3">
      <c r="A257" s="503">
        <v>445</v>
      </c>
      <c r="B257" s="473" t="s">
        <v>15</v>
      </c>
      <c r="C257" s="473" t="s">
        <v>249</v>
      </c>
      <c r="D257" s="482" t="s">
        <v>222</v>
      </c>
      <c r="E257" s="475" t="s">
        <v>25</v>
      </c>
      <c r="F257" s="518">
        <v>80563</v>
      </c>
      <c r="G257" s="508">
        <v>3</v>
      </c>
      <c r="H257" s="462">
        <f>G257*1</f>
        <v>3</v>
      </c>
      <c r="I257" s="471">
        <v>0</v>
      </c>
      <c r="J257" s="472">
        <f t="shared" si="18"/>
        <v>241689</v>
      </c>
      <c r="K257" s="463">
        <f t="shared" si="19"/>
        <v>241689</v>
      </c>
      <c r="M257" s="563">
        <v>80563</v>
      </c>
      <c r="N257" s="539"/>
      <c r="O257" s="540" t="s">
        <v>291</v>
      </c>
      <c r="P257" s="569">
        <f t="shared" si="20"/>
        <v>0</v>
      </c>
    </row>
    <row r="258" spans="1:16" x14ac:dyDescent="0.3">
      <c r="A258" s="503">
        <v>457</v>
      </c>
      <c r="B258" s="473" t="s">
        <v>15</v>
      </c>
      <c r="C258" s="473" t="s">
        <v>249</v>
      </c>
      <c r="D258" s="482" t="s">
        <v>165</v>
      </c>
      <c r="E258" s="475" t="s">
        <v>25</v>
      </c>
      <c r="F258" s="519">
        <v>181000</v>
      </c>
      <c r="G258" s="508">
        <v>1</v>
      </c>
      <c r="H258" s="462">
        <f>G258*1</f>
        <v>1</v>
      </c>
      <c r="I258" s="471">
        <v>0</v>
      </c>
      <c r="J258" s="472">
        <f t="shared" si="18"/>
        <v>181000</v>
      </c>
      <c r="K258" s="463">
        <f t="shared" si="19"/>
        <v>181000</v>
      </c>
      <c r="M258" s="563">
        <v>181000</v>
      </c>
      <c r="N258" s="539"/>
      <c r="O258" s="540" t="s">
        <v>291</v>
      </c>
      <c r="P258" s="569">
        <f t="shared" si="20"/>
        <v>0</v>
      </c>
    </row>
    <row r="259" spans="1:16" x14ac:dyDescent="0.3">
      <c r="A259" s="503">
        <v>444</v>
      </c>
      <c r="B259" s="473" t="s">
        <v>15</v>
      </c>
      <c r="C259" s="473" t="s">
        <v>249</v>
      </c>
      <c r="D259" s="482" t="s">
        <v>242</v>
      </c>
      <c r="E259" s="475" t="s">
        <v>25</v>
      </c>
      <c r="F259" s="518">
        <v>54264</v>
      </c>
      <c r="G259" s="508">
        <v>2</v>
      </c>
      <c r="H259" s="462">
        <f>G259*1</f>
        <v>2</v>
      </c>
      <c r="I259" s="471">
        <v>0</v>
      </c>
      <c r="J259" s="472">
        <f t="shared" si="18"/>
        <v>108528</v>
      </c>
      <c r="K259" s="463">
        <f t="shared" si="19"/>
        <v>108528</v>
      </c>
      <c r="M259" s="562">
        <v>54264</v>
      </c>
      <c r="O259" s="540" t="s">
        <v>291</v>
      </c>
      <c r="P259" s="569">
        <f t="shared" si="20"/>
        <v>0</v>
      </c>
    </row>
    <row r="260" spans="1:16" x14ac:dyDescent="0.3">
      <c r="A260" s="503">
        <v>36</v>
      </c>
      <c r="B260" s="473" t="s">
        <v>15</v>
      </c>
      <c r="C260" s="473" t="s">
        <v>249</v>
      </c>
      <c r="D260" s="484" t="s">
        <v>228</v>
      </c>
      <c r="E260" s="475" t="s">
        <v>24</v>
      </c>
      <c r="F260" s="515">
        <v>19900</v>
      </c>
      <c r="G260" s="506">
        <v>2</v>
      </c>
      <c r="H260" s="462">
        <f>G260*3</f>
        <v>6</v>
      </c>
      <c r="I260" s="471">
        <v>0</v>
      </c>
      <c r="J260" s="472">
        <f t="shared" si="18"/>
        <v>39800</v>
      </c>
      <c r="K260" s="463">
        <f t="shared" si="19"/>
        <v>119400</v>
      </c>
      <c r="M260" s="562">
        <f t="shared" ref="M260:M266" si="21">25868*1.19/2</f>
        <v>15391.46</v>
      </c>
      <c r="O260" s="540" t="s">
        <v>292</v>
      </c>
      <c r="P260" s="569">
        <f t="shared" si="20"/>
        <v>29.292477776637185</v>
      </c>
    </row>
    <row r="261" spans="1:16" x14ac:dyDescent="0.3">
      <c r="A261" s="503">
        <v>94</v>
      </c>
      <c r="B261" s="473" t="s">
        <v>15</v>
      </c>
      <c r="C261" s="473" t="s">
        <v>249</v>
      </c>
      <c r="D261" s="484" t="s">
        <v>228</v>
      </c>
      <c r="E261" s="475" t="s">
        <v>24</v>
      </c>
      <c r="F261" s="515">
        <v>19900</v>
      </c>
      <c r="G261" s="506">
        <v>2</v>
      </c>
      <c r="H261" s="462">
        <f>G261*6</f>
        <v>12</v>
      </c>
      <c r="I261" s="471">
        <v>0</v>
      </c>
      <c r="J261" s="472">
        <f t="shared" si="18"/>
        <v>39800</v>
      </c>
      <c r="K261" s="463">
        <f t="shared" si="19"/>
        <v>238800</v>
      </c>
      <c r="M261" s="562">
        <f t="shared" si="21"/>
        <v>15391.46</v>
      </c>
      <c r="O261" s="540" t="s">
        <v>292</v>
      </c>
      <c r="P261" s="569">
        <f t="shared" si="20"/>
        <v>29.292477776637185</v>
      </c>
    </row>
    <row r="262" spans="1:16" x14ac:dyDescent="0.3">
      <c r="A262" s="503">
        <v>159</v>
      </c>
      <c r="B262" s="473" t="s">
        <v>15</v>
      </c>
      <c r="C262" s="473" t="s">
        <v>249</v>
      </c>
      <c r="D262" s="484" t="s">
        <v>228</v>
      </c>
      <c r="E262" s="475" t="s">
        <v>24</v>
      </c>
      <c r="F262" s="515">
        <v>19900</v>
      </c>
      <c r="G262" s="506">
        <v>2</v>
      </c>
      <c r="H262" s="462">
        <f>G262*5</f>
        <v>10</v>
      </c>
      <c r="I262" s="471">
        <v>0</v>
      </c>
      <c r="J262" s="472">
        <f t="shared" si="18"/>
        <v>39800</v>
      </c>
      <c r="K262" s="463">
        <f t="shared" si="19"/>
        <v>199000</v>
      </c>
      <c r="M262" s="562">
        <f t="shared" si="21"/>
        <v>15391.46</v>
      </c>
      <c r="O262" s="540" t="s">
        <v>292</v>
      </c>
      <c r="P262" s="569">
        <f t="shared" si="20"/>
        <v>29.292477776637185</v>
      </c>
    </row>
    <row r="263" spans="1:16" x14ac:dyDescent="0.3">
      <c r="A263" s="503">
        <v>217</v>
      </c>
      <c r="B263" s="473" t="s">
        <v>15</v>
      </c>
      <c r="C263" s="473" t="s">
        <v>249</v>
      </c>
      <c r="D263" s="484" t="s">
        <v>228</v>
      </c>
      <c r="E263" s="475" t="s">
        <v>24</v>
      </c>
      <c r="F263" s="515">
        <v>19900</v>
      </c>
      <c r="G263" s="506">
        <v>2</v>
      </c>
      <c r="H263" s="462">
        <f>G263*7</f>
        <v>14</v>
      </c>
      <c r="I263" s="471">
        <v>0</v>
      </c>
      <c r="J263" s="472">
        <f t="shared" si="18"/>
        <v>39800</v>
      </c>
      <c r="K263" s="463">
        <f t="shared" si="19"/>
        <v>278600</v>
      </c>
      <c r="M263" s="562">
        <f t="shared" si="21"/>
        <v>15391.46</v>
      </c>
      <c r="O263" s="540" t="s">
        <v>292</v>
      </c>
      <c r="P263" s="569">
        <f t="shared" si="20"/>
        <v>29.292477776637185</v>
      </c>
    </row>
    <row r="264" spans="1:16" x14ac:dyDescent="0.3">
      <c r="A264" s="503">
        <v>280</v>
      </c>
      <c r="B264" s="473" t="s">
        <v>15</v>
      </c>
      <c r="C264" s="473" t="s">
        <v>249</v>
      </c>
      <c r="D264" s="484" t="s">
        <v>228</v>
      </c>
      <c r="E264" s="475" t="s">
        <v>24</v>
      </c>
      <c r="F264" s="515">
        <v>19900</v>
      </c>
      <c r="G264" s="506">
        <v>2</v>
      </c>
      <c r="H264" s="462">
        <f>G264*1</f>
        <v>2</v>
      </c>
      <c r="I264" s="471">
        <v>0</v>
      </c>
      <c r="J264" s="472">
        <f t="shared" si="18"/>
        <v>39800</v>
      </c>
      <c r="K264" s="463">
        <f t="shared" si="19"/>
        <v>39800</v>
      </c>
      <c r="M264" s="562">
        <f t="shared" si="21"/>
        <v>15391.46</v>
      </c>
      <c r="O264" s="540" t="s">
        <v>292</v>
      </c>
      <c r="P264" s="569">
        <f t="shared" si="20"/>
        <v>29.292477776637185</v>
      </c>
    </row>
    <row r="265" spans="1:16" x14ac:dyDescent="0.3">
      <c r="A265" s="503">
        <v>345</v>
      </c>
      <c r="B265" s="473" t="s">
        <v>15</v>
      </c>
      <c r="C265" s="473" t="s">
        <v>249</v>
      </c>
      <c r="D265" s="484" t="s">
        <v>228</v>
      </c>
      <c r="E265" s="475" t="s">
        <v>24</v>
      </c>
      <c r="F265" s="515">
        <v>19900</v>
      </c>
      <c r="G265" s="506">
        <v>2</v>
      </c>
      <c r="H265" s="462">
        <f>G265*4</f>
        <v>8</v>
      </c>
      <c r="I265" s="471">
        <v>0</v>
      </c>
      <c r="J265" s="472">
        <f t="shared" si="18"/>
        <v>39800</v>
      </c>
      <c r="K265" s="463">
        <f t="shared" si="19"/>
        <v>159200</v>
      </c>
      <c r="M265" s="562">
        <f t="shared" si="21"/>
        <v>15391.46</v>
      </c>
      <c r="O265" s="540" t="s">
        <v>292</v>
      </c>
      <c r="P265" s="569">
        <f t="shared" si="20"/>
        <v>29.292477776637185</v>
      </c>
    </row>
    <row r="266" spans="1:16" x14ac:dyDescent="0.3">
      <c r="A266" s="503">
        <v>410</v>
      </c>
      <c r="B266" s="473" t="s">
        <v>15</v>
      </c>
      <c r="C266" s="473" t="s">
        <v>249</v>
      </c>
      <c r="D266" s="484" t="s">
        <v>228</v>
      </c>
      <c r="E266" s="475" t="s">
        <v>24</v>
      </c>
      <c r="F266" s="515">
        <v>19900</v>
      </c>
      <c r="G266" s="506">
        <v>2</v>
      </c>
      <c r="H266" s="462">
        <f>G266*6</f>
        <v>12</v>
      </c>
      <c r="I266" s="471">
        <v>0</v>
      </c>
      <c r="J266" s="472">
        <f t="shared" ref="J266:J329" si="22">+F266*G266*(1+I266)</f>
        <v>39800</v>
      </c>
      <c r="K266" s="463">
        <f t="shared" ref="K266:K329" si="23">+F266*H266*(1+I266)</f>
        <v>238800</v>
      </c>
      <c r="M266" s="562">
        <f t="shared" si="21"/>
        <v>15391.46</v>
      </c>
      <c r="O266" s="540" t="s">
        <v>292</v>
      </c>
      <c r="P266" s="569">
        <f t="shared" si="20"/>
        <v>29.292477776637185</v>
      </c>
    </row>
    <row r="267" spans="1:16" ht="33" x14ac:dyDescent="0.3">
      <c r="A267" s="503">
        <v>17</v>
      </c>
      <c r="B267" s="473" t="s">
        <v>15</v>
      </c>
      <c r="C267" s="473" t="s">
        <v>249</v>
      </c>
      <c r="D267" s="474" t="s">
        <v>160</v>
      </c>
      <c r="E267" s="475" t="s">
        <v>25</v>
      </c>
      <c r="F267" s="516">
        <v>718000</v>
      </c>
      <c r="G267" s="506">
        <v>1</v>
      </c>
      <c r="H267" s="462">
        <f>G267*3</f>
        <v>3</v>
      </c>
      <c r="I267" s="471">
        <v>0</v>
      </c>
      <c r="J267" s="472">
        <f t="shared" si="22"/>
        <v>718000</v>
      </c>
      <c r="K267" s="463">
        <f t="shared" si="23"/>
        <v>2154000</v>
      </c>
      <c r="M267" s="562">
        <v>650000</v>
      </c>
      <c r="O267" s="540" t="s">
        <v>293</v>
      </c>
      <c r="P267" s="569">
        <f t="shared" si="20"/>
        <v>10.461538461538467</v>
      </c>
    </row>
    <row r="268" spans="1:16" ht="33" x14ac:dyDescent="0.3">
      <c r="A268" s="503">
        <v>75</v>
      </c>
      <c r="B268" s="473" t="s">
        <v>15</v>
      </c>
      <c r="C268" s="473" t="s">
        <v>249</v>
      </c>
      <c r="D268" s="474" t="s">
        <v>160</v>
      </c>
      <c r="E268" s="475" t="s">
        <v>25</v>
      </c>
      <c r="F268" s="516">
        <v>718000</v>
      </c>
      <c r="G268" s="506">
        <v>1</v>
      </c>
      <c r="H268" s="462">
        <f>G268*6</f>
        <v>6</v>
      </c>
      <c r="I268" s="471">
        <v>0</v>
      </c>
      <c r="J268" s="472">
        <f t="shared" si="22"/>
        <v>718000</v>
      </c>
      <c r="K268" s="463">
        <f t="shared" si="23"/>
        <v>4308000</v>
      </c>
      <c r="M268" s="562">
        <v>650000</v>
      </c>
      <c r="O268" s="540" t="s">
        <v>293</v>
      </c>
      <c r="P268" s="569">
        <f t="shared" si="20"/>
        <v>10.461538461538467</v>
      </c>
    </row>
    <row r="269" spans="1:16" ht="33" x14ac:dyDescent="0.3">
      <c r="A269" s="503">
        <v>199</v>
      </c>
      <c r="B269" s="473" t="s">
        <v>15</v>
      </c>
      <c r="C269" s="473" t="s">
        <v>249</v>
      </c>
      <c r="D269" s="474" t="s">
        <v>160</v>
      </c>
      <c r="E269" s="475" t="s">
        <v>25</v>
      </c>
      <c r="F269" s="516">
        <v>718000</v>
      </c>
      <c r="G269" s="506">
        <v>1</v>
      </c>
      <c r="H269" s="462">
        <f>G269*7</f>
        <v>7</v>
      </c>
      <c r="I269" s="471">
        <v>0</v>
      </c>
      <c r="J269" s="472">
        <f t="shared" si="22"/>
        <v>718000</v>
      </c>
      <c r="K269" s="463">
        <f t="shared" si="23"/>
        <v>5026000</v>
      </c>
      <c r="M269" s="562">
        <v>650000</v>
      </c>
      <c r="O269" s="540" t="s">
        <v>293</v>
      </c>
      <c r="P269" s="569">
        <f t="shared" si="20"/>
        <v>10.461538461538467</v>
      </c>
    </row>
    <row r="270" spans="1:16" ht="33" x14ac:dyDescent="0.3">
      <c r="A270" s="503">
        <v>137</v>
      </c>
      <c r="B270" s="473" t="s">
        <v>15</v>
      </c>
      <c r="C270" s="473" t="s">
        <v>249</v>
      </c>
      <c r="D270" s="476" t="s">
        <v>105</v>
      </c>
      <c r="E270" s="475" t="s">
        <v>25</v>
      </c>
      <c r="F270" s="516">
        <v>1105000</v>
      </c>
      <c r="G270" s="506">
        <v>1</v>
      </c>
      <c r="H270" s="462">
        <f>G270*5</f>
        <v>5</v>
      </c>
      <c r="I270" s="471">
        <v>0</v>
      </c>
      <c r="J270" s="472">
        <f t="shared" si="22"/>
        <v>1105000</v>
      </c>
      <c r="K270" s="463">
        <f t="shared" si="23"/>
        <v>5525000</v>
      </c>
      <c r="M270" s="563">
        <f>844500*1.19</f>
        <v>1004955</v>
      </c>
      <c r="N270" s="539"/>
      <c r="O270" s="540" t="s">
        <v>294</v>
      </c>
      <c r="P270" s="569">
        <f t="shared" si="20"/>
        <v>9.9551721221348259</v>
      </c>
    </row>
    <row r="271" spans="1:16" ht="33" x14ac:dyDescent="0.3">
      <c r="A271" s="503">
        <v>387</v>
      </c>
      <c r="B271" s="473" t="s">
        <v>15</v>
      </c>
      <c r="C271" s="473" t="s">
        <v>249</v>
      </c>
      <c r="D271" s="476" t="s">
        <v>105</v>
      </c>
      <c r="E271" s="475" t="s">
        <v>25</v>
      </c>
      <c r="F271" s="516">
        <v>1105000</v>
      </c>
      <c r="G271" s="506">
        <v>1</v>
      </c>
      <c r="H271" s="462">
        <f>G271*6</f>
        <v>6</v>
      </c>
      <c r="I271" s="471">
        <v>0</v>
      </c>
      <c r="J271" s="472">
        <f t="shared" si="22"/>
        <v>1105000</v>
      </c>
      <c r="K271" s="463">
        <f t="shared" si="23"/>
        <v>6630000</v>
      </c>
      <c r="M271" s="563">
        <f>844500*1.19</f>
        <v>1004955</v>
      </c>
      <c r="N271" s="539"/>
      <c r="O271" s="540" t="s">
        <v>294</v>
      </c>
      <c r="P271" s="569">
        <f t="shared" si="20"/>
        <v>9.9551721221348259</v>
      </c>
    </row>
    <row r="272" spans="1:16" ht="33" x14ac:dyDescent="0.3">
      <c r="A272" s="503">
        <v>322</v>
      </c>
      <c r="B272" s="473" t="s">
        <v>15</v>
      </c>
      <c r="C272" s="473" t="s">
        <v>249</v>
      </c>
      <c r="D272" s="476" t="s">
        <v>105</v>
      </c>
      <c r="E272" s="475" t="s">
        <v>25</v>
      </c>
      <c r="F272" s="516">
        <v>1105000</v>
      </c>
      <c r="G272" s="506">
        <v>1</v>
      </c>
      <c r="H272" s="462">
        <f>G272*4</f>
        <v>4</v>
      </c>
      <c r="I272" s="471">
        <v>0</v>
      </c>
      <c r="J272" s="472">
        <f t="shared" si="22"/>
        <v>1105000</v>
      </c>
      <c r="K272" s="463">
        <f t="shared" si="23"/>
        <v>4420000</v>
      </c>
      <c r="M272" s="563">
        <f>844500*1.19</f>
        <v>1004955</v>
      </c>
      <c r="N272" s="539"/>
      <c r="O272" s="540" t="s">
        <v>294</v>
      </c>
      <c r="P272" s="569">
        <f t="shared" si="20"/>
        <v>9.9551721221348259</v>
      </c>
    </row>
    <row r="273" spans="1:17" x14ac:dyDescent="0.3">
      <c r="A273" s="503">
        <v>470</v>
      </c>
      <c r="B273" s="473" t="s">
        <v>15</v>
      </c>
      <c r="C273" s="473" t="s">
        <v>249</v>
      </c>
      <c r="D273" s="476" t="s">
        <v>233</v>
      </c>
      <c r="E273" s="475" t="s">
        <v>25</v>
      </c>
      <c r="F273" s="519">
        <v>2930000</v>
      </c>
      <c r="G273" s="508">
        <v>1</v>
      </c>
      <c r="H273" s="462">
        <f>G273*1</f>
        <v>1</v>
      </c>
      <c r="I273" s="471">
        <v>0</v>
      </c>
      <c r="J273" s="472">
        <f t="shared" si="22"/>
        <v>2930000</v>
      </c>
      <c r="K273" s="463">
        <f t="shared" si="23"/>
        <v>2930000</v>
      </c>
      <c r="M273" s="563">
        <f>2243300*1.19</f>
        <v>2669527</v>
      </c>
      <c r="N273" s="539"/>
      <c r="O273" s="540" t="s">
        <v>295</v>
      </c>
      <c r="P273" s="569">
        <f t="shared" si="20"/>
        <v>9.7572716065430285</v>
      </c>
    </row>
    <row r="274" spans="1:17" ht="33" x14ac:dyDescent="0.3">
      <c r="A274" s="503">
        <v>261</v>
      </c>
      <c r="B274" s="473" t="s">
        <v>15</v>
      </c>
      <c r="C274" s="473" t="s">
        <v>249</v>
      </c>
      <c r="D274" s="476" t="s">
        <v>208</v>
      </c>
      <c r="E274" s="475" t="s">
        <v>25</v>
      </c>
      <c r="F274" s="516">
        <v>1551000</v>
      </c>
      <c r="G274" s="506">
        <v>1</v>
      </c>
      <c r="H274" s="462">
        <f>G274*1</f>
        <v>1</v>
      </c>
      <c r="I274" s="471">
        <v>0</v>
      </c>
      <c r="J274" s="472">
        <f t="shared" si="22"/>
        <v>1551000</v>
      </c>
      <c r="K274" s="463">
        <f t="shared" si="23"/>
        <v>1551000</v>
      </c>
      <c r="M274" s="563">
        <f>1185300*1.19</f>
        <v>1410507</v>
      </c>
      <c r="N274" s="539"/>
      <c r="O274" s="540" t="s">
        <v>296</v>
      </c>
      <c r="P274" s="569">
        <f t="shared" si="20"/>
        <v>9.9604610257162847</v>
      </c>
    </row>
    <row r="275" spans="1:17" x14ac:dyDescent="0.3">
      <c r="A275" s="503">
        <v>139</v>
      </c>
      <c r="B275" s="473" t="s">
        <v>15</v>
      </c>
      <c r="C275" s="473" t="s">
        <v>249</v>
      </c>
      <c r="D275" s="489" t="s">
        <v>104</v>
      </c>
      <c r="E275" s="480" t="s">
        <v>25</v>
      </c>
      <c r="F275" s="516">
        <v>271000</v>
      </c>
      <c r="G275" s="506">
        <v>1</v>
      </c>
      <c r="H275" s="462">
        <f>G275*5</f>
        <v>5</v>
      </c>
      <c r="I275" s="471">
        <v>0</v>
      </c>
      <c r="J275" s="472">
        <f t="shared" si="22"/>
        <v>271000</v>
      </c>
      <c r="K275" s="463">
        <f t="shared" si="23"/>
        <v>1355000</v>
      </c>
      <c r="M275" s="563">
        <v>246211</v>
      </c>
      <c r="N275" s="539"/>
      <c r="O275" s="540" t="s">
        <v>297</v>
      </c>
      <c r="P275" s="569">
        <f t="shared" si="20"/>
        <v>10.068193541312127</v>
      </c>
    </row>
    <row r="276" spans="1:17" x14ac:dyDescent="0.3">
      <c r="A276" s="503">
        <v>262</v>
      </c>
      <c r="B276" s="473" t="s">
        <v>15</v>
      </c>
      <c r="C276" s="473" t="s">
        <v>249</v>
      </c>
      <c r="D276" s="489" t="s">
        <v>104</v>
      </c>
      <c r="E276" s="480" t="s">
        <v>25</v>
      </c>
      <c r="F276" s="516">
        <v>271000</v>
      </c>
      <c r="G276" s="506">
        <v>2</v>
      </c>
      <c r="H276" s="462">
        <f>G276*1</f>
        <v>2</v>
      </c>
      <c r="I276" s="471">
        <v>0</v>
      </c>
      <c r="J276" s="472">
        <f t="shared" si="22"/>
        <v>542000</v>
      </c>
      <c r="K276" s="463">
        <f t="shared" si="23"/>
        <v>542000</v>
      </c>
      <c r="M276" s="563">
        <v>246211</v>
      </c>
      <c r="N276" s="539"/>
      <c r="O276" s="540" t="s">
        <v>297</v>
      </c>
      <c r="P276" s="569">
        <f t="shared" si="20"/>
        <v>10.068193541312127</v>
      </c>
    </row>
    <row r="277" spans="1:17" x14ac:dyDescent="0.3">
      <c r="A277" s="503">
        <v>324</v>
      </c>
      <c r="B277" s="473" t="s">
        <v>15</v>
      </c>
      <c r="C277" s="473" t="s">
        <v>249</v>
      </c>
      <c r="D277" s="489" t="s">
        <v>104</v>
      </c>
      <c r="E277" s="480" t="s">
        <v>25</v>
      </c>
      <c r="F277" s="516">
        <v>271000</v>
      </c>
      <c r="G277" s="506">
        <v>1</v>
      </c>
      <c r="H277" s="462">
        <f>G277*4</f>
        <v>4</v>
      </c>
      <c r="I277" s="471">
        <v>0</v>
      </c>
      <c r="J277" s="472">
        <f t="shared" si="22"/>
        <v>271000</v>
      </c>
      <c r="K277" s="463">
        <f t="shared" si="23"/>
        <v>1084000</v>
      </c>
      <c r="M277" s="563">
        <v>246211</v>
      </c>
      <c r="N277" s="539"/>
      <c r="O277" s="540" t="s">
        <v>297</v>
      </c>
      <c r="P277" s="569">
        <f t="shared" si="20"/>
        <v>10.068193541312127</v>
      </c>
    </row>
    <row r="278" spans="1:17" x14ac:dyDescent="0.3">
      <c r="A278" s="503">
        <v>389</v>
      </c>
      <c r="B278" s="473" t="s">
        <v>15</v>
      </c>
      <c r="C278" s="473" t="s">
        <v>249</v>
      </c>
      <c r="D278" s="489" t="s">
        <v>104</v>
      </c>
      <c r="E278" s="480" t="s">
        <v>25</v>
      </c>
      <c r="F278" s="516">
        <v>271000</v>
      </c>
      <c r="G278" s="506">
        <v>1</v>
      </c>
      <c r="H278" s="462">
        <f>G278*6</f>
        <v>6</v>
      </c>
      <c r="I278" s="471">
        <v>0</v>
      </c>
      <c r="J278" s="472">
        <f t="shared" si="22"/>
        <v>271000</v>
      </c>
      <c r="K278" s="463">
        <f t="shared" si="23"/>
        <v>1626000</v>
      </c>
      <c r="M278" s="563">
        <v>246211</v>
      </c>
      <c r="N278" s="539"/>
      <c r="O278" s="540" t="s">
        <v>297</v>
      </c>
      <c r="P278" s="569">
        <f t="shared" si="20"/>
        <v>10.068193541312127</v>
      </c>
    </row>
    <row r="279" spans="1:17" x14ac:dyDescent="0.3">
      <c r="A279" s="503">
        <v>455</v>
      </c>
      <c r="B279" s="473" t="s">
        <v>15</v>
      </c>
      <c r="C279" s="473" t="s">
        <v>249</v>
      </c>
      <c r="D279" s="489" t="s">
        <v>104</v>
      </c>
      <c r="E279" s="480" t="s">
        <v>25</v>
      </c>
      <c r="F279" s="516">
        <v>271000</v>
      </c>
      <c r="G279" s="508">
        <v>2</v>
      </c>
      <c r="H279" s="462">
        <f>G279*1</f>
        <v>2</v>
      </c>
      <c r="I279" s="471">
        <v>0</v>
      </c>
      <c r="J279" s="472">
        <f t="shared" si="22"/>
        <v>542000</v>
      </c>
      <c r="K279" s="463">
        <f t="shared" si="23"/>
        <v>542000</v>
      </c>
      <c r="M279" s="563">
        <v>246211</v>
      </c>
      <c r="N279" s="539"/>
      <c r="O279" s="540" t="s">
        <v>297</v>
      </c>
      <c r="P279" s="569">
        <f t="shared" si="20"/>
        <v>10.068193541312127</v>
      </c>
    </row>
    <row r="280" spans="1:17" x14ac:dyDescent="0.3">
      <c r="A280" s="503">
        <v>531</v>
      </c>
      <c r="B280" s="473" t="s">
        <v>15</v>
      </c>
      <c r="C280" s="473" t="s">
        <v>249</v>
      </c>
      <c r="D280" s="489" t="s">
        <v>104</v>
      </c>
      <c r="E280" s="480" t="s">
        <v>25</v>
      </c>
      <c r="F280" s="516">
        <v>271000</v>
      </c>
      <c r="G280" s="506">
        <v>1</v>
      </c>
      <c r="H280" s="462">
        <f>G280*3</f>
        <v>3</v>
      </c>
      <c r="I280" s="471">
        <v>0</v>
      </c>
      <c r="J280" s="472">
        <f t="shared" si="22"/>
        <v>271000</v>
      </c>
      <c r="K280" s="463">
        <f t="shared" si="23"/>
        <v>813000</v>
      </c>
      <c r="M280" s="563">
        <v>246211</v>
      </c>
      <c r="N280" s="539"/>
      <c r="O280" s="540" t="s">
        <v>297</v>
      </c>
      <c r="P280" s="569">
        <f t="shared" si="20"/>
        <v>10.068193541312127</v>
      </c>
    </row>
    <row r="281" spans="1:17" x14ac:dyDescent="0.3">
      <c r="A281" s="503">
        <v>463</v>
      </c>
      <c r="B281" s="473" t="s">
        <v>15</v>
      </c>
      <c r="C281" s="473" t="s">
        <v>249</v>
      </c>
      <c r="D281" s="476" t="s">
        <v>186</v>
      </c>
      <c r="E281" s="475" t="s">
        <v>25</v>
      </c>
      <c r="F281" s="518">
        <v>58900</v>
      </c>
      <c r="G281" s="508">
        <v>1</v>
      </c>
      <c r="H281" s="462">
        <f>G281*1</f>
        <v>1</v>
      </c>
      <c r="I281" s="471">
        <v>0</v>
      </c>
      <c r="J281" s="472">
        <f t="shared" si="22"/>
        <v>58900</v>
      </c>
      <c r="K281" s="463">
        <f t="shared" si="23"/>
        <v>58900</v>
      </c>
      <c r="M281" s="562">
        <v>54264</v>
      </c>
      <c r="O281" s="540" t="s">
        <v>299</v>
      </c>
      <c r="P281" s="569">
        <f t="shared" si="20"/>
        <v>8.5434173669467839</v>
      </c>
    </row>
    <row r="282" spans="1:17" x14ac:dyDescent="0.3">
      <c r="A282" s="503">
        <v>20</v>
      </c>
      <c r="B282" s="473" t="s">
        <v>15</v>
      </c>
      <c r="C282" s="473" t="s">
        <v>249</v>
      </c>
      <c r="D282" s="474" t="s">
        <v>159</v>
      </c>
      <c r="E282" s="475" t="s">
        <v>25</v>
      </c>
      <c r="F282" s="516">
        <v>114000</v>
      </c>
      <c r="G282" s="506">
        <v>1</v>
      </c>
      <c r="H282" s="462">
        <f>G282*3</f>
        <v>3</v>
      </c>
      <c r="I282" s="471">
        <v>0</v>
      </c>
      <c r="J282" s="472">
        <f t="shared" si="22"/>
        <v>114000</v>
      </c>
      <c r="K282" s="463">
        <f t="shared" si="23"/>
        <v>342000</v>
      </c>
      <c r="M282" s="563">
        <v>103768</v>
      </c>
      <c r="N282" s="539"/>
      <c r="O282" s="540" t="s">
        <v>298</v>
      </c>
      <c r="P282" s="569">
        <f t="shared" si="20"/>
        <v>9.860457944645745</v>
      </c>
    </row>
    <row r="283" spans="1:17" x14ac:dyDescent="0.3">
      <c r="A283" s="503">
        <v>78</v>
      </c>
      <c r="B283" s="473" t="s">
        <v>15</v>
      </c>
      <c r="C283" s="473" t="s">
        <v>249</v>
      </c>
      <c r="D283" s="474" t="s">
        <v>159</v>
      </c>
      <c r="E283" s="475" t="s">
        <v>25</v>
      </c>
      <c r="F283" s="516">
        <v>114000</v>
      </c>
      <c r="G283" s="506">
        <v>1</v>
      </c>
      <c r="H283" s="462">
        <f>G283*6</f>
        <v>6</v>
      </c>
      <c r="I283" s="471">
        <v>0</v>
      </c>
      <c r="J283" s="472">
        <f t="shared" si="22"/>
        <v>114000</v>
      </c>
      <c r="K283" s="463">
        <f t="shared" si="23"/>
        <v>684000</v>
      </c>
      <c r="M283" s="563">
        <v>103768</v>
      </c>
      <c r="N283" s="539"/>
      <c r="O283" s="540" t="s">
        <v>298</v>
      </c>
      <c r="P283" s="569">
        <f t="shared" si="20"/>
        <v>9.860457944645745</v>
      </c>
    </row>
    <row r="284" spans="1:17" x14ac:dyDescent="0.3">
      <c r="A284" s="503">
        <v>202</v>
      </c>
      <c r="B284" s="473" t="s">
        <v>15</v>
      </c>
      <c r="C284" s="473" t="s">
        <v>249</v>
      </c>
      <c r="D284" s="474" t="s">
        <v>159</v>
      </c>
      <c r="E284" s="475" t="s">
        <v>25</v>
      </c>
      <c r="F284" s="516">
        <v>114000</v>
      </c>
      <c r="G284" s="506">
        <v>1</v>
      </c>
      <c r="H284" s="462">
        <f>G284*7</f>
        <v>7</v>
      </c>
      <c r="I284" s="471">
        <v>0</v>
      </c>
      <c r="J284" s="472">
        <f t="shared" si="22"/>
        <v>114000</v>
      </c>
      <c r="K284" s="463">
        <f t="shared" si="23"/>
        <v>798000</v>
      </c>
      <c r="M284" s="563">
        <v>103768</v>
      </c>
      <c r="N284" s="539"/>
      <c r="O284" s="540" t="s">
        <v>298</v>
      </c>
      <c r="P284" s="569">
        <f t="shared" si="20"/>
        <v>9.860457944645745</v>
      </c>
    </row>
    <row r="285" spans="1:17" s="464" customFormat="1" x14ac:dyDescent="0.3">
      <c r="A285" s="503">
        <v>456</v>
      </c>
      <c r="B285" s="473" t="s">
        <v>15</v>
      </c>
      <c r="C285" s="473" t="s">
        <v>249</v>
      </c>
      <c r="D285" s="474" t="s">
        <v>159</v>
      </c>
      <c r="E285" s="475" t="s">
        <v>25</v>
      </c>
      <c r="F285" s="516">
        <v>114000</v>
      </c>
      <c r="G285" s="506">
        <v>1</v>
      </c>
      <c r="H285" s="462">
        <f>G285*1</f>
        <v>1</v>
      </c>
      <c r="I285" s="471">
        <v>0</v>
      </c>
      <c r="J285" s="472">
        <f t="shared" si="22"/>
        <v>114000</v>
      </c>
      <c r="K285" s="463">
        <f t="shared" si="23"/>
        <v>114000</v>
      </c>
      <c r="L285" s="468"/>
      <c r="M285" s="563">
        <v>103768</v>
      </c>
      <c r="N285" s="539"/>
      <c r="O285" s="540" t="s">
        <v>298</v>
      </c>
      <c r="P285" s="569">
        <f t="shared" si="20"/>
        <v>9.860457944645745</v>
      </c>
      <c r="Q285" s="468"/>
    </row>
    <row r="286" spans="1:17" x14ac:dyDescent="0.3">
      <c r="A286" s="503">
        <v>473</v>
      </c>
      <c r="B286" s="473" t="s">
        <v>15</v>
      </c>
      <c r="C286" s="473" t="s">
        <v>249</v>
      </c>
      <c r="D286" s="476" t="s">
        <v>97</v>
      </c>
      <c r="E286" s="478" t="s">
        <v>96</v>
      </c>
      <c r="F286" s="518">
        <v>26200</v>
      </c>
      <c r="G286" s="508">
        <v>3</v>
      </c>
      <c r="H286" s="462">
        <f>G286*1</f>
        <v>3</v>
      </c>
      <c r="I286" s="471">
        <v>0</v>
      </c>
      <c r="J286" s="472">
        <f t="shared" si="22"/>
        <v>78600</v>
      </c>
      <c r="K286" s="463">
        <f t="shared" si="23"/>
        <v>78600</v>
      </c>
      <c r="M286" s="563">
        <f>35350/2.4</f>
        <v>14729.166666666668</v>
      </c>
      <c r="N286" s="539"/>
      <c r="O286" s="540" t="s">
        <v>300</v>
      </c>
      <c r="P286" s="569">
        <f t="shared" si="20"/>
        <v>77.878359264497874</v>
      </c>
    </row>
    <row r="287" spans="1:17" x14ac:dyDescent="0.3">
      <c r="A287" s="503">
        <v>19</v>
      </c>
      <c r="B287" s="473" t="s">
        <v>15</v>
      </c>
      <c r="C287" s="473" t="s">
        <v>249</v>
      </c>
      <c r="D287" s="476" t="s">
        <v>175</v>
      </c>
      <c r="E287" s="478" t="s">
        <v>96</v>
      </c>
      <c r="F287" s="527">
        <v>23880</v>
      </c>
      <c r="G287" s="506">
        <v>0.5</v>
      </c>
      <c r="H287" s="462">
        <f>G287*3</f>
        <v>1.5</v>
      </c>
      <c r="I287" s="471">
        <v>0</v>
      </c>
      <c r="J287" s="472">
        <f t="shared" si="22"/>
        <v>11940</v>
      </c>
      <c r="K287" s="463">
        <f t="shared" si="23"/>
        <v>35820</v>
      </c>
      <c r="M287" s="562">
        <v>19900</v>
      </c>
      <c r="O287" s="540" t="s">
        <v>280</v>
      </c>
      <c r="P287" s="569">
        <f t="shared" si="20"/>
        <v>20</v>
      </c>
    </row>
    <row r="288" spans="1:17" x14ac:dyDescent="0.3">
      <c r="A288" s="503">
        <v>77</v>
      </c>
      <c r="B288" s="473" t="s">
        <v>15</v>
      </c>
      <c r="C288" s="473" t="s">
        <v>249</v>
      </c>
      <c r="D288" s="476" t="s">
        <v>175</v>
      </c>
      <c r="E288" s="478" t="s">
        <v>96</v>
      </c>
      <c r="F288" s="527">
        <v>23880</v>
      </c>
      <c r="G288" s="506">
        <v>0.5</v>
      </c>
      <c r="H288" s="462">
        <f>G288*6</f>
        <v>3</v>
      </c>
      <c r="I288" s="471">
        <v>0</v>
      </c>
      <c r="J288" s="472">
        <f t="shared" si="22"/>
        <v>11940</v>
      </c>
      <c r="K288" s="463">
        <f t="shared" si="23"/>
        <v>71640</v>
      </c>
      <c r="M288" s="562">
        <v>19900</v>
      </c>
      <c r="O288" s="540" t="s">
        <v>280</v>
      </c>
      <c r="P288" s="569">
        <f t="shared" si="20"/>
        <v>20</v>
      </c>
    </row>
    <row r="289" spans="1:17" x14ac:dyDescent="0.3">
      <c r="A289" s="503">
        <v>158</v>
      </c>
      <c r="B289" s="473" t="s">
        <v>15</v>
      </c>
      <c r="C289" s="473" t="s">
        <v>249</v>
      </c>
      <c r="D289" s="476" t="s">
        <v>175</v>
      </c>
      <c r="E289" s="478" t="s">
        <v>96</v>
      </c>
      <c r="F289" s="527">
        <v>23880</v>
      </c>
      <c r="G289" s="506">
        <v>0.5</v>
      </c>
      <c r="H289" s="462">
        <f>G289*5</f>
        <v>2.5</v>
      </c>
      <c r="I289" s="471">
        <v>0</v>
      </c>
      <c r="J289" s="472">
        <f t="shared" si="22"/>
        <v>11940</v>
      </c>
      <c r="K289" s="463">
        <f t="shared" si="23"/>
        <v>59700</v>
      </c>
      <c r="M289" s="562">
        <v>19900</v>
      </c>
      <c r="O289" s="540" t="s">
        <v>280</v>
      </c>
      <c r="P289" s="569">
        <f t="shared" si="20"/>
        <v>20</v>
      </c>
    </row>
    <row r="290" spans="1:17" x14ac:dyDescent="0.3">
      <c r="A290" s="503">
        <v>201</v>
      </c>
      <c r="B290" s="473" t="s">
        <v>15</v>
      </c>
      <c r="C290" s="473" t="s">
        <v>249</v>
      </c>
      <c r="D290" s="476" t="s">
        <v>175</v>
      </c>
      <c r="E290" s="478" t="s">
        <v>96</v>
      </c>
      <c r="F290" s="527">
        <v>23880</v>
      </c>
      <c r="G290" s="506">
        <v>0.5</v>
      </c>
      <c r="H290" s="462">
        <f>G290*7</f>
        <v>3.5</v>
      </c>
      <c r="I290" s="471">
        <v>0</v>
      </c>
      <c r="J290" s="472">
        <f t="shared" si="22"/>
        <v>11940</v>
      </c>
      <c r="K290" s="463">
        <f t="shared" si="23"/>
        <v>83580</v>
      </c>
      <c r="M290" s="562">
        <v>19900</v>
      </c>
      <c r="O290" s="540" t="s">
        <v>280</v>
      </c>
      <c r="P290" s="569">
        <f t="shared" si="20"/>
        <v>20</v>
      </c>
    </row>
    <row r="291" spans="1:17" x14ac:dyDescent="0.3">
      <c r="A291" s="503">
        <v>259</v>
      </c>
      <c r="B291" s="473" t="s">
        <v>15</v>
      </c>
      <c r="C291" s="473" t="s">
        <v>249</v>
      </c>
      <c r="D291" s="476" t="s">
        <v>175</v>
      </c>
      <c r="E291" s="478" t="s">
        <v>96</v>
      </c>
      <c r="F291" s="527">
        <v>23880</v>
      </c>
      <c r="G291" s="506">
        <v>0.5</v>
      </c>
      <c r="H291" s="462">
        <f>G291*1</f>
        <v>0.5</v>
      </c>
      <c r="I291" s="471">
        <v>0</v>
      </c>
      <c r="J291" s="472">
        <f t="shared" si="22"/>
        <v>11940</v>
      </c>
      <c r="K291" s="463">
        <f t="shared" si="23"/>
        <v>11940</v>
      </c>
      <c r="M291" s="562">
        <v>19900</v>
      </c>
      <c r="O291" s="540" t="s">
        <v>280</v>
      </c>
      <c r="P291" s="569">
        <f t="shared" si="20"/>
        <v>20</v>
      </c>
      <c r="Q291" s="464"/>
    </row>
    <row r="292" spans="1:17" x14ac:dyDescent="0.3">
      <c r="A292" s="503">
        <v>343</v>
      </c>
      <c r="B292" s="473" t="s">
        <v>15</v>
      </c>
      <c r="C292" s="473" t="s">
        <v>249</v>
      </c>
      <c r="D292" s="476" t="s">
        <v>175</v>
      </c>
      <c r="E292" s="478" t="s">
        <v>96</v>
      </c>
      <c r="F292" s="527">
        <v>23880</v>
      </c>
      <c r="G292" s="506">
        <v>0.5</v>
      </c>
      <c r="H292" s="462">
        <f>G292*4</f>
        <v>2</v>
      </c>
      <c r="I292" s="471">
        <v>0</v>
      </c>
      <c r="J292" s="472">
        <f t="shared" si="22"/>
        <v>11940</v>
      </c>
      <c r="K292" s="463">
        <f t="shared" si="23"/>
        <v>47760</v>
      </c>
      <c r="M292" s="562">
        <v>19900</v>
      </c>
      <c r="O292" s="540" t="s">
        <v>280</v>
      </c>
      <c r="P292" s="569">
        <f t="shared" si="20"/>
        <v>20</v>
      </c>
    </row>
    <row r="293" spans="1:17" x14ac:dyDescent="0.3">
      <c r="A293" s="503">
        <v>394</v>
      </c>
      <c r="B293" s="473" t="s">
        <v>15</v>
      </c>
      <c r="C293" s="473" t="s">
        <v>249</v>
      </c>
      <c r="D293" s="476" t="s">
        <v>175</v>
      </c>
      <c r="E293" s="478" t="s">
        <v>96</v>
      </c>
      <c r="F293" s="527">
        <v>23880</v>
      </c>
      <c r="G293" s="506">
        <v>0.5</v>
      </c>
      <c r="H293" s="462">
        <f>G293*6</f>
        <v>3</v>
      </c>
      <c r="I293" s="471">
        <v>0</v>
      </c>
      <c r="J293" s="472">
        <f t="shared" si="22"/>
        <v>11940</v>
      </c>
      <c r="K293" s="463">
        <f t="shared" si="23"/>
        <v>71640</v>
      </c>
      <c r="M293" s="562">
        <v>19900</v>
      </c>
      <c r="O293" s="540" t="s">
        <v>280</v>
      </c>
      <c r="P293" s="569">
        <f t="shared" si="20"/>
        <v>20</v>
      </c>
    </row>
    <row r="294" spans="1:17" x14ac:dyDescent="0.3">
      <c r="A294" s="503">
        <v>474</v>
      </c>
      <c r="B294" s="473" t="s">
        <v>15</v>
      </c>
      <c r="C294" s="473" t="s">
        <v>249</v>
      </c>
      <c r="D294" s="476" t="s">
        <v>175</v>
      </c>
      <c r="E294" s="478" t="s">
        <v>96</v>
      </c>
      <c r="F294" s="527">
        <v>23880</v>
      </c>
      <c r="G294" s="508">
        <v>1</v>
      </c>
      <c r="H294" s="462">
        <f>G294*1</f>
        <v>1</v>
      </c>
      <c r="I294" s="471">
        <v>0</v>
      </c>
      <c r="J294" s="472">
        <f t="shared" si="22"/>
        <v>23880</v>
      </c>
      <c r="K294" s="463">
        <f t="shared" si="23"/>
        <v>23880</v>
      </c>
      <c r="M294" s="562">
        <v>19900</v>
      </c>
      <c r="O294" s="540" t="s">
        <v>280</v>
      </c>
      <c r="P294" s="569">
        <f t="shared" si="20"/>
        <v>20</v>
      </c>
    </row>
    <row r="295" spans="1:17" x14ac:dyDescent="0.3">
      <c r="A295" s="503">
        <v>522</v>
      </c>
      <c r="B295" s="473" t="s">
        <v>15</v>
      </c>
      <c r="C295" s="473" t="s">
        <v>249</v>
      </c>
      <c r="D295" s="476" t="s">
        <v>175</v>
      </c>
      <c r="E295" s="478" t="s">
        <v>96</v>
      </c>
      <c r="F295" s="527">
        <v>23880</v>
      </c>
      <c r="G295" s="506">
        <v>0.5</v>
      </c>
      <c r="H295" s="462">
        <f>G295*3</f>
        <v>1.5</v>
      </c>
      <c r="I295" s="471">
        <v>0</v>
      </c>
      <c r="J295" s="472">
        <f t="shared" si="22"/>
        <v>11940</v>
      </c>
      <c r="K295" s="463">
        <f t="shared" si="23"/>
        <v>35820</v>
      </c>
      <c r="M295" s="562">
        <v>19900</v>
      </c>
      <c r="O295" s="540" t="s">
        <v>280</v>
      </c>
      <c r="P295" s="569">
        <f t="shared" si="20"/>
        <v>20</v>
      </c>
    </row>
    <row r="296" spans="1:17" x14ac:dyDescent="0.3">
      <c r="A296" s="503">
        <v>33</v>
      </c>
      <c r="B296" s="473" t="s">
        <v>15</v>
      </c>
      <c r="C296" s="513" t="s">
        <v>272</v>
      </c>
      <c r="D296" s="482" t="s">
        <v>226</v>
      </c>
      <c r="E296" s="475" t="s">
        <v>25</v>
      </c>
      <c r="F296" s="516">
        <v>16010.800000000001</v>
      </c>
      <c r="G296" s="506">
        <v>1</v>
      </c>
      <c r="H296" s="462">
        <f>G296*3</f>
        <v>3</v>
      </c>
      <c r="I296" s="471">
        <v>0</v>
      </c>
      <c r="J296" s="472">
        <f t="shared" si="22"/>
        <v>16010.800000000001</v>
      </c>
      <c r="K296" s="463">
        <f t="shared" si="23"/>
        <v>48032.4</v>
      </c>
      <c r="M296" s="563">
        <v>20839</v>
      </c>
      <c r="N296" s="539"/>
      <c r="O296" s="540" t="s">
        <v>301</v>
      </c>
      <c r="P296" s="569">
        <f t="shared" si="20"/>
        <v>-23.169058016219594</v>
      </c>
    </row>
    <row r="297" spans="1:17" x14ac:dyDescent="0.3">
      <c r="A297" s="503">
        <v>91</v>
      </c>
      <c r="B297" s="473" t="s">
        <v>15</v>
      </c>
      <c r="C297" s="513" t="s">
        <v>272</v>
      </c>
      <c r="D297" s="482" t="s">
        <v>226</v>
      </c>
      <c r="E297" s="475" t="s">
        <v>25</v>
      </c>
      <c r="F297" s="516">
        <v>16010.800000000001</v>
      </c>
      <c r="G297" s="506">
        <v>1</v>
      </c>
      <c r="H297" s="462">
        <f>G297*6</f>
        <v>6</v>
      </c>
      <c r="I297" s="471">
        <v>0</v>
      </c>
      <c r="J297" s="472">
        <f t="shared" si="22"/>
        <v>16010.800000000001</v>
      </c>
      <c r="K297" s="463">
        <f t="shared" si="23"/>
        <v>96064.8</v>
      </c>
      <c r="M297" s="563">
        <v>20839</v>
      </c>
      <c r="N297" s="539"/>
      <c r="O297" s="540" t="s">
        <v>301</v>
      </c>
      <c r="P297" s="569">
        <f t="shared" si="20"/>
        <v>-23.169058016219594</v>
      </c>
    </row>
    <row r="298" spans="1:17" x14ac:dyDescent="0.3">
      <c r="A298" s="503">
        <v>152</v>
      </c>
      <c r="B298" s="473" t="s">
        <v>15</v>
      </c>
      <c r="C298" s="513" t="s">
        <v>272</v>
      </c>
      <c r="D298" s="482" t="s">
        <v>226</v>
      </c>
      <c r="E298" s="475" t="s">
        <v>25</v>
      </c>
      <c r="F298" s="516">
        <v>16010.800000000001</v>
      </c>
      <c r="G298" s="506">
        <v>1</v>
      </c>
      <c r="H298" s="462">
        <f>G298*5</f>
        <v>5</v>
      </c>
      <c r="I298" s="471">
        <v>0</v>
      </c>
      <c r="J298" s="472">
        <f t="shared" si="22"/>
        <v>16010.800000000001</v>
      </c>
      <c r="K298" s="463">
        <f t="shared" si="23"/>
        <v>80054</v>
      </c>
      <c r="M298" s="563">
        <v>20839</v>
      </c>
      <c r="N298" s="539"/>
      <c r="O298" s="540" t="s">
        <v>301</v>
      </c>
      <c r="P298" s="569">
        <f t="shared" si="20"/>
        <v>-23.169058016219594</v>
      </c>
    </row>
    <row r="299" spans="1:17" x14ac:dyDescent="0.3">
      <c r="A299" s="503">
        <v>209</v>
      </c>
      <c r="B299" s="473" t="s">
        <v>15</v>
      </c>
      <c r="C299" s="513" t="s">
        <v>272</v>
      </c>
      <c r="D299" s="482" t="s">
        <v>226</v>
      </c>
      <c r="E299" s="475" t="s">
        <v>25</v>
      </c>
      <c r="F299" s="516">
        <v>16010.800000000001</v>
      </c>
      <c r="G299" s="506">
        <v>1</v>
      </c>
      <c r="H299" s="462">
        <f>G299*7</f>
        <v>7</v>
      </c>
      <c r="I299" s="471">
        <v>0</v>
      </c>
      <c r="J299" s="472">
        <f t="shared" si="22"/>
        <v>16010.800000000001</v>
      </c>
      <c r="K299" s="463">
        <f t="shared" si="23"/>
        <v>112075.6</v>
      </c>
      <c r="M299" s="563">
        <v>20839</v>
      </c>
      <c r="N299" s="539"/>
      <c r="O299" s="540" t="s">
        <v>301</v>
      </c>
      <c r="P299" s="569">
        <f t="shared" si="20"/>
        <v>-23.169058016219594</v>
      </c>
    </row>
    <row r="300" spans="1:17" x14ac:dyDescent="0.3">
      <c r="A300" s="503">
        <v>257</v>
      </c>
      <c r="B300" s="473" t="s">
        <v>15</v>
      </c>
      <c r="C300" s="513" t="s">
        <v>272</v>
      </c>
      <c r="D300" s="482" t="s">
        <v>226</v>
      </c>
      <c r="E300" s="475" t="s">
        <v>25</v>
      </c>
      <c r="F300" s="516">
        <v>16010.800000000001</v>
      </c>
      <c r="G300" s="506">
        <v>9</v>
      </c>
      <c r="H300" s="462">
        <f>G300*1</f>
        <v>9</v>
      </c>
      <c r="I300" s="471">
        <v>0</v>
      </c>
      <c r="J300" s="472">
        <f t="shared" si="22"/>
        <v>144097.20000000001</v>
      </c>
      <c r="K300" s="463">
        <f t="shared" si="23"/>
        <v>144097.20000000001</v>
      </c>
      <c r="M300" s="563">
        <v>20839</v>
      </c>
      <c r="N300" s="539"/>
      <c r="O300" s="540" t="s">
        <v>301</v>
      </c>
      <c r="P300" s="569">
        <f t="shared" si="20"/>
        <v>-23.169058016219594</v>
      </c>
    </row>
    <row r="301" spans="1:17" x14ac:dyDescent="0.3">
      <c r="A301" s="503">
        <v>338</v>
      </c>
      <c r="B301" s="473" t="s">
        <v>15</v>
      </c>
      <c r="C301" s="513" t="s">
        <v>272</v>
      </c>
      <c r="D301" s="482" t="s">
        <v>226</v>
      </c>
      <c r="E301" s="475" t="s">
        <v>25</v>
      </c>
      <c r="F301" s="516">
        <v>16010.800000000001</v>
      </c>
      <c r="G301" s="506">
        <v>1</v>
      </c>
      <c r="H301" s="462">
        <f>G301*4</f>
        <v>4</v>
      </c>
      <c r="I301" s="471">
        <v>0</v>
      </c>
      <c r="J301" s="472">
        <f t="shared" si="22"/>
        <v>16010.800000000001</v>
      </c>
      <c r="K301" s="463">
        <f t="shared" si="23"/>
        <v>64043.200000000004</v>
      </c>
      <c r="M301" s="563">
        <v>20839</v>
      </c>
      <c r="N301" s="539"/>
      <c r="O301" s="540" t="s">
        <v>301</v>
      </c>
      <c r="P301" s="569">
        <f t="shared" si="20"/>
        <v>-23.169058016219594</v>
      </c>
    </row>
    <row r="302" spans="1:17" x14ac:dyDescent="0.3">
      <c r="A302" s="503">
        <v>405</v>
      </c>
      <c r="B302" s="473" t="s">
        <v>15</v>
      </c>
      <c r="C302" s="513" t="s">
        <v>272</v>
      </c>
      <c r="D302" s="482" t="s">
        <v>226</v>
      </c>
      <c r="E302" s="475" t="s">
        <v>25</v>
      </c>
      <c r="F302" s="516">
        <v>16010.800000000001</v>
      </c>
      <c r="G302" s="506">
        <v>1</v>
      </c>
      <c r="H302" s="462">
        <f>G302*6</f>
        <v>6</v>
      </c>
      <c r="I302" s="471">
        <v>0</v>
      </c>
      <c r="J302" s="472">
        <f t="shared" si="22"/>
        <v>16010.800000000001</v>
      </c>
      <c r="K302" s="463">
        <f t="shared" si="23"/>
        <v>96064.8</v>
      </c>
      <c r="M302" s="563">
        <v>20839</v>
      </c>
      <c r="N302" s="539"/>
      <c r="O302" s="540" t="s">
        <v>301</v>
      </c>
      <c r="P302" s="569">
        <f t="shared" ref="P302:P365" si="24">+F302*100/M302 -100</f>
        <v>-23.169058016219594</v>
      </c>
    </row>
    <row r="303" spans="1:17" x14ac:dyDescent="0.3">
      <c r="A303" s="503">
        <v>460</v>
      </c>
      <c r="B303" s="473" t="s">
        <v>15</v>
      </c>
      <c r="C303" s="513" t="s">
        <v>272</v>
      </c>
      <c r="D303" s="482" t="s">
        <v>226</v>
      </c>
      <c r="E303" s="475" t="s">
        <v>25</v>
      </c>
      <c r="F303" s="516">
        <v>16010.800000000001</v>
      </c>
      <c r="G303" s="508">
        <v>28</v>
      </c>
      <c r="H303" s="462">
        <f>G303*1</f>
        <v>28</v>
      </c>
      <c r="I303" s="471">
        <v>0</v>
      </c>
      <c r="J303" s="472">
        <f t="shared" si="22"/>
        <v>448302.4</v>
      </c>
      <c r="K303" s="463">
        <f t="shared" si="23"/>
        <v>448302.4</v>
      </c>
      <c r="M303" s="563">
        <v>20839</v>
      </c>
      <c r="N303" s="539"/>
      <c r="O303" s="540" t="s">
        <v>301</v>
      </c>
      <c r="P303" s="569">
        <f t="shared" si="24"/>
        <v>-23.169058016219594</v>
      </c>
    </row>
    <row r="304" spans="1:17" x14ac:dyDescent="0.3">
      <c r="A304" s="503">
        <v>525</v>
      </c>
      <c r="B304" s="473" t="s">
        <v>15</v>
      </c>
      <c r="C304" s="513" t="s">
        <v>272</v>
      </c>
      <c r="D304" s="482" t="s">
        <v>226</v>
      </c>
      <c r="E304" s="475" t="s">
        <v>25</v>
      </c>
      <c r="F304" s="516">
        <v>16010.800000000001</v>
      </c>
      <c r="G304" s="506">
        <v>2</v>
      </c>
      <c r="H304" s="462">
        <f>G304*3</f>
        <v>6</v>
      </c>
      <c r="I304" s="471">
        <v>0</v>
      </c>
      <c r="J304" s="472">
        <f t="shared" si="22"/>
        <v>32021.600000000002</v>
      </c>
      <c r="K304" s="463">
        <f t="shared" si="23"/>
        <v>96064.8</v>
      </c>
      <c r="M304" s="563">
        <v>20839</v>
      </c>
      <c r="N304" s="539"/>
      <c r="O304" s="540" t="s">
        <v>301</v>
      </c>
      <c r="P304" s="569">
        <f t="shared" si="24"/>
        <v>-23.169058016219594</v>
      </c>
    </row>
    <row r="305" spans="1:16" x14ac:dyDescent="0.3">
      <c r="A305" s="503">
        <v>466</v>
      </c>
      <c r="B305" s="473" t="s">
        <v>15</v>
      </c>
      <c r="C305" s="513" t="s">
        <v>272</v>
      </c>
      <c r="D305" s="476" t="s">
        <v>28</v>
      </c>
      <c r="E305" s="475" t="s">
        <v>24</v>
      </c>
      <c r="F305" s="516">
        <v>3880</v>
      </c>
      <c r="G305" s="506">
        <v>300</v>
      </c>
      <c r="H305" s="462">
        <f>G305*1</f>
        <v>300</v>
      </c>
      <c r="I305" s="471">
        <v>0</v>
      </c>
      <c r="J305" s="472">
        <f t="shared" si="22"/>
        <v>1164000</v>
      </c>
      <c r="K305" s="463">
        <f t="shared" si="23"/>
        <v>1164000</v>
      </c>
      <c r="M305" s="564">
        <f t="shared" ref="M305:M313" si="25">1052079/305</f>
        <v>3449.439344262295</v>
      </c>
      <c r="N305" s="541"/>
      <c r="O305" s="540" t="s">
        <v>302</v>
      </c>
      <c r="P305" s="569">
        <f t="shared" si="24"/>
        <v>12.482047450809304</v>
      </c>
    </row>
    <row r="306" spans="1:16" x14ac:dyDescent="0.3">
      <c r="A306" s="503">
        <v>28</v>
      </c>
      <c r="B306" s="473" t="s">
        <v>15</v>
      </c>
      <c r="C306" s="513" t="s">
        <v>272</v>
      </c>
      <c r="D306" s="479" t="s">
        <v>28</v>
      </c>
      <c r="E306" s="480" t="s">
        <v>24</v>
      </c>
      <c r="F306" s="516">
        <v>3880</v>
      </c>
      <c r="G306" s="506">
        <v>15</v>
      </c>
      <c r="H306" s="462">
        <f>G306*3</f>
        <v>45</v>
      </c>
      <c r="I306" s="471">
        <v>0</v>
      </c>
      <c r="J306" s="472">
        <f t="shared" si="22"/>
        <v>58200</v>
      </c>
      <c r="K306" s="463">
        <f t="shared" si="23"/>
        <v>174600</v>
      </c>
      <c r="M306" s="564">
        <f t="shared" si="25"/>
        <v>3449.439344262295</v>
      </c>
      <c r="N306" s="541"/>
      <c r="O306" s="540" t="s">
        <v>302</v>
      </c>
      <c r="P306" s="569">
        <f t="shared" si="24"/>
        <v>12.482047450809304</v>
      </c>
    </row>
    <row r="307" spans="1:16" x14ac:dyDescent="0.3">
      <c r="A307" s="503">
        <v>86</v>
      </c>
      <c r="B307" s="473" t="s">
        <v>15</v>
      </c>
      <c r="C307" s="513" t="s">
        <v>272</v>
      </c>
      <c r="D307" s="489" t="s">
        <v>28</v>
      </c>
      <c r="E307" s="480" t="s">
        <v>24</v>
      </c>
      <c r="F307" s="516">
        <v>3880</v>
      </c>
      <c r="G307" s="506">
        <v>15</v>
      </c>
      <c r="H307" s="462">
        <f>G307*6</f>
        <v>90</v>
      </c>
      <c r="I307" s="471">
        <v>0</v>
      </c>
      <c r="J307" s="472">
        <f t="shared" si="22"/>
        <v>58200</v>
      </c>
      <c r="K307" s="463">
        <f t="shared" si="23"/>
        <v>349200</v>
      </c>
      <c r="M307" s="564">
        <f t="shared" si="25"/>
        <v>3449.439344262295</v>
      </c>
      <c r="N307" s="541"/>
      <c r="O307" s="540" t="s">
        <v>302</v>
      </c>
      <c r="P307" s="569">
        <f t="shared" si="24"/>
        <v>12.482047450809304</v>
      </c>
    </row>
    <row r="308" spans="1:16" x14ac:dyDescent="0.3">
      <c r="A308" s="503">
        <v>151</v>
      </c>
      <c r="B308" s="473" t="s">
        <v>15</v>
      </c>
      <c r="C308" s="513" t="s">
        <v>272</v>
      </c>
      <c r="D308" s="489" t="s">
        <v>28</v>
      </c>
      <c r="E308" s="475" t="s">
        <v>24</v>
      </c>
      <c r="F308" s="516">
        <v>3880</v>
      </c>
      <c r="G308" s="506">
        <v>9</v>
      </c>
      <c r="H308" s="462">
        <f>G308*5</f>
        <v>45</v>
      </c>
      <c r="I308" s="471">
        <v>0</v>
      </c>
      <c r="J308" s="472">
        <f t="shared" si="22"/>
        <v>34920</v>
      </c>
      <c r="K308" s="463">
        <f t="shared" si="23"/>
        <v>174600</v>
      </c>
      <c r="M308" s="564">
        <f t="shared" si="25"/>
        <v>3449.439344262295</v>
      </c>
      <c r="N308" s="541"/>
      <c r="O308" s="540" t="s">
        <v>302</v>
      </c>
      <c r="P308" s="569">
        <f t="shared" si="24"/>
        <v>12.482047450809304</v>
      </c>
    </row>
    <row r="309" spans="1:16" x14ac:dyDescent="0.3">
      <c r="A309" s="503">
        <v>210</v>
      </c>
      <c r="B309" s="473" t="s">
        <v>15</v>
      </c>
      <c r="C309" s="513" t="s">
        <v>272</v>
      </c>
      <c r="D309" s="489" t="s">
        <v>28</v>
      </c>
      <c r="E309" s="475" t="s">
        <v>24</v>
      </c>
      <c r="F309" s="516">
        <v>3880</v>
      </c>
      <c r="G309" s="506">
        <v>9</v>
      </c>
      <c r="H309" s="462">
        <f>G309*7</f>
        <v>63</v>
      </c>
      <c r="I309" s="471">
        <v>0</v>
      </c>
      <c r="J309" s="472">
        <f t="shared" si="22"/>
        <v>34920</v>
      </c>
      <c r="K309" s="463">
        <f t="shared" si="23"/>
        <v>244440</v>
      </c>
      <c r="M309" s="564">
        <f t="shared" si="25"/>
        <v>3449.439344262295</v>
      </c>
      <c r="N309" s="541"/>
      <c r="O309" s="540" t="s">
        <v>302</v>
      </c>
      <c r="P309" s="569">
        <f t="shared" si="24"/>
        <v>12.482047450809304</v>
      </c>
    </row>
    <row r="310" spans="1:16" x14ac:dyDescent="0.3">
      <c r="A310" s="503">
        <v>271</v>
      </c>
      <c r="B310" s="473" t="s">
        <v>15</v>
      </c>
      <c r="C310" s="513" t="s">
        <v>272</v>
      </c>
      <c r="D310" s="476" t="s">
        <v>28</v>
      </c>
      <c r="E310" s="475" t="s">
        <v>24</v>
      </c>
      <c r="F310" s="516">
        <v>3880</v>
      </c>
      <c r="G310" s="506">
        <v>100</v>
      </c>
      <c r="H310" s="462">
        <f>G310*1</f>
        <v>100</v>
      </c>
      <c r="I310" s="471">
        <v>0</v>
      </c>
      <c r="J310" s="472">
        <f t="shared" si="22"/>
        <v>388000</v>
      </c>
      <c r="K310" s="463">
        <f t="shared" si="23"/>
        <v>388000</v>
      </c>
      <c r="M310" s="564">
        <f t="shared" si="25"/>
        <v>3449.439344262295</v>
      </c>
      <c r="N310" s="541"/>
      <c r="O310" s="540" t="s">
        <v>302</v>
      </c>
      <c r="P310" s="569">
        <f t="shared" si="24"/>
        <v>12.482047450809304</v>
      </c>
    </row>
    <row r="311" spans="1:16" x14ac:dyDescent="0.3">
      <c r="A311" s="503">
        <v>337</v>
      </c>
      <c r="B311" s="473" t="s">
        <v>15</v>
      </c>
      <c r="C311" s="513" t="s">
        <v>272</v>
      </c>
      <c r="D311" s="476" t="s">
        <v>28</v>
      </c>
      <c r="E311" s="475" t="s">
        <v>24</v>
      </c>
      <c r="F311" s="516">
        <v>3880</v>
      </c>
      <c r="G311" s="506">
        <v>9</v>
      </c>
      <c r="H311" s="462">
        <f>G311*4</f>
        <v>36</v>
      </c>
      <c r="I311" s="471">
        <v>0</v>
      </c>
      <c r="J311" s="472">
        <f t="shared" si="22"/>
        <v>34920</v>
      </c>
      <c r="K311" s="463">
        <f t="shared" si="23"/>
        <v>139680</v>
      </c>
      <c r="M311" s="564">
        <f t="shared" si="25"/>
        <v>3449.439344262295</v>
      </c>
      <c r="N311" s="541"/>
      <c r="O311" s="540" t="s">
        <v>302</v>
      </c>
      <c r="P311" s="569">
        <f t="shared" si="24"/>
        <v>12.482047450809304</v>
      </c>
    </row>
    <row r="312" spans="1:16" x14ac:dyDescent="0.3">
      <c r="A312" s="503">
        <v>406</v>
      </c>
      <c r="B312" s="473" t="s">
        <v>15</v>
      </c>
      <c r="C312" s="513" t="s">
        <v>272</v>
      </c>
      <c r="D312" s="476" t="s">
        <v>28</v>
      </c>
      <c r="E312" s="475" t="s">
        <v>24</v>
      </c>
      <c r="F312" s="516">
        <v>3880</v>
      </c>
      <c r="G312" s="506">
        <v>9</v>
      </c>
      <c r="H312" s="462">
        <f>G312*6</f>
        <v>54</v>
      </c>
      <c r="I312" s="471">
        <v>0</v>
      </c>
      <c r="J312" s="472">
        <f t="shared" si="22"/>
        <v>34920</v>
      </c>
      <c r="K312" s="463">
        <f t="shared" si="23"/>
        <v>209520</v>
      </c>
      <c r="M312" s="564">
        <f t="shared" si="25"/>
        <v>3449.439344262295</v>
      </c>
      <c r="N312" s="541"/>
      <c r="O312" s="540" t="s">
        <v>302</v>
      </c>
      <c r="P312" s="569">
        <f t="shared" si="24"/>
        <v>12.482047450809304</v>
      </c>
    </row>
    <row r="313" spans="1:16" x14ac:dyDescent="0.3">
      <c r="A313" s="503">
        <v>524</v>
      </c>
      <c r="B313" s="473" t="s">
        <v>15</v>
      </c>
      <c r="C313" s="513" t="s">
        <v>272</v>
      </c>
      <c r="D313" s="476" t="s">
        <v>28</v>
      </c>
      <c r="E313" s="475" t="s">
        <v>24</v>
      </c>
      <c r="F313" s="516">
        <v>3880</v>
      </c>
      <c r="G313" s="509">
        <v>370</v>
      </c>
      <c r="H313" s="462">
        <f>G313*3</f>
        <v>1110</v>
      </c>
      <c r="I313" s="471">
        <v>0</v>
      </c>
      <c r="J313" s="472">
        <f t="shared" si="22"/>
        <v>1435600</v>
      </c>
      <c r="K313" s="463">
        <f t="shared" si="23"/>
        <v>4306800</v>
      </c>
      <c r="M313" s="564">
        <f t="shared" si="25"/>
        <v>3449.439344262295</v>
      </c>
      <c r="N313" s="541"/>
      <c r="O313" s="540" t="s">
        <v>302</v>
      </c>
      <c r="P313" s="569">
        <f t="shared" si="24"/>
        <v>12.482047450809304</v>
      </c>
    </row>
    <row r="314" spans="1:16" x14ac:dyDescent="0.3">
      <c r="A314" s="503">
        <v>468</v>
      </c>
      <c r="B314" s="473" t="s">
        <v>15</v>
      </c>
      <c r="C314" s="473" t="s">
        <v>272</v>
      </c>
      <c r="D314" s="476" t="s">
        <v>244</v>
      </c>
      <c r="E314" s="475" t="s">
        <v>25</v>
      </c>
      <c r="F314" s="517">
        <v>40000</v>
      </c>
      <c r="G314" s="508">
        <v>4</v>
      </c>
      <c r="H314" s="462">
        <f>G314*1</f>
        <v>4</v>
      </c>
      <c r="I314" s="471">
        <v>0</v>
      </c>
      <c r="J314" s="472">
        <f t="shared" si="22"/>
        <v>160000</v>
      </c>
      <c r="K314" s="463">
        <f t="shared" si="23"/>
        <v>160000</v>
      </c>
      <c r="M314" s="565">
        <f>3391+16957.5</f>
        <v>20348.5</v>
      </c>
      <c r="N314" s="541"/>
      <c r="O314" s="540" t="s">
        <v>303</v>
      </c>
      <c r="P314" s="569">
        <f t="shared" si="24"/>
        <v>96.574686094798153</v>
      </c>
    </row>
    <row r="315" spans="1:16" ht="33" x14ac:dyDescent="0.3">
      <c r="A315" s="503">
        <v>523</v>
      </c>
      <c r="B315" s="473" t="s">
        <v>15</v>
      </c>
      <c r="C315" s="473" t="s">
        <v>272</v>
      </c>
      <c r="D315" s="483" t="s">
        <v>232</v>
      </c>
      <c r="E315" s="475" t="s">
        <v>25</v>
      </c>
      <c r="F315" s="516">
        <v>296000</v>
      </c>
      <c r="G315" s="506">
        <v>1</v>
      </c>
      <c r="H315" s="462">
        <f>G315*3</f>
        <v>3</v>
      </c>
      <c r="I315" s="471">
        <v>0</v>
      </c>
      <c r="J315" s="472">
        <f t="shared" si="22"/>
        <v>296000</v>
      </c>
      <c r="K315" s="463">
        <f t="shared" si="23"/>
        <v>888000</v>
      </c>
      <c r="M315" s="563">
        <f>226300*1.19</f>
        <v>269297</v>
      </c>
      <c r="N315" s="539"/>
      <c r="O315" s="540" t="s">
        <v>304</v>
      </c>
      <c r="P315" s="569">
        <f t="shared" si="24"/>
        <v>9.9158178516656363</v>
      </c>
    </row>
    <row r="316" spans="1:16" x14ac:dyDescent="0.3">
      <c r="A316" s="503">
        <v>462</v>
      </c>
      <c r="B316" s="473" t="s">
        <v>15</v>
      </c>
      <c r="C316" s="473" t="s">
        <v>272</v>
      </c>
      <c r="D316" s="482" t="s">
        <v>235</v>
      </c>
      <c r="E316" s="475" t="s">
        <v>25</v>
      </c>
      <c r="F316" s="518">
        <v>410000</v>
      </c>
      <c r="G316" s="508">
        <v>1</v>
      </c>
      <c r="H316" s="462">
        <f>G316*1</f>
        <v>1</v>
      </c>
      <c r="I316" s="471">
        <v>0</v>
      </c>
      <c r="J316" s="472">
        <f t="shared" si="22"/>
        <v>410000</v>
      </c>
      <c r="K316" s="463">
        <f t="shared" si="23"/>
        <v>410000</v>
      </c>
      <c r="M316" s="565">
        <v>372820</v>
      </c>
      <c r="N316" s="541"/>
      <c r="O316" s="540" t="s">
        <v>305</v>
      </c>
      <c r="P316" s="569">
        <f t="shared" si="24"/>
        <v>9.9726409527385869</v>
      </c>
    </row>
    <row r="317" spans="1:16" x14ac:dyDescent="0.3">
      <c r="A317" s="503">
        <v>458</v>
      </c>
      <c r="B317" s="473" t="s">
        <v>15</v>
      </c>
      <c r="C317" s="473" t="s">
        <v>272</v>
      </c>
      <c r="D317" s="476" t="s">
        <v>49</v>
      </c>
      <c r="E317" s="475" t="s">
        <v>25</v>
      </c>
      <c r="F317" s="517">
        <v>800000</v>
      </c>
      <c r="G317" s="508">
        <v>1</v>
      </c>
      <c r="H317" s="462">
        <f>G317*1</f>
        <v>1</v>
      </c>
      <c r="I317" s="471">
        <v>0</v>
      </c>
      <c r="J317" s="472">
        <f t="shared" si="22"/>
        <v>800000</v>
      </c>
      <c r="K317" s="463">
        <f t="shared" si="23"/>
        <v>800000</v>
      </c>
      <c r="M317" s="565">
        <v>679900</v>
      </c>
      <c r="N317" s="541"/>
      <c r="O317" s="540" t="s">
        <v>306</v>
      </c>
      <c r="P317" s="569">
        <f t="shared" si="24"/>
        <v>17.664362406236208</v>
      </c>
    </row>
    <row r="318" spans="1:16" x14ac:dyDescent="0.3">
      <c r="A318" s="503">
        <v>467</v>
      </c>
      <c r="B318" s="473" t="s">
        <v>15</v>
      </c>
      <c r="C318" s="473" t="s">
        <v>272</v>
      </c>
      <c r="D318" s="476" t="s">
        <v>158</v>
      </c>
      <c r="E318" s="475" t="s">
        <v>25</v>
      </c>
      <c r="F318" s="518">
        <v>18000</v>
      </c>
      <c r="G318" s="508">
        <v>24</v>
      </c>
      <c r="H318" s="462">
        <f>G318*1</f>
        <v>24</v>
      </c>
      <c r="I318" s="471">
        <v>0</v>
      </c>
      <c r="J318" s="472">
        <f t="shared" si="22"/>
        <v>432000</v>
      </c>
      <c r="K318" s="463">
        <f t="shared" si="23"/>
        <v>432000</v>
      </c>
      <c r="M318" s="565">
        <f>3391+16957.5</f>
        <v>20348.5</v>
      </c>
      <c r="N318" s="541"/>
      <c r="O318" s="540" t="s">
        <v>303</v>
      </c>
      <c r="P318" s="569">
        <f t="shared" si="24"/>
        <v>-11.541391257340834</v>
      </c>
    </row>
    <row r="319" spans="1:16" x14ac:dyDescent="0.3">
      <c r="A319" s="503">
        <v>461</v>
      </c>
      <c r="B319" s="473" t="s">
        <v>15</v>
      </c>
      <c r="C319" s="473" t="s">
        <v>272</v>
      </c>
      <c r="D319" s="476" t="s">
        <v>241</v>
      </c>
      <c r="E319" s="475" t="s">
        <v>25</v>
      </c>
      <c r="F319" s="517">
        <v>2309000</v>
      </c>
      <c r="G319" s="508">
        <v>1</v>
      </c>
      <c r="H319" s="462">
        <f>G319*1</f>
        <v>1</v>
      </c>
      <c r="I319" s="471">
        <v>0</v>
      </c>
      <c r="J319" s="472">
        <f t="shared" si="22"/>
        <v>2309000</v>
      </c>
      <c r="K319" s="463">
        <f t="shared" si="23"/>
        <v>2309000</v>
      </c>
      <c r="M319" s="565">
        <v>3232278</v>
      </c>
      <c r="N319" s="541"/>
      <c r="O319" s="540" t="s">
        <v>307</v>
      </c>
      <c r="P319" s="569">
        <f t="shared" si="24"/>
        <v>-28.5643128468529</v>
      </c>
    </row>
    <row r="320" spans="1:16" x14ac:dyDescent="0.3">
      <c r="A320" s="503">
        <v>16</v>
      </c>
      <c r="B320" s="473" t="s">
        <v>15</v>
      </c>
      <c r="C320" s="473" t="s">
        <v>272</v>
      </c>
      <c r="D320" s="477" t="s">
        <v>239</v>
      </c>
      <c r="E320" s="475" t="s">
        <v>25</v>
      </c>
      <c r="F320" s="516">
        <v>451256.75840000005</v>
      </c>
      <c r="G320" s="506">
        <v>1</v>
      </c>
      <c r="H320" s="462">
        <f>G320*3</f>
        <v>3</v>
      </c>
      <c r="I320" s="471">
        <v>0</v>
      </c>
      <c r="J320" s="472">
        <f t="shared" si="22"/>
        <v>451256.75840000005</v>
      </c>
      <c r="K320" s="463">
        <f t="shared" si="23"/>
        <v>1353770.2752</v>
      </c>
      <c r="M320" s="563">
        <v>340637.5</v>
      </c>
      <c r="N320" s="539"/>
      <c r="O320" s="540" t="s">
        <v>309</v>
      </c>
      <c r="P320" s="569">
        <f t="shared" si="24"/>
        <v>32.474186899563335</v>
      </c>
    </row>
    <row r="321" spans="1:17" x14ac:dyDescent="0.3">
      <c r="A321" s="503">
        <v>74</v>
      </c>
      <c r="B321" s="473" t="s">
        <v>15</v>
      </c>
      <c r="C321" s="473" t="s">
        <v>272</v>
      </c>
      <c r="D321" s="476" t="s">
        <v>239</v>
      </c>
      <c r="E321" s="475" t="s">
        <v>25</v>
      </c>
      <c r="F321" s="516">
        <v>451256.75840000005</v>
      </c>
      <c r="G321" s="506">
        <v>1</v>
      </c>
      <c r="H321" s="462">
        <f>G321*6</f>
        <v>6</v>
      </c>
      <c r="I321" s="471">
        <v>0</v>
      </c>
      <c r="J321" s="472">
        <f t="shared" si="22"/>
        <v>451256.75840000005</v>
      </c>
      <c r="K321" s="463">
        <f t="shared" si="23"/>
        <v>2707540.5504000001</v>
      </c>
      <c r="M321" s="563">
        <v>340637.5</v>
      </c>
      <c r="N321" s="539"/>
      <c r="O321" s="540" t="s">
        <v>309</v>
      </c>
      <c r="P321" s="569">
        <f t="shared" si="24"/>
        <v>32.474186899563335</v>
      </c>
    </row>
    <row r="322" spans="1:17" x14ac:dyDescent="0.3">
      <c r="A322" s="503">
        <v>136</v>
      </c>
      <c r="B322" s="473" t="s">
        <v>15</v>
      </c>
      <c r="C322" s="473" t="s">
        <v>272</v>
      </c>
      <c r="D322" s="476" t="s">
        <v>239</v>
      </c>
      <c r="E322" s="475" t="s">
        <v>25</v>
      </c>
      <c r="F322" s="516">
        <v>451256.75840000005</v>
      </c>
      <c r="G322" s="506">
        <v>1</v>
      </c>
      <c r="H322" s="462">
        <f>G322*5</f>
        <v>5</v>
      </c>
      <c r="I322" s="471">
        <v>0</v>
      </c>
      <c r="J322" s="472">
        <f t="shared" si="22"/>
        <v>451256.75840000005</v>
      </c>
      <c r="K322" s="463">
        <f t="shared" si="23"/>
        <v>2256283.7920000004</v>
      </c>
      <c r="M322" s="563">
        <v>340637.5</v>
      </c>
      <c r="N322" s="539"/>
      <c r="O322" s="540" t="s">
        <v>309</v>
      </c>
      <c r="P322" s="569">
        <f t="shared" si="24"/>
        <v>32.474186899563335</v>
      </c>
    </row>
    <row r="323" spans="1:17" x14ac:dyDescent="0.3">
      <c r="A323" s="503">
        <v>198</v>
      </c>
      <c r="B323" s="473" t="s">
        <v>15</v>
      </c>
      <c r="C323" s="473" t="s">
        <v>272</v>
      </c>
      <c r="D323" s="476" t="s">
        <v>239</v>
      </c>
      <c r="E323" s="475" t="s">
        <v>25</v>
      </c>
      <c r="F323" s="516">
        <v>451256.75840000005</v>
      </c>
      <c r="G323" s="506">
        <v>1</v>
      </c>
      <c r="H323" s="462">
        <f>G323*7</f>
        <v>7</v>
      </c>
      <c r="I323" s="471">
        <v>0</v>
      </c>
      <c r="J323" s="472">
        <f t="shared" si="22"/>
        <v>451256.75840000005</v>
      </c>
      <c r="K323" s="463">
        <f t="shared" si="23"/>
        <v>3158797.3088000002</v>
      </c>
      <c r="M323" s="563">
        <v>340637.5</v>
      </c>
      <c r="N323" s="539"/>
      <c r="O323" s="540" t="s">
        <v>309</v>
      </c>
      <c r="P323" s="569">
        <f t="shared" si="24"/>
        <v>32.474186899563335</v>
      </c>
    </row>
    <row r="324" spans="1:17" x14ac:dyDescent="0.3">
      <c r="A324" s="503">
        <v>321</v>
      </c>
      <c r="B324" s="473" t="s">
        <v>15</v>
      </c>
      <c r="C324" s="473" t="s">
        <v>272</v>
      </c>
      <c r="D324" s="476" t="s">
        <v>239</v>
      </c>
      <c r="E324" s="475" t="s">
        <v>25</v>
      </c>
      <c r="F324" s="516">
        <v>451256.75840000005</v>
      </c>
      <c r="G324" s="506">
        <v>1</v>
      </c>
      <c r="H324" s="462">
        <f>G324*4</f>
        <v>4</v>
      </c>
      <c r="I324" s="471">
        <v>0</v>
      </c>
      <c r="J324" s="472">
        <f t="shared" si="22"/>
        <v>451256.75840000005</v>
      </c>
      <c r="K324" s="463">
        <f t="shared" si="23"/>
        <v>1805027.0336000002</v>
      </c>
      <c r="M324" s="563">
        <v>340637.5</v>
      </c>
      <c r="N324" s="539"/>
      <c r="O324" s="540" t="s">
        <v>309</v>
      </c>
      <c r="P324" s="569">
        <f t="shared" si="24"/>
        <v>32.474186899563335</v>
      </c>
    </row>
    <row r="325" spans="1:17" x14ac:dyDescent="0.3">
      <c r="A325" s="503">
        <v>386</v>
      </c>
      <c r="B325" s="473" t="s">
        <v>15</v>
      </c>
      <c r="C325" s="473" t="s">
        <v>272</v>
      </c>
      <c r="D325" s="476" t="s">
        <v>239</v>
      </c>
      <c r="E325" s="475" t="s">
        <v>25</v>
      </c>
      <c r="F325" s="516">
        <v>451256.75840000005</v>
      </c>
      <c r="G325" s="506">
        <v>1</v>
      </c>
      <c r="H325" s="462">
        <f>G325*6</f>
        <v>6</v>
      </c>
      <c r="I325" s="471">
        <v>0</v>
      </c>
      <c r="J325" s="472">
        <f t="shared" si="22"/>
        <v>451256.75840000005</v>
      </c>
      <c r="K325" s="463">
        <f t="shared" si="23"/>
        <v>2707540.5504000001</v>
      </c>
      <c r="M325" s="563">
        <v>340637.5</v>
      </c>
      <c r="N325" s="539"/>
      <c r="O325" s="540" t="s">
        <v>309</v>
      </c>
      <c r="P325" s="569">
        <f t="shared" si="24"/>
        <v>32.474186899563335</v>
      </c>
    </row>
    <row r="326" spans="1:17" x14ac:dyDescent="0.3">
      <c r="A326" s="503">
        <v>260</v>
      </c>
      <c r="B326" s="473" t="s">
        <v>15</v>
      </c>
      <c r="C326" s="473" t="s">
        <v>272</v>
      </c>
      <c r="D326" s="476" t="s">
        <v>240</v>
      </c>
      <c r="E326" s="475" t="s">
        <v>25</v>
      </c>
      <c r="F326" s="516">
        <v>535000</v>
      </c>
      <c r="G326" s="509">
        <v>3</v>
      </c>
      <c r="H326" s="462">
        <f>G326*1</f>
        <v>3</v>
      </c>
      <c r="I326" s="471">
        <v>0</v>
      </c>
      <c r="J326" s="472">
        <f t="shared" si="22"/>
        <v>1605000</v>
      </c>
      <c r="K326" s="463">
        <f t="shared" si="23"/>
        <v>1605000</v>
      </c>
      <c r="M326" s="563">
        <v>629212.5</v>
      </c>
      <c r="N326" s="539"/>
      <c r="O326" s="540" t="s">
        <v>308</v>
      </c>
      <c r="P326" s="569">
        <f t="shared" si="24"/>
        <v>-14.973081431154029</v>
      </c>
    </row>
    <row r="327" spans="1:17" x14ac:dyDescent="0.3">
      <c r="A327" s="503">
        <v>518</v>
      </c>
      <c r="B327" s="473" t="s">
        <v>15</v>
      </c>
      <c r="C327" s="473" t="s">
        <v>272</v>
      </c>
      <c r="D327" s="483" t="s">
        <v>240</v>
      </c>
      <c r="E327" s="475" t="s">
        <v>25</v>
      </c>
      <c r="F327" s="516">
        <v>535000</v>
      </c>
      <c r="G327" s="509">
        <v>3</v>
      </c>
      <c r="H327" s="462">
        <f>G327*3</f>
        <v>9</v>
      </c>
      <c r="I327" s="471">
        <v>0</v>
      </c>
      <c r="J327" s="472">
        <f t="shared" si="22"/>
        <v>1605000</v>
      </c>
      <c r="K327" s="463">
        <f t="shared" si="23"/>
        <v>4815000</v>
      </c>
      <c r="M327" s="563">
        <v>629212.5</v>
      </c>
      <c r="N327" s="539"/>
      <c r="O327" s="540" t="s">
        <v>308</v>
      </c>
      <c r="P327" s="569">
        <f t="shared" si="24"/>
        <v>-14.973081431154029</v>
      </c>
    </row>
    <row r="328" spans="1:17" x14ac:dyDescent="0.3">
      <c r="A328" s="503">
        <v>29</v>
      </c>
      <c r="B328" s="473" t="s">
        <v>15</v>
      </c>
      <c r="C328" s="473" t="s">
        <v>272</v>
      </c>
      <c r="D328" s="479" t="s">
        <v>63</v>
      </c>
      <c r="E328" s="480" t="s">
        <v>25</v>
      </c>
      <c r="F328" s="528">
        <v>20000</v>
      </c>
      <c r="G328" s="506">
        <v>6</v>
      </c>
      <c r="H328" s="462">
        <f>G328*3</f>
        <v>18</v>
      </c>
      <c r="I328" s="532">
        <v>0.1</v>
      </c>
      <c r="J328" s="472">
        <f t="shared" si="22"/>
        <v>132000</v>
      </c>
      <c r="K328" s="463">
        <f t="shared" si="23"/>
        <v>396000.00000000006</v>
      </c>
      <c r="M328" s="563">
        <v>2737</v>
      </c>
      <c r="N328" s="539"/>
      <c r="O328" s="540" t="s">
        <v>310</v>
      </c>
      <c r="P328" s="569">
        <f t="shared" si="24"/>
        <v>630.72707343807087</v>
      </c>
    </row>
    <row r="329" spans="1:17" x14ac:dyDescent="0.3">
      <c r="A329" s="503">
        <v>87</v>
      </c>
      <c r="B329" s="473" t="s">
        <v>15</v>
      </c>
      <c r="C329" s="473" t="s">
        <v>272</v>
      </c>
      <c r="D329" s="479" t="s">
        <v>63</v>
      </c>
      <c r="E329" s="480" t="s">
        <v>25</v>
      </c>
      <c r="F329" s="528">
        <v>20000</v>
      </c>
      <c r="G329" s="506">
        <v>6</v>
      </c>
      <c r="H329" s="462">
        <f>G329*6</f>
        <v>36</v>
      </c>
      <c r="I329" s="532">
        <v>0.1</v>
      </c>
      <c r="J329" s="472">
        <f t="shared" si="22"/>
        <v>132000</v>
      </c>
      <c r="K329" s="463">
        <f t="shared" si="23"/>
        <v>792000.00000000012</v>
      </c>
      <c r="M329" s="563">
        <v>2737</v>
      </c>
      <c r="N329" s="539"/>
      <c r="O329" s="540" t="s">
        <v>310</v>
      </c>
      <c r="P329" s="569">
        <f t="shared" si="24"/>
        <v>630.72707343807087</v>
      </c>
    </row>
    <row r="330" spans="1:17" x14ac:dyDescent="0.3">
      <c r="A330" s="503">
        <v>149</v>
      </c>
      <c r="B330" s="473" t="s">
        <v>15</v>
      </c>
      <c r="C330" s="473" t="s">
        <v>272</v>
      </c>
      <c r="D330" s="479" t="s">
        <v>63</v>
      </c>
      <c r="E330" s="480" t="s">
        <v>25</v>
      </c>
      <c r="F330" s="528">
        <v>20000</v>
      </c>
      <c r="G330" s="506">
        <v>6</v>
      </c>
      <c r="H330" s="462">
        <f>G330*5</f>
        <v>30</v>
      </c>
      <c r="I330" s="532">
        <v>0.1</v>
      </c>
      <c r="J330" s="472">
        <f t="shared" ref="J330:J370" si="26">+F330*G330*(1+I330)</f>
        <v>132000</v>
      </c>
      <c r="K330" s="463">
        <f t="shared" ref="K330:K370" si="27">+F330*H330*(1+I330)</f>
        <v>660000</v>
      </c>
      <c r="M330" s="563">
        <v>2737</v>
      </c>
      <c r="N330" s="539"/>
      <c r="O330" s="540" t="s">
        <v>310</v>
      </c>
      <c r="P330" s="569">
        <f t="shared" si="24"/>
        <v>630.72707343807087</v>
      </c>
    </row>
    <row r="331" spans="1:17" x14ac:dyDescent="0.3">
      <c r="A331" s="503">
        <v>211</v>
      </c>
      <c r="B331" s="473" t="s">
        <v>15</v>
      </c>
      <c r="C331" s="473" t="s">
        <v>272</v>
      </c>
      <c r="D331" s="479" t="s">
        <v>63</v>
      </c>
      <c r="E331" s="480" t="s">
        <v>25</v>
      </c>
      <c r="F331" s="528">
        <v>20000</v>
      </c>
      <c r="G331" s="506">
        <v>6</v>
      </c>
      <c r="H331" s="462">
        <f>G331*7</f>
        <v>42</v>
      </c>
      <c r="I331" s="532">
        <v>0.1</v>
      </c>
      <c r="J331" s="472">
        <f t="shared" si="26"/>
        <v>132000</v>
      </c>
      <c r="K331" s="463">
        <f t="shared" si="27"/>
        <v>924000.00000000012</v>
      </c>
      <c r="M331" s="563">
        <v>2737</v>
      </c>
      <c r="N331" s="539"/>
      <c r="O331" s="540" t="s">
        <v>310</v>
      </c>
      <c r="P331" s="569">
        <f t="shared" si="24"/>
        <v>630.72707343807087</v>
      </c>
    </row>
    <row r="332" spans="1:17" x14ac:dyDescent="0.3">
      <c r="A332" s="503">
        <v>272</v>
      </c>
      <c r="B332" s="473" t="s">
        <v>15</v>
      </c>
      <c r="C332" s="473" t="s">
        <v>272</v>
      </c>
      <c r="D332" s="479" t="s">
        <v>63</v>
      </c>
      <c r="E332" s="480" t="s">
        <v>25</v>
      </c>
      <c r="F332" s="528">
        <v>20000</v>
      </c>
      <c r="G332" s="506">
        <v>24</v>
      </c>
      <c r="H332" s="462">
        <f>G332*1</f>
        <v>24</v>
      </c>
      <c r="I332" s="532">
        <v>0.1</v>
      </c>
      <c r="J332" s="472">
        <f t="shared" si="26"/>
        <v>528000</v>
      </c>
      <c r="K332" s="463">
        <f t="shared" si="27"/>
        <v>528000</v>
      </c>
      <c r="M332" s="563">
        <v>2737</v>
      </c>
      <c r="N332" s="539"/>
      <c r="O332" s="540" t="s">
        <v>310</v>
      </c>
      <c r="P332" s="569">
        <f t="shared" si="24"/>
        <v>630.72707343807087</v>
      </c>
    </row>
    <row r="333" spans="1:17" x14ac:dyDescent="0.3">
      <c r="A333" s="503">
        <v>335</v>
      </c>
      <c r="B333" s="473" t="s">
        <v>15</v>
      </c>
      <c r="C333" s="473" t="s">
        <v>272</v>
      </c>
      <c r="D333" s="479" t="s">
        <v>63</v>
      </c>
      <c r="E333" s="480" t="s">
        <v>25</v>
      </c>
      <c r="F333" s="528">
        <v>20000</v>
      </c>
      <c r="G333" s="506">
        <v>6</v>
      </c>
      <c r="H333" s="462">
        <f>G333*4</f>
        <v>24</v>
      </c>
      <c r="I333" s="532">
        <v>0.1</v>
      </c>
      <c r="J333" s="472">
        <f t="shared" si="26"/>
        <v>132000</v>
      </c>
      <c r="K333" s="463">
        <f t="shared" si="27"/>
        <v>528000</v>
      </c>
      <c r="M333" s="563">
        <v>2737</v>
      </c>
      <c r="N333" s="539"/>
      <c r="O333" s="540" t="s">
        <v>310</v>
      </c>
      <c r="P333" s="569">
        <f t="shared" si="24"/>
        <v>630.72707343807087</v>
      </c>
    </row>
    <row r="334" spans="1:17" s="464" customFormat="1" x14ac:dyDescent="0.3">
      <c r="A334" s="503">
        <v>403</v>
      </c>
      <c r="B334" s="473" t="s">
        <v>15</v>
      </c>
      <c r="C334" s="473" t="s">
        <v>272</v>
      </c>
      <c r="D334" s="479" t="s">
        <v>63</v>
      </c>
      <c r="E334" s="480" t="s">
        <v>25</v>
      </c>
      <c r="F334" s="528">
        <v>22000</v>
      </c>
      <c r="G334" s="506">
        <v>6</v>
      </c>
      <c r="H334" s="462">
        <f>G334*6</f>
        <v>36</v>
      </c>
      <c r="I334" s="532">
        <v>0</v>
      </c>
      <c r="J334" s="472">
        <f t="shared" si="26"/>
        <v>132000</v>
      </c>
      <c r="K334" s="463">
        <f t="shared" si="27"/>
        <v>792000</v>
      </c>
      <c r="L334" s="468"/>
      <c r="M334" s="563">
        <v>2737</v>
      </c>
      <c r="N334" s="539"/>
      <c r="O334" s="540" t="s">
        <v>310</v>
      </c>
      <c r="P334" s="569">
        <f t="shared" si="24"/>
        <v>703.79978078187798</v>
      </c>
      <c r="Q334" s="468"/>
    </row>
    <row r="335" spans="1:17" x14ac:dyDescent="0.3">
      <c r="A335" s="503">
        <v>464</v>
      </c>
      <c r="B335" s="473" t="s">
        <v>15</v>
      </c>
      <c r="C335" s="473" t="s">
        <v>272</v>
      </c>
      <c r="D335" s="479" t="s">
        <v>63</v>
      </c>
      <c r="E335" s="480" t="s">
        <v>25</v>
      </c>
      <c r="F335" s="528">
        <v>20000</v>
      </c>
      <c r="G335" s="506">
        <v>30</v>
      </c>
      <c r="H335" s="462">
        <f>G335*1</f>
        <v>30</v>
      </c>
      <c r="I335" s="532">
        <v>0.1</v>
      </c>
      <c r="J335" s="472">
        <f t="shared" si="26"/>
        <v>660000</v>
      </c>
      <c r="K335" s="463">
        <f t="shared" si="27"/>
        <v>660000</v>
      </c>
      <c r="M335" s="563">
        <v>2737</v>
      </c>
      <c r="N335" s="539"/>
      <c r="O335" s="540" t="s">
        <v>310</v>
      </c>
      <c r="P335" s="569">
        <f t="shared" si="24"/>
        <v>630.72707343807087</v>
      </c>
      <c r="Q335" s="464"/>
    </row>
    <row r="336" spans="1:17" x14ac:dyDescent="0.3">
      <c r="A336" s="503">
        <v>526</v>
      </c>
      <c r="B336" s="473" t="s">
        <v>15</v>
      </c>
      <c r="C336" s="473" t="s">
        <v>272</v>
      </c>
      <c r="D336" s="479" t="s">
        <v>63</v>
      </c>
      <c r="E336" s="480" t="s">
        <v>25</v>
      </c>
      <c r="F336" s="528">
        <v>20000</v>
      </c>
      <c r="G336" s="506">
        <v>30</v>
      </c>
      <c r="H336" s="462">
        <f>G336*3</f>
        <v>90</v>
      </c>
      <c r="I336" s="532">
        <v>0.1</v>
      </c>
      <c r="J336" s="472">
        <f t="shared" si="26"/>
        <v>660000</v>
      </c>
      <c r="K336" s="463">
        <f t="shared" si="27"/>
        <v>1980000.0000000002</v>
      </c>
      <c r="M336" s="563">
        <v>2737</v>
      </c>
      <c r="N336" s="539"/>
      <c r="O336" s="540" t="s">
        <v>310</v>
      </c>
      <c r="P336" s="569">
        <f t="shared" si="24"/>
        <v>630.72707343807087</v>
      </c>
    </row>
    <row r="337" spans="1:17" x14ac:dyDescent="0.3">
      <c r="A337" s="503">
        <v>142</v>
      </c>
      <c r="B337" s="473" t="s">
        <v>15</v>
      </c>
      <c r="C337" s="473" t="s">
        <v>248</v>
      </c>
      <c r="D337" s="476" t="s">
        <v>26</v>
      </c>
      <c r="E337" s="475" t="s">
        <v>25</v>
      </c>
      <c r="F337" s="515">
        <v>1094800</v>
      </c>
      <c r="G337" s="506">
        <v>2</v>
      </c>
      <c r="H337" s="462">
        <f>G337*5</f>
        <v>10</v>
      </c>
      <c r="I337" s="471">
        <v>0</v>
      </c>
      <c r="J337" s="472">
        <f t="shared" si="26"/>
        <v>2189600</v>
      </c>
      <c r="K337" s="463">
        <f t="shared" si="27"/>
        <v>10948000</v>
      </c>
      <c r="M337" s="565">
        <v>743962</v>
      </c>
      <c r="N337" s="541"/>
      <c r="O337" s="540" t="s">
        <v>311</v>
      </c>
      <c r="P337" s="569">
        <f t="shared" si="24"/>
        <v>47.158053771563601</v>
      </c>
    </row>
    <row r="338" spans="1:17" x14ac:dyDescent="0.3">
      <c r="A338" s="503">
        <v>327</v>
      </c>
      <c r="B338" s="473" t="s">
        <v>15</v>
      </c>
      <c r="C338" s="473" t="s">
        <v>248</v>
      </c>
      <c r="D338" s="476" t="s">
        <v>26</v>
      </c>
      <c r="E338" s="475" t="s">
        <v>25</v>
      </c>
      <c r="F338" s="515">
        <v>1094800</v>
      </c>
      <c r="G338" s="506">
        <v>2</v>
      </c>
      <c r="H338" s="462">
        <f>G338*4</f>
        <v>8</v>
      </c>
      <c r="I338" s="471">
        <v>0</v>
      </c>
      <c r="J338" s="472">
        <f t="shared" si="26"/>
        <v>2189600</v>
      </c>
      <c r="K338" s="463">
        <f t="shared" si="27"/>
        <v>8758400</v>
      </c>
      <c r="M338" s="565">
        <v>743962</v>
      </c>
      <c r="N338" s="541"/>
      <c r="O338" s="540" t="s">
        <v>311</v>
      </c>
      <c r="P338" s="569">
        <f t="shared" si="24"/>
        <v>47.158053771563601</v>
      </c>
    </row>
    <row r="339" spans="1:17" x14ac:dyDescent="0.3">
      <c r="A339" s="503">
        <v>395</v>
      </c>
      <c r="B339" s="473" t="s">
        <v>15</v>
      </c>
      <c r="C339" s="473" t="s">
        <v>248</v>
      </c>
      <c r="D339" s="476" t="s">
        <v>26</v>
      </c>
      <c r="E339" s="475" t="s">
        <v>25</v>
      </c>
      <c r="F339" s="515">
        <v>1094800</v>
      </c>
      <c r="G339" s="506">
        <v>2</v>
      </c>
      <c r="H339" s="462">
        <f>G339*6</f>
        <v>12</v>
      </c>
      <c r="I339" s="471">
        <v>0</v>
      </c>
      <c r="J339" s="472">
        <f t="shared" si="26"/>
        <v>2189600</v>
      </c>
      <c r="K339" s="463">
        <f t="shared" si="27"/>
        <v>13137600</v>
      </c>
      <c r="M339" s="565">
        <v>743962</v>
      </c>
      <c r="N339" s="541"/>
      <c r="O339" s="540" t="s">
        <v>311</v>
      </c>
      <c r="P339" s="569">
        <f t="shared" si="24"/>
        <v>47.158053771563601</v>
      </c>
    </row>
    <row r="340" spans="1:17" x14ac:dyDescent="0.3">
      <c r="A340" s="503">
        <v>157</v>
      </c>
      <c r="B340" s="473" t="s">
        <v>15</v>
      </c>
      <c r="C340" s="473" t="s">
        <v>248</v>
      </c>
      <c r="D340" s="476" t="s">
        <v>57</v>
      </c>
      <c r="E340" s="475" t="s">
        <v>25</v>
      </c>
      <c r="F340" s="515">
        <v>126303</v>
      </c>
      <c r="G340" s="506">
        <v>2</v>
      </c>
      <c r="H340" s="462">
        <f>G340*5</f>
        <v>10</v>
      </c>
      <c r="I340" s="471">
        <v>0</v>
      </c>
      <c r="J340" s="472">
        <f t="shared" si="26"/>
        <v>252606</v>
      </c>
      <c r="K340" s="463">
        <f t="shared" si="27"/>
        <v>1263030</v>
      </c>
      <c r="M340" s="563">
        <v>90370</v>
      </c>
      <c r="N340" s="539"/>
      <c r="O340" s="540" t="s">
        <v>275</v>
      </c>
      <c r="P340" s="569">
        <f t="shared" si="24"/>
        <v>39.762089188890116</v>
      </c>
    </row>
    <row r="341" spans="1:17" x14ac:dyDescent="0.3">
      <c r="A341" s="503">
        <v>342</v>
      </c>
      <c r="B341" s="473" t="s">
        <v>15</v>
      </c>
      <c r="C341" s="473" t="s">
        <v>248</v>
      </c>
      <c r="D341" s="476" t="s">
        <v>57</v>
      </c>
      <c r="E341" s="475" t="s">
        <v>25</v>
      </c>
      <c r="F341" s="515">
        <v>126303</v>
      </c>
      <c r="G341" s="506">
        <v>2</v>
      </c>
      <c r="H341" s="462">
        <f>G341*4</f>
        <v>8</v>
      </c>
      <c r="I341" s="471">
        <v>0</v>
      </c>
      <c r="J341" s="472">
        <f t="shared" si="26"/>
        <v>252606</v>
      </c>
      <c r="K341" s="463">
        <f t="shared" si="27"/>
        <v>1010424</v>
      </c>
      <c r="M341" s="563">
        <v>90370</v>
      </c>
      <c r="N341" s="539"/>
      <c r="O341" s="540" t="s">
        <v>275</v>
      </c>
      <c r="P341" s="569">
        <f t="shared" si="24"/>
        <v>39.762089188890116</v>
      </c>
    </row>
    <row r="342" spans="1:17" x14ac:dyDescent="0.3">
      <c r="A342" s="503">
        <v>393</v>
      </c>
      <c r="B342" s="473" t="s">
        <v>15</v>
      </c>
      <c r="C342" s="473" t="s">
        <v>248</v>
      </c>
      <c r="D342" s="476" t="s">
        <v>57</v>
      </c>
      <c r="E342" s="475" t="s">
        <v>25</v>
      </c>
      <c r="F342" s="515">
        <v>126303</v>
      </c>
      <c r="G342" s="506">
        <v>2</v>
      </c>
      <c r="H342" s="462">
        <f>G342*6</f>
        <v>12</v>
      </c>
      <c r="I342" s="471">
        <v>0</v>
      </c>
      <c r="J342" s="472">
        <f t="shared" si="26"/>
        <v>252606</v>
      </c>
      <c r="K342" s="463">
        <f t="shared" si="27"/>
        <v>1515636</v>
      </c>
      <c r="M342" s="563">
        <v>90370</v>
      </c>
      <c r="N342" s="539"/>
      <c r="O342" s="540" t="s">
        <v>275</v>
      </c>
      <c r="P342" s="569">
        <f t="shared" si="24"/>
        <v>39.762089188890116</v>
      </c>
    </row>
    <row r="343" spans="1:17" ht="214.5" x14ac:dyDescent="0.3">
      <c r="A343" s="503">
        <v>154</v>
      </c>
      <c r="B343" s="473" t="s">
        <v>15</v>
      </c>
      <c r="C343" s="473" t="s">
        <v>248</v>
      </c>
      <c r="D343" s="476" t="s">
        <v>36</v>
      </c>
      <c r="E343" s="475" t="s">
        <v>24</v>
      </c>
      <c r="F343" s="515">
        <v>6000</v>
      </c>
      <c r="G343" s="506">
        <v>15</v>
      </c>
      <c r="H343" s="462">
        <f>G343*5</f>
        <v>75</v>
      </c>
      <c r="I343" s="471">
        <v>0</v>
      </c>
      <c r="J343" s="472">
        <f t="shared" si="26"/>
        <v>90000</v>
      </c>
      <c r="K343" s="463">
        <f t="shared" si="27"/>
        <v>450000</v>
      </c>
      <c r="M343" s="563">
        <v>7888</v>
      </c>
      <c r="N343" s="541"/>
      <c r="O343" s="540" t="s">
        <v>277</v>
      </c>
      <c r="P343" s="569">
        <f t="shared" si="24"/>
        <v>-23.935091277890464</v>
      </c>
      <c r="Q343" s="496" t="s">
        <v>278</v>
      </c>
    </row>
    <row r="344" spans="1:17" ht="214.5" x14ac:dyDescent="0.3">
      <c r="A344" s="503">
        <v>340</v>
      </c>
      <c r="B344" s="473" t="s">
        <v>15</v>
      </c>
      <c r="C344" s="473" t="s">
        <v>248</v>
      </c>
      <c r="D344" s="476" t="s">
        <v>36</v>
      </c>
      <c r="E344" s="475" t="s">
        <v>24</v>
      </c>
      <c r="F344" s="515">
        <v>6000</v>
      </c>
      <c r="G344" s="506">
        <v>10</v>
      </c>
      <c r="H344" s="462">
        <f>G344*4</f>
        <v>40</v>
      </c>
      <c r="I344" s="471">
        <v>0</v>
      </c>
      <c r="J344" s="472">
        <f t="shared" si="26"/>
        <v>60000</v>
      </c>
      <c r="K344" s="463">
        <f t="shared" si="27"/>
        <v>240000</v>
      </c>
      <c r="M344" s="563">
        <v>7888</v>
      </c>
      <c r="N344" s="541"/>
      <c r="O344" s="540" t="s">
        <v>277</v>
      </c>
      <c r="P344" s="569">
        <f t="shared" si="24"/>
        <v>-23.935091277890464</v>
      </c>
      <c r="Q344" s="496" t="s">
        <v>278</v>
      </c>
    </row>
    <row r="345" spans="1:17" ht="214.5" x14ac:dyDescent="0.3">
      <c r="A345" s="503">
        <v>408</v>
      </c>
      <c r="B345" s="473" t="s">
        <v>15</v>
      </c>
      <c r="C345" s="473" t="s">
        <v>248</v>
      </c>
      <c r="D345" s="476" t="s">
        <v>36</v>
      </c>
      <c r="E345" s="475" t="s">
        <v>24</v>
      </c>
      <c r="F345" s="515">
        <v>6000</v>
      </c>
      <c r="G345" s="506">
        <v>10</v>
      </c>
      <c r="H345" s="462">
        <f>G345*6</f>
        <v>60</v>
      </c>
      <c r="I345" s="471">
        <v>0</v>
      </c>
      <c r="J345" s="472">
        <f t="shared" si="26"/>
        <v>60000</v>
      </c>
      <c r="K345" s="463">
        <f t="shared" si="27"/>
        <v>360000</v>
      </c>
      <c r="M345" s="563">
        <v>7888</v>
      </c>
      <c r="N345" s="541"/>
      <c r="O345" s="540" t="s">
        <v>277</v>
      </c>
      <c r="P345" s="569">
        <f t="shared" si="24"/>
        <v>-23.935091277890464</v>
      </c>
      <c r="Q345" s="496" t="s">
        <v>278</v>
      </c>
    </row>
    <row r="346" spans="1:17" x14ac:dyDescent="0.3">
      <c r="A346" s="503">
        <v>155</v>
      </c>
      <c r="B346" s="473" t="s">
        <v>15</v>
      </c>
      <c r="C346" s="473" t="s">
        <v>248</v>
      </c>
      <c r="D346" s="476" t="s">
        <v>229</v>
      </c>
      <c r="E346" s="475" t="s">
        <v>25</v>
      </c>
      <c r="F346" s="515">
        <v>5500</v>
      </c>
      <c r="G346" s="506">
        <v>2</v>
      </c>
      <c r="H346" s="462">
        <f>G346*5</f>
        <v>10</v>
      </c>
      <c r="I346" s="471">
        <v>0</v>
      </c>
      <c r="J346" s="472">
        <f t="shared" si="26"/>
        <v>11000</v>
      </c>
      <c r="K346" s="463">
        <f t="shared" si="27"/>
        <v>55000</v>
      </c>
      <c r="M346" s="565">
        <v>9216</v>
      </c>
      <c r="N346" s="541"/>
      <c r="O346" s="540" t="s">
        <v>312</v>
      </c>
      <c r="P346" s="569">
        <f t="shared" si="24"/>
        <v>-40.321180555555557</v>
      </c>
    </row>
    <row r="347" spans="1:17" x14ac:dyDescent="0.3">
      <c r="A347" s="503">
        <v>344</v>
      </c>
      <c r="B347" s="473" t="s">
        <v>15</v>
      </c>
      <c r="C347" s="473" t="s">
        <v>248</v>
      </c>
      <c r="D347" s="476" t="s">
        <v>229</v>
      </c>
      <c r="E347" s="475" t="s">
        <v>25</v>
      </c>
      <c r="F347" s="515">
        <v>5500</v>
      </c>
      <c r="G347" s="506">
        <v>2</v>
      </c>
      <c r="H347" s="462">
        <f>G347*4</f>
        <v>8</v>
      </c>
      <c r="I347" s="471">
        <v>0</v>
      </c>
      <c r="J347" s="472">
        <f t="shared" si="26"/>
        <v>11000</v>
      </c>
      <c r="K347" s="463">
        <f t="shared" si="27"/>
        <v>44000</v>
      </c>
      <c r="M347" s="565">
        <v>9216</v>
      </c>
      <c r="N347" s="541"/>
      <c r="O347" s="540" t="s">
        <v>312</v>
      </c>
      <c r="P347" s="569">
        <f t="shared" si="24"/>
        <v>-40.321180555555557</v>
      </c>
    </row>
    <row r="348" spans="1:17" x14ac:dyDescent="0.3">
      <c r="A348" s="503">
        <v>409</v>
      </c>
      <c r="B348" s="473" t="s">
        <v>15</v>
      </c>
      <c r="C348" s="473" t="s">
        <v>248</v>
      </c>
      <c r="D348" s="476" t="s">
        <v>229</v>
      </c>
      <c r="E348" s="475" t="s">
        <v>25</v>
      </c>
      <c r="F348" s="515">
        <v>5500</v>
      </c>
      <c r="G348" s="506">
        <v>2</v>
      </c>
      <c r="H348" s="462">
        <f>G348*6</f>
        <v>12</v>
      </c>
      <c r="I348" s="471">
        <v>0</v>
      </c>
      <c r="J348" s="472">
        <f t="shared" si="26"/>
        <v>11000</v>
      </c>
      <c r="K348" s="463">
        <f t="shared" si="27"/>
        <v>66000</v>
      </c>
      <c r="M348" s="565">
        <v>9216</v>
      </c>
      <c r="N348" s="541"/>
      <c r="O348" s="540" t="s">
        <v>312</v>
      </c>
      <c r="P348" s="569">
        <f t="shared" si="24"/>
        <v>-40.321180555555557</v>
      </c>
    </row>
    <row r="349" spans="1:17" x14ac:dyDescent="0.3">
      <c r="A349" s="503">
        <v>135</v>
      </c>
      <c r="B349" s="473" t="s">
        <v>15</v>
      </c>
      <c r="C349" s="473" t="s">
        <v>248</v>
      </c>
      <c r="D349" s="476" t="s">
        <v>35</v>
      </c>
      <c r="E349" s="475" t="s">
        <v>25</v>
      </c>
      <c r="F349" s="515">
        <v>322000</v>
      </c>
      <c r="G349" s="506">
        <v>1</v>
      </c>
      <c r="H349" s="462">
        <f>G349*5</f>
        <v>5</v>
      </c>
      <c r="I349" s="471">
        <v>0</v>
      </c>
      <c r="J349" s="472">
        <f t="shared" si="26"/>
        <v>322000</v>
      </c>
      <c r="K349" s="463">
        <f t="shared" si="27"/>
        <v>1610000</v>
      </c>
      <c r="M349" s="565">
        <v>320091</v>
      </c>
      <c r="N349" s="541"/>
      <c r="O349" s="540" t="s">
        <v>313</v>
      </c>
      <c r="P349" s="569">
        <f t="shared" si="24"/>
        <v>0.59639290076884777</v>
      </c>
    </row>
    <row r="350" spans="1:17" x14ac:dyDescent="0.3">
      <c r="A350" s="503">
        <v>320</v>
      </c>
      <c r="B350" s="473" t="s">
        <v>15</v>
      </c>
      <c r="C350" s="473" t="s">
        <v>248</v>
      </c>
      <c r="D350" s="476" t="s">
        <v>35</v>
      </c>
      <c r="E350" s="475" t="s">
        <v>25</v>
      </c>
      <c r="F350" s="515">
        <v>322000</v>
      </c>
      <c r="G350" s="506">
        <v>1</v>
      </c>
      <c r="H350" s="462">
        <f>G350*4</f>
        <v>4</v>
      </c>
      <c r="I350" s="471">
        <v>0</v>
      </c>
      <c r="J350" s="472">
        <f t="shared" si="26"/>
        <v>322000</v>
      </c>
      <c r="K350" s="463">
        <f t="shared" si="27"/>
        <v>1288000</v>
      </c>
      <c r="M350" s="565">
        <v>320091</v>
      </c>
      <c r="N350" s="541"/>
      <c r="O350" s="540" t="s">
        <v>313</v>
      </c>
      <c r="P350" s="569">
        <f t="shared" si="24"/>
        <v>0.59639290076884777</v>
      </c>
    </row>
    <row r="351" spans="1:17" x14ac:dyDescent="0.3">
      <c r="A351" s="503">
        <v>385</v>
      </c>
      <c r="B351" s="473" t="s">
        <v>15</v>
      </c>
      <c r="C351" s="473" t="s">
        <v>248</v>
      </c>
      <c r="D351" s="476" t="s">
        <v>35</v>
      </c>
      <c r="E351" s="475" t="s">
        <v>25</v>
      </c>
      <c r="F351" s="515">
        <v>322000</v>
      </c>
      <c r="G351" s="506">
        <v>1</v>
      </c>
      <c r="H351" s="462">
        <f>G351*6</f>
        <v>6</v>
      </c>
      <c r="I351" s="471">
        <v>0</v>
      </c>
      <c r="J351" s="472">
        <f t="shared" si="26"/>
        <v>322000</v>
      </c>
      <c r="K351" s="463">
        <f t="shared" si="27"/>
        <v>1932000</v>
      </c>
      <c r="M351" s="565">
        <v>320091</v>
      </c>
      <c r="N351" s="541"/>
      <c r="O351" s="540" t="s">
        <v>313</v>
      </c>
      <c r="P351" s="569">
        <f t="shared" si="24"/>
        <v>0.59639290076884777</v>
      </c>
    </row>
    <row r="352" spans="1:17" ht="33" x14ac:dyDescent="0.3">
      <c r="A352" s="503">
        <v>141</v>
      </c>
      <c r="B352" s="473" t="s">
        <v>15</v>
      </c>
      <c r="C352" s="473" t="s">
        <v>248</v>
      </c>
      <c r="D352" s="476" t="s">
        <v>230</v>
      </c>
      <c r="E352" s="475" t="s">
        <v>25</v>
      </c>
      <c r="F352" s="515">
        <v>476645</v>
      </c>
      <c r="G352" s="506">
        <v>1</v>
      </c>
      <c r="H352" s="462">
        <f>G352*5</f>
        <v>5</v>
      </c>
      <c r="I352" s="471">
        <v>0</v>
      </c>
      <c r="J352" s="472">
        <f t="shared" si="26"/>
        <v>476645</v>
      </c>
      <c r="K352" s="463">
        <f t="shared" si="27"/>
        <v>2383225</v>
      </c>
      <c r="M352" s="565">
        <v>476645</v>
      </c>
      <c r="N352" s="541"/>
      <c r="O352" s="540" t="s">
        <v>314</v>
      </c>
      <c r="P352" s="569">
        <f t="shared" si="24"/>
        <v>0</v>
      </c>
    </row>
    <row r="353" spans="1:17" ht="33" x14ac:dyDescent="0.3">
      <c r="A353" s="503">
        <v>326</v>
      </c>
      <c r="B353" s="473" t="s">
        <v>15</v>
      </c>
      <c r="C353" s="473" t="s">
        <v>248</v>
      </c>
      <c r="D353" s="476" t="s">
        <v>230</v>
      </c>
      <c r="E353" s="475" t="s">
        <v>25</v>
      </c>
      <c r="F353" s="515">
        <v>476645</v>
      </c>
      <c r="G353" s="506">
        <v>1</v>
      </c>
      <c r="H353" s="462">
        <f>G353*4</f>
        <v>4</v>
      </c>
      <c r="I353" s="471">
        <v>0</v>
      </c>
      <c r="J353" s="472">
        <f t="shared" si="26"/>
        <v>476645</v>
      </c>
      <c r="K353" s="463">
        <f t="shared" si="27"/>
        <v>1906580</v>
      </c>
      <c r="M353" s="565">
        <v>476645</v>
      </c>
      <c r="N353" s="541"/>
      <c r="O353" s="540" t="s">
        <v>314</v>
      </c>
      <c r="P353" s="569">
        <f t="shared" si="24"/>
        <v>0</v>
      </c>
    </row>
    <row r="354" spans="1:17" ht="33" x14ac:dyDescent="0.3">
      <c r="A354" s="503">
        <v>391</v>
      </c>
      <c r="B354" s="473" t="s">
        <v>15</v>
      </c>
      <c r="C354" s="473" t="s">
        <v>248</v>
      </c>
      <c r="D354" s="476" t="s">
        <v>230</v>
      </c>
      <c r="E354" s="475" t="s">
        <v>25</v>
      </c>
      <c r="F354" s="515">
        <v>476645</v>
      </c>
      <c r="G354" s="506">
        <v>1</v>
      </c>
      <c r="H354" s="462">
        <f>G354*6</f>
        <v>6</v>
      </c>
      <c r="I354" s="471">
        <v>0</v>
      </c>
      <c r="J354" s="472">
        <f t="shared" si="26"/>
        <v>476645</v>
      </c>
      <c r="K354" s="463">
        <f t="shared" si="27"/>
        <v>2859870</v>
      </c>
      <c r="M354" s="565">
        <v>476645</v>
      </c>
      <c r="N354" s="541"/>
      <c r="O354" s="540" t="s">
        <v>314</v>
      </c>
      <c r="P354" s="569">
        <f t="shared" si="24"/>
        <v>0</v>
      </c>
    </row>
    <row r="355" spans="1:17" x14ac:dyDescent="0.3">
      <c r="A355" s="503">
        <v>140</v>
      </c>
      <c r="B355" s="473" t="s">
        <v>15</v>
      </c>
      <c r="C355" s="473" t="s">
        <v>248</v>
      </c>
      <c r="D355" s="476" t="s">
        <v>38</v>
      </c>
      <c r="E355" s="475" t="s">
        <v>25</v>
      </c>
      <c r="F355" s="515">
        <v>1340971</v>
      </c>
      <c r="G355" s="506">
        <v>1</v>
      </c>
      <c r="H355" s="462">
        <f>G355*5</f>
        <v>5</v>
      </c>
      <c r="I355" s="471">
        <v>0</v>
      </c>
      <c r="J355" s="472">
        <f t="shared" si="26"/>
        <v>1340971</v>
      </c>
      <c r="K355" s="463">
        <f t="shared" si="27"/>
        <v>6704855</v>
      </c>
      <c r="M355" s="563">
        <f>858222*2</f>
        <v>1716444</v>
      </c>
      <c r="N355" s="539"/>
      <c r="O355" s="540" t="s">
        <v>315</v>
      </c>
      <c r="P355" s="569">
        <f t="shared" si="24"/>
        <v>-21.875050977486012</v>
      </c>
    </row>
    <row r="356" spans="1:17" x14ac:dyDescent="0.3">
      <c r="A356" s="503">
        <v>325</v>
      </c>
      <c r="B356" s="473" t="s">
        <v>15</v>
      </c>
      <c r="C356" s="473" t="s">
        <v>248</v>
      </c>
      <c r="D356" s="476" t="s">
        <v>38</v>
      </c>
      <c r="E356" s="475" t="s">
        <v>25</v>
      </c>
      <c r="F356" s="515">
        <v>1340971</v>
      </c>
      <c r="G356" s="506">
        <v>1</v>
      </c>
      <c r="H356" s="462">
        <f>G356*4</f>
        <v>4</v>
      </c>
      <c r="I356" s="471">
        <v>0</v>
      </c>
      <c r="J356" s="472">
        <f t="shared" si="26"/>
        <v>1340971</v>
      </c>
      <c r="K356" s="463">
        <f t="shared" si="27"/>
        <v>5363884</v>
      </c>
      <c r="M356" s="563">
        <f>858222*2</f>
        <v>1716444</v>
      </c>
      <c r="N356" s="539"/>
      <c r="O356" s="540" t="s">
        <v>315</v>
      </c>
      <c r="P356" s="569">
        <f t="shared" si="24"/>
        <v>-21.875050977486012</v>
      </c>
    </row>
    <row r="357" spans="1:17" x14ac:dyDescent="0.3">
      <c r="A357" s="503">
        <v>390</v>
      </c>
      <c r="B357" s="473" t="s">
        <v>15</v>
      </c>
      <c r="C357" s="473" t="s">
        <v>248</v>
      </c>
      <c r="D357" s="476" t="s">
        <v>38</v>
      </c>
      <c r="E357" s="475" t="s">
        <v>25</v>
      </c>
      <c r="F357" s="515">
        <v>1340971</v>
      </c>
      <c r="G357" s="506">
        <v>1</v>
      </c>
      <c r="H357" s="462">
        <f>G357*6</f>
        <v>6</v>
      </c>
      <c r="I357" s="471">
        <v>0</v>
      </c>
      <c r="J357" s="472">
        <f t="shared" si="26"/>
        <v>1340971</v>
      </c>
      <c r="K357" s="463">
        <f t="shared" si="27"/>
        <v>8045826</v>
      </c>
      <c r="M357" s="563">
        <f>858222*2</f>
        <v>1716444</v>
      </c>
      <c r="N357" s="539"/>
      <c r="O357" s="540" t="s">
        <v>315</v>
      </c>
      <c r="P357" s="569">
        <f t="shared" si="24"/>
        <v>-21.875050977486012</v>
      </c>
    </row>
    <row r="358" spans="1:17" ht="33" x14ac:dyDescent="0.3">
      <c r="A358" s="503">
        <v>138</v>
      </c>
      <c r="B358" s="473" t="s">
        <v>15</v>
      </c>
      <c r="C358" s="473" t="s">
        <v>248</v>
      </c>
      <c r="D358" s="476" t="s">
        <v>185</v>
      </c>
      <c r="E358" s="475" t="s">
        <v>25</v>
      </c>
      <c r="F358" s="515">
        <v>457000</v>
      </c>
      <c r="G358" s="506">
        <v>1</v>
      </c>
      <c r="H358" s="462">
        <f>G358*5</f>
        <v>5</v>
      </c>
      <c r="I358" s="471">
        <v>0</v>
      </c>
      <c r="J358" s="472">
        <f t="shared" si="26"/>
        <v>457000</v>
      </c>
      <c r="K358" s="463">
        <f t="shared" si="27"/>
        <v>2285000</v>
      </c>
      <c r="M358" s="563">
        <v>439697</v>
      </c>
      <c r="N358" s="539"/>
      <c r="O358" s="540" t="s">
        <v>316</v>
      </c>
      <c r="P358" s="569">
        <f t="shared" si="24"/>
        <v>3.9352099286554107</v>
      </c>
    </row>
    <row r="359" spans="1:17" ht="33" x14ac:dyDescent="0.3">
      <c r="A359" s="503">
        <v>323</v>
      </c>
      <c r="B359" s="473" t="s">
        <v>15</v>
      </c>
      <c r="C359" s="473" t="s">
        <v>248</v>
      </c>
      <c r="D359" s="476" t="s">
        <v>185</v>
      </c>
      <c r="E359" s="475" t="s">
        <v>25</v>
      </c>
      <c r="F359" s="515">
        <v>457000</v>
      </c>
      <c r="G359" s="506">
        <v>1</v>
      </c>
      <c r="H359" s="462">
        <f>G359*4</f>
        <v>4</v>
      </c>
      <c r="I359" s="471">
        <v>0</v>
      </c>
      <c r="J359" s="472">
        <f t="shared" si="26"/>
        <v>457000</v>
      </c>
      <c r="K359" s="463">
        <f t="shared" si="27"/>
        <v>1828000</v>
      </c>
      <c r="M359" s="563">
        <v>439697</v>
      </c>
      <c r="N359" s="539"/>
      <c r="O359" s="540" t="s">
        <v>316</v>
      </c>
      <c r="P359" s="569">
        <f t="shared" si="24"/>
        <v>3.9352099286554107</v>
      </c>
    </row>
    <row r="360" spans="1:17" ht="33" x14ac:dyDescent="0.3">
      <c r="A360" s="503">
        <v>388</v>
      </c>
      <c r="B360" s="473" t="s">
        <v>15</v>
      </c>
      <c r="C360" s="473" t="s">
        <v>248</v>
      </c>
      <c r="D360" s="476" t="s">
        <v>185</v>
      </c>
      <c r="E360" s="475" t="s">
        <v>25</v>
      </c>
      <c r="F360" s="515">
        <v>457000</v>
      </c>
      <c r="G360" s="506">
        <v>1</v>
      </c>
      <c r="H360" s="462">
        <f>G360*6</f>
        <v>6</v>
      </c>
      <c r="I360" s="471">
        <v>0</v>
      </c>
      <c r="J360" s="472">
        <f t="shared" si="26"/>
        <v>457000</v>
      </c>
      <c r="K360" s="463">
        <f t="shared" si="27"/>
        <v>2742000</v>
      </c>
      <c r="M360" s="563">
        <v>439697</v>
      </c>
      <c r="N360" s="539"/>
      <c r="O360" s="540" t="s">
        <v>316</v>
      </c>
      <c r="P360" s="569">
        <f t="shared" si="24"/>
        <v>3.9352099286554107</v>
      </c>
    </row>
    <row r="361" spans="1:17" x14ac:dyDescent="0.3">
      <c r="A361" s="503">
        <v>134</v>
      </c>
      <c r="B361" s="473" t="s">
        <v>15</v>
      </c>
      <c r="C361" s="473" t="s">
        <v>248</v>
      </c>
      <c r="D361" s="476" t="s">
        <v>37</v>
      </c>
      <c r="E361" s="475" t="s">
        <v>25</v>
      </c>
      <c r="F361" s="515">
        <v>864900</v>
      </c>
      <c r="G361" s="506">
        <v>1</v>
      </c>
      <c r="H361" s="462">
        <f>G361*5</f>
        <v>5</v>
      </c>
      <c r="I361" s="471">
        <v>0</v>
      </c>
      <c r="J361" s="472">
        <f t="shared" si="26"/>
        <v>864900</v>
      </c>
      <c r="K361" s="463">
        <f t="shared" si="27"/>
        <v>4324500</v>
      </c>
      <c r="M361" s="563">
        <v>718253</v>
      </c>
      <c r="N361" s="539"/>
      <c r="O361" s="540" t="s">
        <v>317</v>
      </c>
      <c r="P361" s="569">
        <f t="shared" si="24"/>
        <v>20.41717890492626</v>
      </c>
    </row>
    <row r="362" spans="1:17" x14ac:dyDescent="0.3">
      <c r="A362" s="503">
        <v>319</v>
      </c>
      <c r="B362" s="473" t="s">
        <v>15</v>
      </c>
      <c r="C362" s="473" t="s">
        <v>248</v>
      </c>
      <c r="D362" s="476" t="s">
        <v>37</v>
      </c>
      <c r="E362" s="475" t="s">
        <v>25</v>
      </c>
      <c r="F362" s="515">
        <v>864900</v>
      </c>
      <c r="G362" s="506">
        <v>1</v>
      </c>
      <c r="H362" s="462">
        <f>G362*4</f>
        <v>4</v>
      </c>
      <c r="I362" s="471">
        <v>0</v>
      </c>
      <c r="J362" s="472">
        <f t="shared" si="26"/>
        <v>864900</v>
      </c>
      <c r="K362" s="463">
        <f t="shared" si="27"/>
        <v>3459600</v>
      </c>
      <c r="M362" s="563">
        <v>718253</v>
      </c>
      <c r="N362" s="539"/>
      <c r="O362" s="540" t="s">
        <v>317</v>
      </c>
      <c r="P362" s="569">
        <f t="shared" si="24"/>
        <v>20.41717890492626</v>
      </c>
    </row>
    <row r="363" spans="1:17" x14ac:dyDescent="0.3">
      <c r="A363" s="503">
        <v>384</v>
      </c>
      <c r="B363" s="473" t="s">
        <v>15</v>
      </c>
      <c r="C363" s="473" t="s">
        <v>248</v>
      </c>
      <c r="D363" s="476" t="s">
        <v>37</v>
      </c>
      <c r="E363" s="475" t="s">
        <v>25</v>
      </c>
      <c r="F363" s="515">
        <v>864900</v>
      </c>
      <c r="G363" s="506">
        <v>1</v>
      </c>
      <c r="H363" s="462">
        <f>G363*6</f>
        <v>6</v>
      </c>
      <c r="I363" s="471">
        <v>0</v>
      </c>
      <c r="J363" s="472">
        <f t="shared" si="26"/>
        <v>864900</v>
      </c>
      <c r="K363" s="463">
        <f t="shared" si="27"/>
        <v>5189400</v>
      </c>
      <c r="M363" s="563">
        <v>718253</v>
      </c>
      <c r="N363" s="539"/>
      <c r="O363" s="540" t="s">
        <v>317</v>
      </c>
      <c r="P363" s="569">
        <f t="shared" si="24"/>
        <v>20.41717890492626</v>
      </c>
    </row>
    <row r="364" spans="1:17" x14ac:dyDescent="0.3">
      <c r="A364" s="503">
        <v>41</v>
      </c>
      <c r="B364" s="473" t="s">
        <v>16</v>
      </c>
      <c r="C364" s="513" t="s">
        <v>220</v>
      </c>
      <c r="D364" s="477" t="s">
        <v>41</v>
      </c>
      <c r="E364" s="470" t="s">
        <v>46</v>
      </c>
      <c r="F364" s="530">
        <v>350000</v>
      </c>
      <c r="G364" s="506">
        <v>1</v>
      </c>
      <c r="H364" s="462">
        <f>G364*3</f>
        <v>3</v>
      </c>
      <c r="I364" s="471">
        <v>0</v>
      </c>
      <c r="J364" s="472">
        <f t="shared" si="26"/>
        <v>350000</v>
      </c>
      <c r="K364" s="463">
        <f t="shared" si="27"/>
        <v>1050000</v>
      </c>
      <c r="O364" s="540" t="s">
        <v>324</v>
      </c>
      <c r="P364" s="569" t="e">
        <f t="shared" si="24"/>
        <v>#DIV/0!</v>
      </c>
    </row>
    <row r="365" spans="1:17" x14ac:dyDescent="0.3">
      <c r="A365" s="503">
        <v>99</v>
      </c>
      <c r="B365" s="473" t="s">
        <v>16</v>
      </c>
      <c r="C365" s="513" t="s">
        <v>220</v>
      </c>
      <c r="D365" s="476" t="s">
        <v>41</v>
      </c>
      <c r="E365" s="470" t="s">
        <v>46</v>
      </c>
      <c r="F365" s="530">
        <v>350000</v>
      </c>
      <c r="G365" s="506">
        <v>1</v>
      </c>
      <c r="H365" s="462">
        <f>G365*6</f>
        <v>6</v>
      </c>
      <c r="I365" s="471">
        <v>0</v>
      </c>
      <c r="J365" s="472">
        <f t="shared" si="26"/>
        <v>350000</v>
      </c>
      <c r="K365" s="463">
        <f t="shared" si="27"/>
        <v>2100000</v>
      </c>
      <c r="O365" s="540" t="s">
        <v>324</v>
      </c>
      <c r="P365" s="569" t="e">
        <f t="shared" si="24"/>
        <v>#DIV/0!</v>
      </c>
      <c r="Q365" s="464"/>
    </row>
    <row r="366" spans="1:17" x14ac:dyDescent="0.3">
      <c r="A366" s="503">
        <v>165</v>
      </c>
      <c r="B366" s="473" t="s">
        <v>16</v>
      </c>
      <c r="C366" s="513" t="s">
        <v>220</v>
      </c>
      <c r="D366" s="476" t="s">
        <v>41</v>
      </c>
      <c r="E366" s="470" t="s">
        <v>46</v>
      </c>
      <c r="F366" s="530">
        <v>350000</v>
      </c>
      <c r="G366" s="506">
        <v>1</v>
      </c>
      <c r="H366" s="462">
        <f>G366*5</f>
        <v>5</v>
      </c>
      <c r="I366" s="471">
        <v>0</v>
      </c>
      <c r="J366" s="472">
        <f t="shared" si="26"/>
        <v>350000</v>
      </c>
      <c r="K366" s="463">
        <f t="shared" si="27"/>
        <v>1750000</v>
      </c>
      <c r="O366" s="540" t="s">
        <v>324</v>
      </c>
      <c r="P366" s="569" t="e">
        <f t="shared" ref="P366:P370" si="28">+F366*100/M366 -100</f>
        <v>#DIV/0!</v>
      </c>
    </row>
    <row r="367" spans="1:17" x14ac:dyDescent="0.3">
      <c r="A367" s="503">
        <v>222</v>
      </c>
      <c r="B367" s="473" t="s">
        <v>16</v>
      </c>
      <c r="C367" s="513" t="s">
        <v>220</v>
      </c>
      <c r="D367" s="476" t="s">
        <v>41</v>
      </c>
      <c r="E367" s="470" t="s">
        <v>46</v>
      </c>
      <c r="F367" s="530">
        <v>350000</v>
      </c>
      <c r="G367" s="506">
        <v>1</v>
      </c>
      <c r="H367" s="462">
        <f>G367*7</f>
        <v>7</v>
      </c>
      <c r="I367" s="471">
        <v>0</v>
      </c>
      <c r="J367" s="472">
        <f t="shared" si="26"/>
        <v>350000</v>
      </c>
      <c r="K367" s="463">
        <f t="shared" si="27"/>
        <v>2450000</v>
      </c>
      <c r="O367" s="540" t="s">
        <v>324</v>
      </c>
      <c r="P367" s="569" t="e">
        <f t="shared" si="28"/>
        <v>#DIV/0!</v>
      </c>
    </row>
    <row r="368" spans="1:17" x14ac:dyDescent="0.3">
      <c r="A368" s="503">
        <v>285</v>
      </c>
      <c r="B368" s="473" t="s">
        <v>16</v>
      </c>
      <c r="C368" s="513" t="s">
        <v>220</v>
      </c>
      <c r="D368" s="476" t="s">
        <v>41</v>
      </c>
      <c r="E368" s="470" t="s">
        <v>46</v>
      </c>
      <c r="F368" s="530">
        <v>350000</v>
      </c>
      <c r="G368" s="506">
        <v>1</v>
      </c>
      <c r="H368" s="462">
        <f>G368*1</f>
        <v>1</v>
      </c>
      <c r="I368" s="471">
        <v>0</v>
      </c>
      <c r="J368" s="472">
        <f t="shared" si="26"/>
        <v>350000</v>
      </c>
      <c r="K368" s="463">
        <f t="shared" si="27"/>
        <v>350000</v>
      </c>
      <c r="O368" s="540" t="s">
        <v>324</v>
      </c>
      <c r="P368" s="569" t="e">
        <f t="shared" si="28"/>
        <v>#DIV/0!</v>
      </c>
    </row>
    <row r="369" spans="1:16" x14ac:dyDescent="0.3">
      <c r="A369" s="503">
        <v>351</v>
      </c>
      <c r="B369" s="473" t="s">
        <v>16</v>
      </c>
      <c r="C369" s="513" t="s">
        <v>220</v>
      </c>
      <c r="D369" s="476" t="s">
        <v>41</v>
      </c>
      <c r="E369" s="470" t="s">
        <v>46</v>
      </c>
      <c r="F369" s="530">
        <v>350000</v>
      </c>
      <c r="G369" s="506">
        <v>1</v>
      </c>
      <c r="H369" s="462">
        <f>G369*4</f>
        <v>4</v>
      </c>
      <c r="I369" s="471">
        <v>0</v>
      </c>
      <c r="J369" s="472">
        <f t="shared" si="26"/>
        <v>350000</v>
      </c>
      <c r="K369" s="463">
        <f t="shared" si="27"/>
        <v>1400000</v>
      </c>
      <c r="O369" s="540" t="s">
        <v>324</v>
      </c>
      <c r="P369" s="569" t="e">
        <f t="shared" si="28"/>
        <v>#DIV/0!</v>
      </c>
    </row>
    <row r="370" spans="1:16" x14ac:dyDescent="0.3">
      <c r="A370" s="503">
        <v>416</v>
      </c>
      <c r="B370" s="473" t="s">
        <v>16</v>
      </c>
      <c r="C370" s="513" t="s">
        <v>220</v>
      </c>
      <c r="D370" s="476" t="s">
        <v>41</v>
      </c>
      <c r="E370" s="470" t="s">
        <v>46</v>
      </c>
      <c r="F370" s="530">
        <v>350000</v>
      </c>
      <c r="G370" s="506">
        <v>1</v>
      </c>
      <c r="H370" s="462">
        <f>G370*6</f>
        <v>6</v>
      </c>
      <c r="I370" s="471">
        <v>0</v>
      </c>
      <c r="J370" s="472">
        <f t="shared" si="26"/>
        <v>350000</v>
      </c>
      <c r="K370" s="463">
        <f t="shared" si="27"/>
        <v>2100000</v>
      </c>
      <c r="O370" s="540" t="s">
        <v>324</v>
      </c>
      <c r="P370" s="569" t="e">
        <f t="shared" si="28"/>
        <v>#DIV/0!</v>
      </c>
    </row>
  </sheetData>
  <autoFilter ref="A1:P370" xr:uid="{B71E3774-0CD1-401D-AC2A-0066A0D4C8DA}"/>
  <sortState xmlns:xlrd2="http://schemas.microsoft.com/office/spreadsheetml/2017/richdata2" ref="A2:Q370">
    <sortCondition ref="C2:C370"/>
    <sortCondition ref="D2:D370"/>
  </sortState>
  <phoneticPr fontId="3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BB7D-3DBA-426E-BB0E-E6647A7FC752}">
  <sheetPr>
    <tabColor theme="1"/>
  </sheetPr>
  <dimension ref="A4:K33"/>
  <sheetViews>
    <sheetView zoomScale="55" zoomScaleNormal="55" workbookViewId="0">
      <selection activeCell="I6" sqref="I6:I16"/>
    </sheetView>
  </sheetViews>
  <sheetFormatPr baseColWidth="10" defaultColWidth="10.7109375" defaultRowHeight="15" x14ac:dyDescent="0.25"/>
  <cols>
    <col min="2" max="2" width="11.42578125" style="105"/>
    <col min="3" max="3" width="90.85546875" style="112" customWidth="1"/>
    <col min="4" max="4" width="7.42578125" style="52" customWidth="1"/>
    <col min="5" max="5" width="30.7109375" style="105" customWidth="1"/>
    <col min="6" max="6" width="27" style="105" customWidth="1"/>
    <col min="7" max="7" width="27.85546875" style="105" customWidth="1"/>
    <col min="8" max="8" width="28" style="105" customWidth="1"/>
    <col min="9" max="9" width="27.5703125" style="105" customWidth="1"/>
    <col min="10" max="10" width="26.85546875" style="105" customWidth="1"/>
    <col min="11" max="11" width="35.28515625" customWidth="1"/>
  </cols>
  <sheetData>
    <row r="4" spans="1:11" x14ac:dyDescent="0.25">
      <c r="B4" s="664" t="s">
        <v>92</v>
      </c>
      <c r="C4" s="664"/>
      <c r="D4" s="664"/>
      <c r="E4" s="664"/>
      <c r="F4" s="664"/>
      <c r="G4" s="664"/>
      <c r="H4" s="664"/>
      <c r="I4" s="664"/>
      <c r="J4" s="106"/>
    </row>
    <row r="5" spans="1:11" x14ac:dyDescent="0.25">
      <c r="A5" s="51" t="s">
        <v>74</v>
      </c>
      <c r="B5" s="106" t="s">
        <v>141</v>
      </c>
      <c r="C5" s="107" t="s">
        <v>75</v>
      </c>
      <c r="D5" s="51" t="s">
        <v>76</v>
      </c>
      <c r="E5" s="51" t="s">
        <v>77</v>
      </c>
      <c r="F5" s="51" t="s">
        <v>79</v>
      </c>
      <c r="G5" s="51" t="s">
        <v>80</v>
      </c>
      <c r="H5" s="51" t="s">
        <v>81</v>
      </c>
      <c r="I5" s="51" t="s">
        <v>82</v>
      </c>
      <c r="J5" s="51" t="s">
        <v>78</v>
      </c>
    </row>
    <row r="6" spans="1:11" ht="45" x14ac:dyDescent="0.25">
      <c r="A6" s="52" t="s">
        <v>142</v>
      </c>
      <c r="B6" s="52" t="s">
        <v>83</v>
      </c>
      <c r="C6" s="108" t="str">
        <f>+'APU01'!C3:G3</f>
        <v>Suministro, instalacion y puesta en funcionamiento de poste con dos camaras tipo bala para uso exterior de 4MP y sistema de alimentacion convencional, con radio de comunicación EMPM Force 190</v>
      </c>
      <c r="D6" s="52">
        <v>3</v>
      </c>
      <c r="E6" s="117">
        <f>+'APU01'!H52</f>
        <v>7772695.7999999998</v>
      </c>
      <c r="F6" s="109">
        <f>+'APU01'!H10</f>
        <v>325123</v>
      </c>
      <c r="G6" s="109">
        <f>+'APU01'!H37</f>
        <v>5780624.7999999998</v>
      </c>
      <c r="H6" s="109">
        <f>+'APU01'!H50</f>
        <v>1666948</v>
      </c>
      <c r="I6" s="109">
        <f>+'APU01'!H43</f>
        <v>0</v>
      </c>
      <c r="J6" s="109">
        <f>+D6*E6</f>
        <v>23318087.399999999</v>
      </c>
    </row>
    <row r="7" spans="1:11" ht="45" x14ac:dyDescent="0.25">
      <c r="A7" s="52">
        <v>2.8</v>
      </c>
      <c r="B7" s="52" t="s">
        <v>84</v>
      </c>
      <c r="C7" s="108" t="str">
        <f>+'APU02'!C3:G3</f>
        <v>Suministro, instalacion y puesta en funcionamiento de poste con una camaras tipo bala para uso exterior de 4MP y sistema de alimentacion convencional, con radio de comunicación EMPM Force 190</v>
      </c>
      <c r="D7" s="52">
        <v>6</v>
      </c>
      <c r="E7" s="117">
        <f>+'APU02'!H53</f>
        <v>6870341.3999999994</v>
      </c>
      <c r="F7" s="109">
        <f>+'APU02'!H10</f>
        <v>316313</v>
      </c>
      <c r="G7" s="109">
        <f>+'APU02'!H37</f>
        <v>4968498.3999999994</v>
      </c>
      <c r="H7" s="109">
        <f>+'APU02'!H51</f>
        <v>1585530</v>
      </c>
      <c r="I7" s="109">
        <f>+'APU02'!H43</f>
        <v>0</v>
      </c>
      <c r="J7" s="110">
        <f t="shared" ref="J7:J13" si="0">+D7*E7</f>
        <v>41222048.399999999</v>
      </c>
    </row>
    <row r="8" spans="1:11" ht="30" x14ac:dyDescent="0.25">
      <c r="A8" s="52" t="s">
        <v>147</v>
      </c>
      <c r="B8" s="52" t="s">
        <v>85</v>
      </c>
      <c r="C8" s="108" t="str">
        <f>+'APU03'!C3:G3</f>
        <v>Suministro, instalacion y puesta en funcionamiento de poste con domo PTZ para uso exterior y sistema de alimentacion con panel solar, con radio de comunicación EMPM FORCE 190</v>
      </c>
      <c r="D8" s="52">
        <v>5</v>
      </c>
      <c r="E8" s="117">
        <f>+'APU03'!H60</f>
        <v>17858242</v>
      </c>
      <c r="F8" s="109">
        <f>+'APU03'!H10</f>
        <v>375233</v>
      </c>
      <c r="G8" s="109">
        <f>+'APU03'!H46</f>
        <v>15897479</v>
      </c>
      <c r="H8" s="109">
        <f>+'APU03'!H58</f>
        <v>1585530</v>
      </c>
      <c r="I8" s="109">
        <f>+'APU03'!H52</f>
        <v>0</v>
      </c>
      <c r="J8" s="109">
        <f t="shared" si="0"/>
        <v>89291210</v>
      </c>
    </row>
    <row r="9" spans="1:11" ht="30" x14ac:dyDescent="0.25">
      <c r="A9" s="52" t="s">
        <v>143</v>
      </c>
      <c r="B9" s="52" t="s">
        <v>86</v>
      </c>
      <c r="C9" s="108" t="str">
        <f>+'APU04'!C3:G3</f>
        <v>Suministro, instalacion y puesta en funcionamiento de poste con domo PTZ para uso exterior y sistema de alimentacion convencional, con radio de comunicación EMPM FORCE 190</v>
      </c>
      <c r="D9" s="52">
        <v>7</v>
      </c>
      <c r="E9" s="109">
        <f>+'APU04'!H53</f>
        <v>11592459</v>
      </c>
      <c r="F9" s="109">
        <f>+'APU04'!H10</f>
        <v>335453</v>
      </c>
      <c r="G9" s="109">
        <f>+'APU04'!H37</f>
        <v>9671476</v>
      </c>
      <c r="H9" s="109">
        <f>+'APU04'!H51</f>
        <v>1585530</v>
      </c>
      <c r="I9" s="109">
        <f>+'APU04'!H43</f>
        <v>0</v>
      </c>
      <c r="J9" s="109">
        <f t="shared" si="0"/>
        <v>81147213</v>
      </c>
    </row>
    <row r="10" spans="1:11" ht="30" x14ac:dyDescent="0.25">
      <c r="A10" s="52">
        <v>10</v>
      </c>
      <c r="B10" s="52" t="s">
        <v>87</v>
      </c>
      <c r="C10" s="108" t="str">
        <f>+'APU05'!C3:G3</f>
        <v>Suministro, instalacion y puesta en funcionamiento de mastil de 16 metros de altura con sistema de radios receptores para recepcionar todas las camaras del ECOPARQUE</v>
      </c>
      <c r="D10" s="52">
        <v>1</v>
      </c>
      <c r="E10" s="109">
        <f>+'APU05'!H59</f>
        <v>47795336.200000003</v>
      </c>
      <c r="F10" s="109">
        <f>+'APU05'!H10</f>
        <v>785585</v>
      </c>
      <c r="G10" s="109">
        <f>+'APU05'!H43</f>
        <v>42893162.200000003</v>
      </c>
      <c r="H10" s="109">
        <f>+'APU05'!H57</f>
        <v>4116589</v>
      </c>
      <c r="I10" s="109">
        <f>+'APU05'!H49</f>
        <v>0</v>
      </c>
      <c r="J10" s="109">
        <f t="shared" si="0"/>
        <v>47795336.200000003</v>
      </c>
    </row>
    <row r="11" spans="1:11" ht="45" x14ac:dyDescent="0.25">
      <c r="A11" s="52">
        <v>11.16</v>
      </c>
      <c r="B11" s="52" t="s">
        <v>88</v>
      </c>
      <c r="C11" s="108" t="str">
        <f>+'APU06'!C3:G3</f>
        <v>Suministro, instalacion y puesta en funcionamiento de poste con una camara tipo bala para uso exterior de 4MP y sistema de alimentacion con panel solar, con radio de comunicación EPMP FORCE 190</v>
      </c>
      <c r="D11" s="52">
        <v>4</v>
      </c>
      <c r="E11" s="109">
        <f>+'APU06'!H60</f>
        <v>13046883.4</v>
      </c>
      <c r="F11" s="109">
        <f>+'APU06'!H10</f>
        <v>349613</v>
      </c>
      <c r="G11" s="109">
        <f>+'APU06'!H46</f>
        <v>11111740.4</v>
      </c>
      <c r="H11" s="109">
        <f>+'APU06'!H58</f>
        <v>1585530</v>
      </c>
      <c r="I11" s="109">
        <f>+'APU06'!H52</f>
        <v>0</v>
      </c>
      <c r="J11" s="109">
        <f t="shared" si="0"/>
        <v>52187533.600000001</v>
      </c>
    </row>
    <row r="12" spans="1:11" ht="45" x14ac:dyDescent="0.25">
      <c r="A12" s="52" t="s">
        <v>144</v>
      </c>
      <c r="B12" s="52" t="s">
        <v>89</v>
      </c>
      <c r="C12" s="108" t="str">
        <f>+'APU07'!C3:G3</f>
        <v>Suministro, instalacion y puesta en funcionamiento de poste con dos camaras tipo bala para uso exterior de 4MP y sistema de alimentacion con panel solar, con radio de comunicación EMPM FORCE 190</v>
      </c>
      <c r="D12" s="52">
        <v>6</v>
      </c>
      <c r="E12" s="109">
        <f>+'APU07'!H61</f>
        <v>13601410.600000001</v>
      </c>
      <c r="F12" s="109">
        <f>+'APU07'!H11</f>
        <v>360473</v>
      </c>
      <c r="G12" s="109">
        <f>+'APU07'!H47</f>
        <v>11655407.600000001</v>
      </c>
      <c r="H12" s="109">
        <f>+'APU07'!H59</f>
        <v>1585530</v>
      </c>
      <c r="I12" s="109">
        <f>+'APU07'!H53</f>
        <v>0</v>
      </c>
      <c r="J12" s="109">
        <f t="shared" si="0"/>
        <v>81608463.600000009</v>
      </c>
    </row>
    <row r="13" spans="1:11" ht="66.75" customHeight="1" x14ac:dyDescent="0.25">
      <c r="A13" s="52">
        <v>20</v>
      </c>
      <c r="B13" s="52" t="s">
        <v>90</v>
      </c>
      <c r="C13" s="108" t="str">
        <f>+'APU08'!C3:G3</f>
        <v>Suministro, instalacion y puesta en funcionamiento de central de monitoreo de vigilancia con los siguientes equipos:
-1 Rack para montaje NVR
-3 NVR
-Cableado
-2 estaciones de control y supervision
-6 Monitor de 42"
-Router
-UPS
-Aire acondicionado mini split inverter 24000BTU
Accesorios para montaje y conexionado de equipos</v>
      </c>
      <c r="D13" s="52">
        <v>1</v>
      </c>
      <c r="E13" s="109">
        <f>+'APU08'!H63</f>
        <v>110283421.40000001</v>
      </c>
      <c r="F13" s="109">
        <f>+'APU08'!H9</f>
        <v>1916061</v>
      </c>
      <c r="G13" s="109">
        <f>+'APU08'!H50</f>
        <v>80789740.400000006</v>
      </c>
      <c r="H13" s="109">
        <f>+'APU08'!H61</f>
        <v>27577620</v>
      </c>
      <c r="I13" s="109">
        <f>+'APU08'!H54</f>
        <v>0</v>
      </c>
      <c r="J13" s="109">
        <f t="shared" si="0"/>
        <v>110283421.40000001</v>
      </c>
    </row>
    <row r="14" spans="1:11" ht="37.5" customHeight="1" x14ac:dyDescent="0.25">
      <c r="A14" s="52">
        <v>21</v>
      </c>
      <c r="B14" s="52" t="s">
        <v>91</v>
      </c>
      <c r="C14" s="108" t="str">
        <f>+'APU09'!C3:G3</f>
        <v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v>
      </c>
      <c r="D14" s="52">
        <v>3</v>
      </c>
      <c r="E14" s="109">
        <f>+'APU09'!H52</f>
        <v>25554962.600000001</v>
      </c>
      <c r="F14" s="109">
        <f>+'APU09'!H9</f>
        <v>697261</v>
      </c>
      <c r="G14" s="109">
        <f>+'APU09'!H38</f>
        <v>14276075.6</v>
      </c>
      <c r="H14" s="109">
        <f>+'APU09'!H50</f>
        <v>10581626</v>
      </c>
      <c r="I14" s="109">
        <f>+'APU09'!H43</f>
        <v>0</v>
      </c>
      <c r="J14" s="109">
        <f>+D14*E14</f>
        <v>76664887.800000012</v>
      </c>
      <c r="K14" s="210"/>
    </row>
    <row r="15" spans="1:11" ht="37.5" customHeight="1" x14ac:dyDescent="0.25">
      <c r="A15" s="52">
        <v>23</v>
      </c>
      <c r="B15" s="52" t="s">
        <v>368</v>
      </c>
      <c r="C15" s="108" t="s">
        <v>350</v>
      </c>
      <c r="D15" s="52">
        <v>1062</v>
      </c>
      <c r="E15" s="613">
        <f>+'APU10  B. Ductos'!H21</f>
        <v>14358.4</v>
      </c>
      <c r="F15" s="613">
        <f>+'APU10  B. Ductos'!H7</f>
        <v>2109</v>
      </c>
      <c r="G15" s="613">
        <f>+'APU10  B. Ductos'!H14</f>
        <v>7962.4</v>
      </c>
      <c r="H15" s="613">
        <f>+'APU10  B. Ductos'!H19</f>
        <v>4287</v>
      </c>
      <c r="I15" s="613"/>
      <c r="J15" s="613">
        <f>+D15*E15</f>
        <v>15248620.799999999</v>
      </c>
      <c r="K15" s="210"/>
    </row>
    <row r="16" spans="1:11" ht="37.5" customHeight="1" x14ac:dyDescent="0.25">
      <c r="A16" s="52">
        <v>24</v>
      </c>
      <c r="B16" s="52" t="s">
        <v>369</v>
      </c>
      <c r="C16" s="108" t="s">
        <v>362</v>
      </c>
      <c r="D16" s="52">
        <v>32</v>
      </c>
      <c r="E16" s="613">
        <f>+'APU11 P.Tierra'!H23</f>
        <v>758569.7</v>
      </c>
      <c r="F16" s="613">
        <f>+'APU11 P.Tierra'!H8</f>
        <v>42071.8</v>
      </c>
      <c r="G16" s="613">
        <f>+'APU11 P.Tierra'!H16</f>
        <v>375061.9</v>
      </c>
      <c r="H16" s="613">
        <f>+'APU11 P.Tierra'!H21</f>
        <v>341436</v>
      </c>
      <c r="I16" s="613"/>
      <c r="J16" s="613">
        <f>+D16*E16</f>
        <v>24274230.399999999</v>
      </c>
      <c r="K16" s="210"/>
    </row>
    <row r="17" spans="1:11" ht="26.25" x14ac:dyDescent="0.4">
      <c r="B17" s="52"/>
      <c r="C17" s="111"/>
      <c r="E17" s="109"/>
      <c r="F17" s="202">
        <f>SUM(F6:F16)</f>
        <v>5505295.7999999998</v>
      </c>
      <c r="G17" s="202">
        <f>SUM(G6:G16)</f>
        <v>197427228.70000002</v>
      </c>
      <c r="H17" s="202">
        <f>SUM(H6:H16)</f>
        <v>52216156</v>
      </c>
      <c r="I17" s="202">
        <f>SUM(I6:I14)</f>
        <v>0</v>
      </c>
      <c r="J17" s="115">
        <f>SUM(J6:J16)</f>
        <v>643041052.60000002</v>
      </c>
      <c r="K17" s="211"/>
    </row>
    <row r="18" spans="1:11" ht="26.25" x14ac:dyDescent="0.4">
      <c r="K18" s="212"/>
    </row>
    <row r="19" spans="1:11" x14ac:dyDescent="0.25">
      <c r="A19" s="665" t="s">
        <v>18</v>
      </c>
      <c r="B19" s="665"/>
      <c r="C19" s="665"/>
      <c r="D19" s="665"/>
      <c r="E19" s="665"/>
      <c r="F19" s="665"/>
      <c r="G19" s="665"/>
      <c r="H19" s="665"/>
      <c r="I19" s="665"/>
      <c r="J19" s="542"/>
    </row>
    <row r="20" spans="1:11" ht="45" x14ac:dyDescent="0.25">
      <c r="B20" s="52" t="s">
        <v>83</v>
      </c>
      <c r="C20" s="112" t="str">
        <f>+C6</f>
        <v>Suministro, instalacion y puesta en funcionamiento de poste con dos camaras tipo bala para uso exterior de 4MP y sistema de alimentacion convencional, con radio de comunicación EMPM Force 190</v>
      </c>
      <c r="D20" s="52">
        <f>+D6</f>
        <v>3</v>
      </c>
      <c r="E20" s="113">
        <f>+SUM(F20:I20)</f>
        <v>23318087.399999999</v>
      </c>
      <c r="F20" s="113">
        <f t="shared" ref="F20:I28" si="1">+$D20*F6</f>
        <v>975369</v>
      </c>
      <c r="G20" s="113">
        <f t="shared" si="1"/>
        <v>17341874.399999999</v>
      </c>
      <c r="H20" s="113">
        <f t="shared" si="1"/>
        <v>5000844</v>
      </c>
      <c r="I20" s="113">
        <f t="shared" si="1"/>
        <v>0</v>
      </c>
      <c r="J20" s="113"/>
    </row>
    <row r="21" spans="1:11" ht="45" x14ac:dyDescent="0.25">
      <c r="B21" s="52" t="s">
        <v>84</v>
      </c>
      <c r="C21" s="112" t="str">
        <f t="shared" ref="C21:D21" si="2">+C7</f>
        <v>Suministro, instalacion y puesta en funcionamiento de poste con una camaras tipo bala para uso exterior de 4MP y sistema de alimentacion convencional, con radio de comunicación EMPM Force 190</v>
      </c>
      <c r="D21" s="52">
        <f t="shared" si="2"/>
        <v>6</v>
      </c>
      <c r="E21" s="113">
        <f t="shared" ref="E21:E30" si="3">+SUM(F21:I21)</f>
        <v>41222048.399999999</v>
      </c>
      <c r="F21" s="113">
        <f t="shared" si="1"/>
        <v>1897878</v>
      </c>
      <c r="G21" s="113">
        <f t="shared" si="1"/>
        <v>29810990.399999999</v>
      </c>
      <c r="H21" s="113">
        <f t="shared" si="1"/>
        <v>9513180</v>
      </c>
      <c r="I21" s="113">
        <f t="shared" si="1"/>
        <v>0</v>
      </c>
      <c r="J21" s="113"/>
    </row>
    <row r="22" spans="1:11" ht="30" x14ac:dyDescent="0.25">
      <c r="B22" s="52" t="s">
        <v>85</v>
      </c>
      <c r="C22" s="112" t="str">
        <f t="shared" ref="C22:D22" si="4">+C8</f>
        <v>Suministro, instalacion y puesta en funcionamiento de poste con domo PTZ para uso exterior y sistema de alimentacion con panel solar, con radio de comunicación EMPM FORCE 190</v>
      </c>
      <c r="D22" s="52">
        <f t="shared" si="4"/>
        <v>5</v>
      </c>
      <c r="E22" s="113">
        <f t="shared" si="3"/>
        <v>89291210</v>
      </c>
      <c r="F22" s="113">
        <f t="shared" si="1"/>
        <v>1876165</v>
      </c>
      <c r="G22" s="113">
        <f t="shared" si="1"/>
        <v>79487395</v>
      </c>
      <c r="H22" s="113">
        <f t="shared" si="1"/>
        <v>7927650</v>
      </c>
      <c r="I22" s="113">
        <f t="shared" si="1"/>
        <v>0</v>
      </c>
      <c r="J22" s="113"/>
    </row>
    <row r="23" spans="1:11" ht="30" x14ac:dyDescent="0.25">
      <c r="B23" s="52" t="s">
        <v>86</v>
      </c>
      <c r="C23" s="112" t="str">
        <f t="shared" ref="C23:D23" si="5">+C9</f>
        <v>Suministro, instalacion y puesta en funcionamiento de poste con domo PTZ para uso exterior y sistema de alimentacion convencional, con radio de comunicación EMPM FORCE 190</v>
      </c>
      <c r="D23" s="52">
        <f t="shared" si="5"/>
        <v>7</v>
      </c>
      <c r="E23" s="113">
        <f t="shared" si="3"/>
        <v>81147213</v>
      </c>
      <c r="F23" s="113">
        <f t="shared" si="1"/>
        <v>2348171</v>
      </c>
      <c r="G23" s="113">
        <f t="shared" si="1"/>
        <v>67700332</v>
      </c>
      <c r="H23" s="113">
        <f t="shared" si="1"/>
        <v>11098710</v>
      </c>
      <c r="I23" s="113">
        <f t="shared" si="1"/>
        <v>0</v>
      </c>
      <c r="J23" s="113"/>
    </row>
    <row r="24" spans="1:11" ht="30" x14ac:dyDescent="0.25">
      <c r="B24" s="52" t="s">
        <v>87</v>
      </c>
      <c r="C24" s="112" t="str">
        <f t="shared" ref="C24:D24" si="6">+C10</f>
        <v>Suministro, instalacion y puesta en funcionamiento de mastil de 16 metros de altura con sistema de radios receptores para recepcionar todas las camaras del ECOPARQUE</v>
      </c>
      <c r="D24" s="52">
        <f t="shared" si="6"/>
        <v>1</v>
      </c>
      <c r="E24" s="113">
        <f t="shared" si="3"/>
        <v>47795336.200000003</v>
      </c>
      <c r="F24" s="113">
        <f t="shared" si="1"/>
        <v>785585</v>
      </c>
      <c r="G24" s="113">
        <f t="shared" si="1"/>
        <v>42893162.200000003</v>
      </c>
      <c r="H24" s="113">
        <f t="shared" si="1"/>
        <v>4116589</v>
      </c>
      <c r="I24" s="113">
        <f t="shared" si="1"/>
        <v>0</v>
      </c>
      <c r="J24" s="113"/>
    </row>
    <row r="25" spans="1:11" ht="45" x14ac:dyDescent="0.25">
      <c r="B25" s="52" t="s">
        <v>88</v>
      </c>
      <c r="C25" s="112" t="str">
        <f t="shared" ref="C25:D25" si="7">+C11</f>
        <v>Suministro, instalacion y puesta en funcionamiento de poste con una camara tipo bala para uso exterior de 4MP y sistema de alimentacion con panel solar, con radio de comunicación EPMP FORCE 190</v>
      </c>
      <c r="D25" s="52">
        <f t="shared" si="7"/>
        <v>4</v>
      </c>
      <c r="E25" s="113">
        <f t="shared" si="3"/>
        <v>52187533.600000001</v>
      </c>
      <c r="F25" s="113">
        <f t="shared" si="1"/>
        <v>1398452</v>
      </c>
      <c r="G25" s="113">
        <f t="shared" si="1"/>
        <v>44446961.600000001</v>
      </c>
      <c r="H25" s="113">
        <f t="shared" si="1"/>
        <v>6342120</v>
      </c>
      <c r="I25" s="113">
        <f t="shared" si="1"/>
        <v>0</v>
      </c>
      <c r="J25" s="113"/>
    </row>
    <row r="26" spans="1:11" ht="45" x14ac:dyDescent="0.25">
      <c r="B26" s="52" t="s">
        <v>89</v>
      </c>
      <c r="C26" s="112" t="str">
        <f t="shared" ref="C26:D26" si="8">+C12</f>
        <v>Suministro, instalacion y puesta en funcionamiento de poste con dos camaras tipo bala para uso exterior de 4MP y sistema de alimentacion con panel solar, con radio de comunicación EMPM FORCE 190</v>
      </c>
      <c r="D26" s="52">
        <f t="shared" si="8"/>
        <v>6</v>
      </c>
      <c r="E26" s="113">
        <f t="shared" si="3"/>
        <v>81608463.600000009</v>
      </c>
      <c r="F26" s="113">
        <f t="shared" si="1"/>
        <v>2162838</v>
      </c>
      <c r="G26" s="113">
        <f t="shared" si="1"/>
        <v>69932445.600000009</v>
      </c>
      <c r="H26" s="113">
        <f t="shared" si="1"/>
        <v>9513180</v>
      </c>
      <c r="I26" s="113">
        <f t="shared" si="1"/>
        <v>0</v>
      </c>
      <c r="J26" s="113"/>
    </row>
    <row r="27" spans="1:11" ht="73.5" customHeight="1" x14ac:dyDescent="0.25">
      <c r="B27" s="52" t="s">
        <v>90</v>
      </c>
      <c r="C27" s="112" t="str">
        <f t="shared" ref="C27:D27" si="9">+C13</f>
        <v>Suministro, instalacion y puesta en funcionamiento de central de monitoreo de vigilancia con los siguientes equipos:
-1 Rack para montaje NVR
-3 NVR
-Cableado
-2 estaciones de control y supervision
-6 Monitor de 42"
-Router
-UPS
-Aire acondicionado mini split inverter 24000BTU
Accesorios para montaje y conexionado de equipos</v>
      </c>
      <c r="D27" s="52">
        <f t="shared" si="9"/>
        <v>1</v>
      </c>
      <c r="E27" s="113">
        <f>+SUM(F27:I27)</f>
        <v>110283421.40000001</v>
      </c>
      <c r="F27" s="113">
        <f t="shared" si="1"/>
        <v>1916061</v>
      </c>
      <c r="G27" s="113">
        <f t="shared" si="1"/>
        <v>80789740.400000006</v>
      </c>
      <c r="H27" s="113">
        <f t="shared" si="1"/>
        <v>27577620</v>
      </c>
      <c r="I27" s="113">
        <f t="shared" si="1"/>
        <v>0</v>
      </c>
      <c r="J27" s="113"/>
    </row>
    <row r="28" spans="1:11" ht="54" customHeight="1" x14ac:dyDescent="0.25">
      <c r="B28" s="52" t="s">
        <v>91</v>
      </c>
      <c r="C28" s="112" t="str">
        <f t="shared" ref="C28:D28" si="10">+C14</f>
        <v>Suministro, instalacion y puesta en funcionamiento de sistema de videovigilancia para estacion de bienestar, se estiman los siguientes elementos
-6 camaras internas 4MP
-6 camaras externas 4MP
-Rack para montaje de swich
-Fuentes de alimentacion
-Cableado desde rack a camaras
-Radio para transmision a central de monitoreo</v>
      </c>
      <c r="D28" s="52">
        <f t="shared" si="10"/>
        <v>3</v>
      </c>
      <c r="E28" s="113">
        <f t="shared" si="3"/>
        <v>76664887.799999997</v>
      </c>
      <c r="F28" s="113">
        <f t="shared" si="1"/>
        <v>2091783</v>
      </c>
      <c r="G28" s="113">
        <f t="shared" si="1"/>
        <v>42828226.799999997</v>
      </c>
      <c r="H28" s="113">
        <f t="shared" si="1"/>
        <v>31744878</v>
      </c>
      <c r="I28" s="113">
        <f t="shared" si="1"/>
        <v>0</v>
      </c>
      <c r="J28" s="113"/>
    </row>
    <row r="29" spans="1:11" ht="54" customHeight="1" x14ac:dyDescent="0.25">
      <c r="B29" s="52" t="s">
        <v>370</v>
      </c>
      <c r="C29" s="108" t="s">
        <v>350</v>
      </c>
      <c r="D29" s="52">
        <v>1062</v>
      </c>
      <c r="E29" s="113">
        <f t="shared" si="3"/>
        <v>15248620.799999999</v>
      </c>
      <c r="F29" s="113">
        <f>+$D29*F15</f>
        <v>2239758</v>
      </c>
      <c r="G29" s="113">
        <f t="shared" ref="G29:H30" si="11">+$D29*G15</f>
        <v>8456068.7999999989</v>
      </c>
      <c r="H29" s="113">
        <f t="shared" si="11"/>
        <v>4552794</v>
      </c>
      <c r="I29" s="113"/>
      <c r="J29" s="113"/>
    </row>
    <row r="30" spans="1:11" ht="54" customHeight="1" x14ac:dyDescent="0.25">
      <c r="B30" s="52" t="s">
        <v>371</v>
      </c>
      <c r="C30" s="108" t="s">
        <v>362</v>
      </c>
      <c r="D30" s="52">
        <v>32</v>
      </c>
      <c r="E30" s="113">
        <f t="shared" si="3"/>
        <v>24274230.399999999</v>
      </c>
      <c r="F30" s="113">
        <f>+$D30*F16</f>
        <v>1346297.6</v>
      </c>
      <c r="G30" s="113">
        <f t="shared" si="11"/>
        <v>12001980.800000001</v>
      </c>
      <c r="H30" s="113">
        <f t="shared" si="11"/>
        <v>10925952</v>
      </c>
      <c r="I30" s="113"/>
      <c r="J30" s="113"/>
    </row>
    <row r="31" spans="1:11" s="203" customFormat="1" ht="36.75" customHeight="1" x14ac:dyDescent="0.25">
      <c r="B31" s="204"/>
      <c r="C31" s="205"/>
      <c r="D31" s="206"/>
      <c r="E31" s="207">
        <f>SUM(E20:E30)</f>
        <v>643041052.5999999</v>
      </c>
      <c r="F31" s="207">
        <f>SUM(F20:F30)</f>
        <v>19038357.600000001</v>
      </c>
      <c r="G31" s="207">
        <f>SUM(G20:G30)</f>
        <v>495689178.00000006</v>
      </c>
      <c r="H31" s="207">
        <f>SUM(H20:H30)</f>
        <v>128313517</v>
      </c>
      <c r="I31" s="207">
        <f>SUM(I20:I28)</f>
        <v>0</v>
      </c>
      <c r="J31" s="208"/>
    </row>
    <row r="33" spans="8:8" x14ac:dyDescent="0.25">
      <c r="H33" s="585"/>
    </row>
  </sheetData>
  <mergeCells count="2">
    <mergeCell ref="B4:I4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2:J57"/>
  <sheetViews>
    <sheetView topLeftCell="A31" zoomScale="85" zoomScaleNormal="85" workbookViewId="0">
      <selection activeCell="F46" sqref="F46"/>
    </sheetView>
  </sheetViews>
  <sheetFormatPr baseColWidth="10" defaultColWidth="11.42578125" defaultRowHeight="12.75" x14ac:dyDescent="0.2"/>
  <cols>
    <col min="1" max="1" width="11.42578125" style="1"/>
    <col min="2" max="2" width="10" style="24" customWidth="1"/>
    <col min="3" max="3" width="51.28515625" style="24" customWidth="1"/>
    <col min="4" max="4" width="10.7109375" style="25" customWidth="1"/>
    <col min="5" max="5" width="17.5703125" style="24" bestFit="1" customWidth="1"/>
    <col min="6" max="6" width="19.28515625" style="25" customWidth="1"/>
    <col min="7" max="7" width="16.7109375" style="25" bestFit="1" customWidth="1"/>
    <col min="8" max="8" width="18.42578125" style="1" bestFit="1" customWidth="1"/>
    <col min="9" max="9" width="11.42578125" style="1"/>
    <col min="10" max="10" width="14.85546875" style="1" bestFit="1" customWidth="1"/>
    <col min="11" max="16384" width="11.42578125" style="1"/>
  </cols>
  <sheetData>
    <row r="2" spans="2:10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10" ht="69" customHeight="1" x14ac:dyDescent="0.2">
      <c r="B3" s="57" t="s">
        <v>1</v>
      </c>
      <c r="C3" s="678" t="s">
        <v>200</v>
      </c>
      <c r="D3" s="678"/>
      <c r="E3" s="678"/>
      <c r="F3" s="678"/>
      <c r="G3" s="678"/>
      <c r="H3" s="57">
        <v>1</v>
      </c>
      <c r="I3" s="114"/>
    </row>
    <row r="4" spans="2:10" ht="15" x14ac:dyDescent="0.25">
      <c r="B4" s="669" t="s">
        <v>5</v>
      </c>
      <c r="C4" s="669"/>
      <c r="D4" s="669"/>
      <c r="E4" s="669"/>
      <c r="F4" s="669"/>
      <c r="G4" s="669"/>
      <c r="H4" s="669"/>
      <c r="I4" s="85"/>
    </row>
    <row r="5" spans="2:10" ht="15" x14ac:dyDescent="0.25">
      <c r="B5" s="59" t="s">
        <v>7</v>
      </c>
      <c r="C5" s="59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  <c r="I5" s="85"/>
    </row>
    <row r="6" spans="2:10" ht="14.25" x14ac:dyDescent="0.2">
      <c r="B6" s="61"/>
      <c r="C6" s="58" t="s">
        <v>71</v>
      </c>
      <c r="D6" s="42" t="s">
        <v>46</v>
      </c>
      <c r="E6" s="53">
        <v>50000</v>
      </c>
      <c r="F6" s="42">
        <v>0.79500000000000004</v>
      </c>
      <c r="G6" s="43">
        <v>0</v>
      </c>
      <c r="H6" s="74">
        <f>+E6*F6*(1+G6)</f>
        <v>39750</v>
      </c>
      <c r="I6" s="85"/>
    </row>
    <row r="7" spans="2:10" ht="14.25" x14ac:dyDescent="0.2">
      <c r="B7" s="61"/>
      <c r="C7" s="58" t="s">
        <v>20</v>
      </c>
      <c r="D7" s="42" t="s">
        <v>72</v>
      </c>
      <c r="E7" s="53">
        <f>H50*0.05</f>
        <v>83347.400000000009</v>
      </c>
      <c r="F7" s="42">
        <v>1</v>
      </c>
      <c r="G7" s="43">
        <v>0</v>
      </c>
      <c r="H7" s="74">
        <f t="shared" ref="H7:H9" si="0">+E7*F7*(1+G7)</f>
        <v>83347.400000000009</v>
      </c>
      <c r="I7" s="85"/>
    </row>
    <row r="8" spans="2:10" ht="14.25" x14ac:dyDescent="0.2">
      <c r="B8" s="61"/>
      <c r="C8" s="58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si="0"/>
        <v>194076</v>
      </c>
      <c r="I8" s="85"/>
    </row>
    <row r="9" spans="2:10" ht="14.25" x14ac:dyDescent="0.2">
      <c r="B9" s="61"/>
      <c r="C9" s="58" t="s">
        <v>54</v>
      </c>
      <c r="D9" s="42" t="s">
        <v>46</v>
      </c>
      <c r="E9" s="53">
        <v>10000</v>
      </c>
      <c r="F9" s="42">
        <v>0.79500000000000004</v>
      </c>
      <c r="G9" s="43">
        <v>0</v>
      </c>
      <c r="H9" s="74">
        <f t="shared" si="0"/>
        <v>7950</v>
      </c>
      <c r="I9" s="85"/>
    </row>
    <row r="10" spans="2:10" ht="15" x14ac:dyDescent="0.25">
      <c r="B10" s="670"/>
      <c r="C10" s="671"/>
      <c r="D10" s="671"/>
      <c r="E10" s="672"/>
      <c r="F10" s="59" t="s">
        <v>14</v>
      </c>
      <c r="G10" s="59"/>
      <c r="H10" s="62">
        <f>ROUND(SUM(H6:H9),0)</f>
        <v>325123</v>
      </c>
      <c r="I10" s="85"/>
    </row>
    <row r="11" spans="2:10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  <c r="J11" s="30"/>
    </row>
    <row r="12" spans="2:10" ht="15" x14ac:dyDescent="0.25">
      <c r="B12" s="59" t="s">
        <v>7</v>
      </c>
      <c r="C12" s="59" t="s">
        <v>8</v>
      </c>
      <c r="D12" s="59" t="s">
        <v>3</v>
      </c>
      <c r="E12" s="59" t="s">
        <v>9</v>
      </c>
      <c r="F12" s="59" t="s">
        <v>10</v>
      </c>
      <c r="G12" s="59" t="s">
        <v>11</v>
      </c>
      <c r="H12" s="60" t="s">
        <v>12</v>
      </c>
      <c r="I12" s="85"/>
    </row>
    <row r="13" spans="2:10" ht="42.75" x14ac:dyDescent="0.2">
      <c r="B13" s="42"/>
      <c r="C13" s="220" t="s">
        <v>152</v>
      </c>
      <c r="D13" s="44" t="s">
        <v>25</v>
      </c>
      <c r="E13" s="215">
        <v>740300.00000000012</v>
      </c>
      <c r="F13" s="42">
        <v>1</v>
      </c>
      <c r="G13" s="43">
        <v>0</v>
      </c>
      <c r="H13" s="63">
        <f>+E13*F13</f>
        <v>740300.00000000012</v>
      </c>
      <c r="I13" s="85"/>
    </row>
    <row r="14" spans="2:10" ht="28.5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1</v>
      </c>
      <c r="G14" s="43">
        <v>0</v>
      </c>
      <c r="H14" s="63">
        <f t="shared" ref="H14:H15" si="1">+E14*F14</f>
        <v>117600.00000000001</v>
      </c>
      <c r="I14" s="85"/>
    </row>
    <row r="15" spans="2:10" ht="28.5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1</v>
      </c>
      <c r="G15" s="43">
        <v>0</v>
      </c>
      <c r="H15" s="63">
        <f t="shared" si="1"/>
        <v>16680</v>
      </c>
      <c r="I15" s="85"/>
    </row>
    <row r="16" spans="2:10" ht="28.5" x14ac:dyDescent="0.2">
      <c r="B16" s="42"/>
      <c r="C16" s="209" t="s">
        <v>148</v>
      </c>
      <c r="D16" s="44" t="s">
        <v>25</v>
      </c>
      <c r="E16" s="215">
        <v>512800</v>
      </c>
      <c r="F16" s="42">
        <v>2</v>
      </c>
      <c r="G16" s="43">
        <v>0</v>
      </c>
      <c r="H16" s="63">
        <f>+E16*F16</f>
        <v>1025600</v>
      </c>
      <c r="I16" s="85"/>
    </row>
    <row r="17" spans="2:9" ht="14.25" x14ac:dyDescent="0.2">
      <c r="B17" s="42"/>
      <c r="C17" s="587" t="s">
        <v>182</v>
      </c>
      <c r="D17" s="601" t="s">
        <v>25</v>
      </c>
      <c r="E17" s="216">
        <v>535000</v>
      </c>
      <c r="F17" s="42">
        <v>1</v>
      </c>
      <c r="G17" s="43">
        <v>0</v>
      </c>
      <c r="H17" s="63">
        <f t="shared" ref="H17:H36" si="2">+E17*F17</f>
        <v>535000</v>
      </c>
      <c r="I17" s="85"/>
    </row>
    <row r="18" spans="2:9" ht="28.5" x14ac:dyDescent="0.2">
      <c r="B18" s="42"/>
      <c r="C18" s="220" t="s">
        <v>160</v>
      </c>
      <c r="D18" s="44" t="s">
        <v>25</v>
      </c>
      <c r="E18" s="215">
        <v>718000</v>
      </c>
      <c r="F18" s="42">
        <v>1</v>
      </c>
      <c r="G18" s="43">
        <v>0</v>
      </c>
      <c r="H18" s="63">
        <f>+E18*F18</f>
        <v>718000</v>
      </c>
      <c r="I18" s="85"/>
    </row>
    <row r="19" spans="2:9" ht="14.25" x14ac:dyDescent="0.2">
      <c r="B19" s="42"/>
      <c r="C19" s="54" t="s">
        <v>58</v>
      </c>
      <c r="D19" s="44" t="s">
        <v>25</v>
      </c>
      <c r="E19" s="56">
        <v>42920</v>
      </c>
      <c r="F19" s="42">
        <v>1</v>
      </c>
      <c r="G19" s="43">
        <v>0</v>
      </c>
      <c r="H19" s="63">
        <f>+E19*F19</f>
        <v>42920</v>
      </c>
      <c r="I19" s="85"/>
    </row>
    <row r="20" spans="2:9" ht="14.25" x14ac:dyDescent="0.2">
      <c r="B20" s="42"/>
      <c r="C20" s="65" t="s">
        <v>175</v>
      </c>
      <c r="D20" s="88" t="s">
        <v>96</v>
      </c>
      <c r="E20" s="223">
        <v>23880</v>
      </c>
      <c r="F20" s="42">
        <v>0.5</v>
      </c>
      <c r="G20" s="43">
        <v>0</v>
      </c>
      <c r="H20" s="63">
        <f>+E20*F20</f>
        <v>11940</v>
      </c>
      <c r="I20" s="85"/>
    </row>
    <row r="21" spans="2:9" ht="14.25" x14ac:dyDescent="0.2">
      <c r="B21" s="42"/>
      <c r="C21" s="220" t="s">
        <v>159</v>
      </c>
      <c r="D21" s="44" t="s">
        <v>25</v>
      </c>
      <c r="E21" s="215">
        <v>114000</v>
      </c>
      <c r="F21" s="42">
        <v>1</v>
      </c>
      <c r="G21" s="43">
        <v>0</v>
      </c>
      <c r="H21" s="63">
        <f t="shared" si="2"/>
        <v>114000</v>
      </c>
      <c r="I21" s="85"/>
    </row>
    <row r="22" spans="2:9" ht="14.25" x14ac:dyDescent="0.2">
      <c r="B22" s="42"/>
      <c r="C22" s="81" t="s">
        <v>23</v>
      </c>
      <c r="D22" s="44" t="s">
        <v>25</v>
      </c>
      <c r="E22" s="215">
        <v>1111200</v>
      </c>
      <c r="F22" s="42">
        <v>1</v>
      </c>
      <c r="G22" s="43">
        <v>0</v>
      </c>
      <c r="H22" s="63">
        <f t="shared" si="2"/>
        <v>1111200</v>
      </c>
      <c r="I22" s="85"/>
    </row>
    <row r="23" spans="2:9" ht="14.25" x14ac:dyDescent="0.2">
      <c r="B23" s="42"/>
      <c r="C23" s="220" t="s">
        <v>260</v>
      </c>
      <c r="D23" s="44" t="s">
        <v>24</v>
      </c>
      <c r="E23" s="611">
        <v>4040</v>
      </c>
      <c r="F23" s="42">
        <v>4</v>
      </c>
      <c r="G23" s="43">
        <v>0</v>
      </c>
      <c r="H23" s="63">
        <f t="shared" si="2"/>
        <v>16160</v>
      </c>
      <c r="I23" s="85"/>
    </row>
    <row r="24" spans="2:9" ht="14.25" x14ac:dyDescent="0.2">
      <c r="B24" s="42"/>
      <c r="C24" s="217" t="s">
        <v>162</v>
      </c>
      <c r="D24" s="601" t="s">
        <v>25</v>
      </c>
      <c r="E24" s="611">
        <v>1000</v>
      </c>
      <c r="F24" s="42">
        <v>12</v>
      </c>
      <c r="G24" s="43">
        <v>0</v>
      </c>
      <c r="H24" s="63">
        <f t="shared" si="2"/>
        <v>12000</v>
      </c>
      <c r="I24" s="85"/>
    </row>
    <row r="25" spans="2:9" ht="14.25" x14ac:dyDescent="0.2">
      <c r="B25" s="42"/>
      <c r="C25" s="81" t="s">
        <v>110</v>
      </c>
      <c r="D25" s="44" t="s">
        <v>25</v>
      </c>
      <c r="E25" s="215">
        <v>10890</v>
      </c>
      <c r="F25" s="42">
        <v>2</v>
      </c>
      <c r="G25" s="43">
        <v>0</v>
      </c>
      <c r="H25" s="63">
        <f t="shared" si="2"/>
        <v>21780</v>
      </c>
      <c r="I25" s="85"/>
    </row>
    <row r="26" spans="2:9" ht="14.25" x14ac:dyDescent="0.2">
      <c r="B26" s="42"/>
      <c r="C26" s="217" t="s">
        <v>358</v>
      </c>
      <c r="D26" s="44" t="s">
        <v>25</v>
      </c>
      <c r="E26" s="215">
        <v>78016.400000000009</v>
      </c>
      <c r="F26" s="42">
        <v>2</v>
      </c>
      <c r="G26" s="43">
        <v>0</v>
      </c>
      <c r="H26" s="63">
        <f t="shared" ref="H26" si="3">+E26*F26</f>
        <v>156032.80000000002</v>
      </c>
      <c r="I26" s="85"/>
    </row>
    <row r="27" spans="2:9" ht="14.25" x14ac:dyDescent="0.2">
      <c r="B27" s="42"/>
      <c r="C27" s="81" t="s">
        <v>22</v>
      </c>
      <c r="D27" s="44" t="s">
        <v>24</v>
      </c>
      <c r="E27" s="56">
        <v>7500</v>
      </c>
      <c r="F27" s="42">
        <v>8</v>
      </c>
      <c r="G27" s="43">
        <v>0</v>
      </c>
      <c r="H27" s="63">
        <f t="shared" si="2"/>
        <v>60000</v>
      </c>
      <c r="I27" s="85"/>
    </row>
    <row r="28" spans="2:9" ht="14.25" x14ac:dyDescent="0.2">
      <c r="B28" s="42"/>
      <c r="C28" s="81" t="s">
        <v>95</v>
      </c>
      <c r="D28" s="44" t="s">
        <v>25</v>
      </c>
      <c r="E28" s="215">
        <v>8200</v>
      </c>
      <c r="F28" s="42">
        <v>10</v>
      </c>
      <c r="G28" s="43">
        <v>0</v>
      </c>
      <c r="H28" s="63">
        <f t="shared" si="2"/>
        <v>82000</v>
      </c>
      <c r="I28" s="85"/>
    </row>
    <row r="29" spans="2:9" ht="14.25" x14ac:dyDescent="0.2">
      <c r="B29" s="42"/>
      <c r="C29" s="116" t="s">
        <v>28</v>
      </c>
      <c r="D29" s="103" t="s">
        <v>24</v>
      </c>
      <c r="E29" s="215">
        <v>3880</v>
      </c>
      <c r="F29" s="42">
        <v>15</v>
      </c>
      <c r="G29" s="43">
        <v>0</v>
      </c>
      <c r="H29" s="63">
        <f t="shared" si="2"/>
        <v>58200</v>
      </c>
      <c r="I29" s="85"/>
    </row>
    <row r="30" spans="2:9" ht="33" x14ac:dyDescent="0.2">
      <c r="B30" s="42"/>
      <c r="C30" s="493" t="s">
        <v>356</v>
      </c>
      <c r="D30" s="610" t="s">
        <v>25</v>
      </c>
      <c r="E30" s="526">
        <v>3432</v>
      </c>
      <c r="F30" s="42">
        <v>6</v>
      </c>
      <c r="G30" s="43">
        <v>0.1</v>
      </c>
      <c r="H30" s="74">
        <f>+E30*F30*(1+G30)</f>
        <v>22651.200000000001</v>
      </c>
      <c r="I30" s="85"/>
    </row>
    <row r="31" spans="2:9" ht="14.25" x14ac:dyDescent="0.2">
      <c r="B31" s="42"/>
      <c r="C31" s="217" t="s">
        <v>357</v>
      </c>
      <c r="D31" s="222" t="s">
        <v>25</v>
      </c>
      <c r="E31" s="215">
        <v>700</v>
      </c>
      <c r="F31" s="42">
        <v>6</v>
      </c>
      <c r="G31" s="43">
        <v>0</v>
      </c>
      <c r="H31" s="63">
        <f t="shared" si="2"/>
        <v>4200</v>
      </c>
      <c r="I31" s="85"/>
    </row>
    <row r="32" spans="2:9" ht="14.25" x14ac:dyDescent="0.2">
      <c r="B32" s="42"/>
      <c r="C32" s="81" t="s">
        <v>29</v>
      </c>
      <c r="D32" s="44" t="s">
        <v>24</v>
      </c>
      <c r="E32" s="56">
        <v>6870</v>
      </c>
      <c r="F32" s="42">
        <v>81</v>
      </c>
      <c r="G32" s="43">
        <v>0</v>
      </c>
      <c r="H32" s="63">
        <f t="shared" si="2"/>
        <v>556470</v>
      </c>
      <c r="I32" s="85"/>
    </row>
    <row r="33" spans="2:10" ht="14.25" x14ac:dyDescent="0.2">
      <c r="B33" s="42"/>
      <c r="C33" s="221" t="s">
        <v>172</v>
      </c>
      <c r="D33" s="222" t="s">
        <v>24</v>
      </c>
      <c r="E33" s="215">
        <v>26307.5</v>
      </c>
      <c r="F33" s="42">
        <v>8</v>
      </c>
      <c r="G33" s="43">
        <v>0</v>
      </c>
      <c r="H33" s="63">
        <f t="shared" si="2"/>
        <v>210460</v>
      </c>
      <c r="I33" s="85"/>
    </row>
    <row r="34" spans="2:10" ht="14.25" x14ac:dyDescent="0.2">
      <c r="B34" s="42"/>
      <c r="C34" s="221" t="s">
        <v>173</v>
      </c>
      <c r="D34" s="44" t="s">
        <v>25</v>
      </c>
      <c r="E34" s="215">
        <v>16010.800000000001</v>
      </c>
      <c r="F34" s="42">
        <v>1</v>
      </c>
      <c r="G34" s="43">
        <v>0</v>
      </c>
      <c r="H34" s="63">
        <f t="shared" si="2"/>
        <v>16010.800000000001</v>
      </c>
      <c r="I34" s="85"/>
    </row>
    <row r="35" spans="2:10" ht="14.25" x14ac:dyDescent="0.2">
      <c r="B35" s="42"/>
      <c r="C35" s="225" t="s">
        <v>178</v>
      </c>
      <c r="D35" s="44" t="s">
        <v>24</v>
      </c>
      <c r="E35" s="56">
        <v>19900</v>
      </c>
      <c r="F35" s="84">
        <v>2</v>
      </c>
      <c r="G35" s="43">
        <v>0</v>
      </c>
      <c r="H35" s="63">
        <f t="shared" si="2"/>
        <v>39800</v>
      </c>
      <c r="I35" s="85"/>
    </row>
    <row r="36" spans="2:10" ht="14.25" x14ac:dyDescent="0.2">
      <c r="B36" s="42"/>
      <c r="C36" s="81" t="s">
        <v>27</v>
      </c>
      <c r="D36" s="44" t="s">
        <v>25</v>
      </c>
      <c r="E36" s="56">
        <v>91620</v>
      </c>
      <c r="F36" s="42">
        <v>1</v>
      </c>
      <c r="G36" s="43">
        <v>0</v>
      </c>
      <c r="H36" s="63">
        <f t="shared" si="2"/>
        <v>91620</v>
      </c>
      <c r="I36" s="85"/>
    </row>
    <row r="37" spans="2:10" ht="15" x14ac:dyDescent="0.25">
      <c r="B37" s="66"/>
      <c r="C37" s="67"/>
      <c r="D37" s="68"/>
      <c r="E37" s="69"/>
      <c r="F37" s="70" t="s">
        <v>14</v>
      </c>
      <c r="G37" s="70"/>
      <c r="H37" s="71">
        <f>SUM(H13:H36)</f>
        <v>5780624.7999999998</v>
      </c>
      <c r="I37" s="85"/>
    </row>
    <row r="38" spans="2:10" ht="15" x14ac:dyDescent="0.25">
      <c r="B38" s="673" t="s">
        <v>16</v>
      </c>
      <c r="C38" s="674"/>
      <c r="D38" s="674"/>
      <c r="E38" s="674"/>
      <c r="F38" s="674"/>
      <c r="G38" s="674"/>
      <c r="H38" s="675"/>
      <c r="I38" s="85"/>
    </row>
    <row r="39" spans="2:10" ht="15" x14ac:dyDescent="0.25">
      <c r="B39" s="59" t="s">
        <v>7</v>
      </c>
      <c r="C39" s="59" t="s">
        <v>0</v>
      </c>
      <c r="D39" s="59" t="s">
        <v>3</v>
      </c>
      <c r="E39" s="59" t="s">
        <v>9</v>
      </c>
      <c r="F39" s="72" t="s">
        <v>10</v>
      </c>
      <c r="G39" s="73" t="s">
        <v>11</v>
      </c>
      <c r="H39" s="60" t="s">
        <v>12</v>
      </c>
      <c r="I39" s="85"/>
    </row>
    <row r="40" spans="2:10" ht="14.25" x14ac:dyDescent="0.2">
      <c r="B40" s="61"/>
      <c r="C40" s="81"/>
      <c r="D40" s="42"/>
      <c r="E40" s="574"/>
      <c r="F40" s="42"/>
      <c r="G40" s="575"/>
      <c r="H40" s="576"/>
      <c r="I40" s="85"/>
      <c r="J40" s="30"/>
    </row>
    <row r="41" spans="2:10" ht="14.25" x14ac:dyDescent="0.2">
      <c r="B41" s="61"/>
      <c r="C41" s="81"/>
      <c r="D41" s="42"/>
      <c r="E41" s="574"/>
      <c r="F41" s="42"/>
      <c r="G41" s="575"/>
      <c r="H41" s="576"/>
      <c r="I41" s="85"/>
    </row>
    <row r="42" spans="2:10" ht="14.25" x14ac:dyDescent="0.2">
      <c r="B42" s="61"/>
      <c r="C42" s="81"/>
      <c r="D42" s="42"/>
      <c r="E42" s="574"/>
      <c r="F42" s="42"/>
      <c r="G42" s="575"/>
      <c r="H42" s="576"/>
      <c r="I42" s="85"/>
    </row>
    <row r="43" spans="2:10" ht="15" x14ac:dyDescent="0.25">
      <c r="B43" s="75"/>
      <c r="C43" s="76"/>
      <c r="D43" s="77"/>
      <c r="E43" s="78"/>
      <c r="F43" s="42" t="s">
        <v>14</v>
      </c>
      <c r="G43" s="42"/>
      <c r="H43" s="62">
        <f>ROUND(SUM(H40:H42),0)</f>
        <v>0</v>
      </c>
      <c r="I43" s="85"/>
    </row>
    <row r="44" spans="2:10" ht="15" x14ac:dyDescent="0.25">
      <c r="B44" s="669" t="s">
        <v>17</v>
      </c>
      <c r="C44" s="669"/>
      <c r="D44" s="669"/>
      <c r="E44" s="669"/>
      <c r="F44" s="669"/>
      <c r="G44" s="669"/>
      <c r="H44" s="669"/>
      <c r="I44" s="85"/>
    </row>
    <row r="45" spans="2:10" ht="15" customHeight="1" x14ac:dyDescent="0.25">
      <c r="B45" s="676" t="s">
        <v>8</v>
      </c>
      <c r="C45" s="677"/>
      <c r="D45" s="59" t="s">
        <v>3</v>
      </c>
      <c r="E45" s="59" t="s">
        <v>9</v>
      </c>
      <c r="F45" s="59" t="s">
        <v>10</v>
      </c>
      <c r="G45" s="59" t="s">
        <v>11</v>
      </c>
      <c r="H45" s="60" t="s">
        <v>12</v>
      </c>
      <c r="I45" s="85"/>
    </row>
    <row r="46" spans="2:10" ht="28.5" x14ac:dyDescent="0.2">
      <c r="B46" s="582" t="s">
        <v>334</v>
      </c>
      <c r="C46" s="217" t="s">
        <v>336</v>
      </c>
      <c r="D46" s="583" t="s">
        <v>333</v>
      </c>
      <c r="E46" s="584">
        <v>42869</v>
      </c>
      <c r="F46" s="583">
        <v>16</v>
      </c>
      <c r="G46" s="43">
        <v>0</v>
      </c>
      <c r="H46" s="74">
        <f>IF(E46="-","-",E46*F46*(1+G46))</f>
        <v>685904</v>
      </c>
      <c r="I46" s="65" t="s">
        <v>376</v>
      </c>
      <c r="J46" s="586"/>
    </row>
    <row r="47" spans="2:10" ht="28.5" x14ac:dyDescent="0.2">
      <c r="B47" s="582" t="s">
        <v>334</v>
      </c>
      <c r="C47" s="217" t="s">
        <v>339</v>
      </c>
      <c r="D47" s="583" t="s">
        <v>333</v>
      </c>
      <c r="E47" s="584">
        <v>42869</v>
      </c>
      <c r="F47" s="583">
        <v>16</v>
      </c>
      <c r="G47" s="43">
        <v>0</v>
      </c>
      <c r="H47" s="74">
        <f>IF(E47="-","-",E47*F47*(1+G47))</f>
        <v>685904</v>
      </c>
      <c r="I47" s="65" t="s">
        <v>377</v>
      </c>
      <c r="J47" s="586"/>
    </row>
    <row r="48" spans="2:10" ht="14.25" x14ac:dyDescent="0.2">
      <c r="B48" s="590" t="s">
        <v>342</v>
      </c>
      <c r="C48" s="217" t="s">
        <v>341</v>
      </c>
      <c r="D48" s="583" t="s">
        <v>340</v>
      </c>
      <c r="E48" s="584">
        <v>10177242</v>
      </c>
      <c r="F48" s="583">
        <v>2.9000000000000001E-2</v>
      </c>
      <c r="G48" s="43">
        <v>0</v>
      </c>
      <c r="H48" s="74">
        <f>IF(E48="-","-",E48*F48*(1+G48))</f>
        <v>295140.01800000004</v>
      </c>
      <c r="I48" s="65" t="s">
        <v>378</v>
      </c>
      <c r="J48" s="586"/>
    </row>
    <row r="49" spans="2:10" ht="14.25" x14ac:dyDescent="0.2">
      <c r="B49" s="80"/>
      <c r="C49" s="81" t="s">
        <v>19</v>
      </c>
      <c r="D49" s="42" t="s">
        <v>19</v>
      </c>
      <c r="E49" s="79" t="s">
        <v>19</v>
      </c>
      <c r="F49" s="42"/>
      <c r="G49" s="43"/>
      <c r="H49" s="74" t="str">
        <f>IF(E49="-","-",E49*F49*(1+G49))</f>
        <v>-</v>
      </c>
      <c r="I49" s="65"/>
      <c r="J49" s="586"/>
    </row>
    <row r="50" spans="2:10" ht="15" x14ac:dyDescent="0.25">
      <c r="B50" s="668" t="s">
        <v>14</v>
      </c>
      <c r="C50" s="668"/>
      <c r="D50" s="668"/>
      <c r="E50" s="668"/>
      <c r="F50" s="668"/>
      <c r="G50" s="59"/>
      <c r="H50" s="62">
        <f>ROUND(SUM(H46:H49),0)</f>
        <v>1666948</v>
      </c>
      <c r="I50" s="85"/>
    </row>
    <row r="51" spans="2:10" ht="38.25" customHeight="1" x14ac:dyDescent="0.2">
      <c r="B51" s="579"/>
      <c r="C51" s="579"/>
      <c r="D51" s="581"/>
      <c r="E51" s="579"/>
      <c r="F51" s="581"/>
      <c r="G51" s="580"/>
      <c r="H51" s="213"/>
    </row>
    <row r="52" spans="2:10" x14ac:dyDescent="0.2">
      <c r="B52" s="577"/>
      <c r="C52" s="9"/>
      <c r="D52" s="578"/>
      <c r="E52" s="577"/>
      <c r="F52" s="2" t="s">
        <v>18</v>
      </c>
      <c r="G52" s="2"/>
      <c r="H52" s="18">
        <f>H10+H37+H43+H50</f>
        <v>7772695.7999999998</v>
      </c>
    </row>
    <row r="53" spans="2:10" ht="15" customHeight="1" x14ac:dyDescent="0.2">
      <c r="B53" s="27"/>
      <c r="C53" s="27"/>
      <c r="D53" s="15"/>
      <c r="E53" s="27"/>
      <c r="F53" s="666"/>
      <c r="G53" s="666"/>
      <c r="H53" s="14"/>
    </row>
    <row r="54" spans="2:10" ht="18" customHeight="1" x14ac:dyDescent="0.2">
      <c r="B54" s="27"/>
      <c r="C54" s="15"/>
      <c r="D54" s="15"/>
      <c r="E54" s="27"/>
      <c r="F54" s="15"/>
      <c r="G54" s="15"/>
      <c r="H54" s="14"/>
    </row>
    <row r="55" spans="2:10" x14ac:dyDescent="0.2">
      <c r="B55" s="27"/>
      <c r="D55" s="15"/>
      <c r="E55" s="27"/>
      <c r="F55" s="15"/>
      <c r="G55" s="15"/>
      <c r="H55" s="14"/>
    </row>
    <row r="56" spans="2:10" x14ac:dyDescent="0.2">
      <c r="B56" s="27"/>
      <c r="C56" s="27"/>
      <c r="D56" s="15"/>
      <c r="E56" s="27"/>
      <c r="F56" s="15"/>
      <c r="G56" s="15"/>
      <c r="H56" s="14"/>
      <c r="I56" s="14"/>
    </row>
    <row r="57" spans="2:10" x14ac:dyDescent="0.2">
      <c r="B57" s="27"/>
      <c r="C57" s="27"/>
      <c r="D57" s="15"/>
      <c r="E57" s="27"/>
      <c r="F57" s="15"/>
      <c r="G57" s="15"/>
      <c r="H57" s="14"/>
      <c r="I57" s="14"/>
    </row>
  </sheetData>
  <mergeCells count="10">
    <mergeCell ref="F53:G53"/>
    <mergeCell ref="B2:H2"/>
    <mergeCell ref="B50:F50"/>
    <mergeCell ref="B4:H4"/>
    <mergeCell ref="B10:E10"/>
    <mergeCell ref="B11:H11"/>
    <mergeCell ref="B38:H38"/>
    <mergeCell ref="B44:H44"/>
    <mergeCell ref="B45:C45"/>
    <mergeCell ref="C3:G3"/>
  </mergeCells>
  <pageMargins left="0.7" right="0.7" top="0.75" bottom="0.75" header="0.3" footer="0.3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85F0-3E2B-4648-8A7F-BEF348FAF3A0}">
  <sheetPr>
    <tabColor theme="5" tint="0.59999389629810485"/>
  </sheetPr>
  <dimension ref="B2:X58"/>
  <sheetViews>
    <sheetView topLeftCell="A37" zoomScale="97" zoomScaleNormal="97" workbookViewId="0">
      <selection activeCell="F46" sqref="F46"/>
    </sheetView>
  </sheetViews>
  <sheetFormatPr baseColWidth="10" defaultColWidth="11.42578125" defaultRowHeight="12.75" x14ac:dyDescent="0.2"/>
  <cols>
    <col min="1" max="1" width="11.42578125" style="1"/>
    <col min="2" max="2" width="10.42578125" style="24" customWidth="1"/>
    <col min="3" max="3" width="51.28515625" style="1" customWidth="1"/>
    <col min="4" max="4" width="10.7109375" style="25" customWidth="1"/>
    <col min="5" max="5" width="20" style="24" customWidth="1"/>
    <col min="6" max="6" width="17.5703125" style="25" customWidth="1"/>
    <col min="7" max="7" width="16.7109375" style="25" bestFit="1" customWidth="1"/>
    <col min="8" max="8" width="18.42578125" style="1" bestFit="1" customWidth="1"/>
    <col min="9" max="16384" width="11.42578125" style="1"/>
  </cols>
  <sheetData>
    <row r="2" spans="2:24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4" ht="69" customHeight="1" x14ac:dyDescent="0.2">
      <c r="B3" s="57" t="s">
        <v>1</v>
      </c>
      <c r="C3" s="678" t="s">
        <v>201</v>
      </c>
      <c r="D3" s="678"/>
      <c r="E3" s="678"/>
      <c r="F3" s="678"/>
      <c r="G3" s="678"/>
      <c r="H3" s="57">
        <v>2</v>
      </c>
      <c r="I3" s="85">
        <v>6</v>
      </c>
      <c r="X3" s="1" t="s">
        <v>4</v>
      </c>
    </row>
    <row r="4" spans="2:24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X4" s="1" t="s">
        <v>6</v>
      </c>
    </row>
    <row r="5" spans="2:24" ht="15" x14ac:dyDescent="0.25">
      <c r="B5" s="59" t="s">
        <v>7</v>
      </c>
      <c r="C5" s="60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  <c r="I5" s="85"/>
      <c r="X5" s="1" t="s">
        <v>13</v>
      </c>
    </row>
    <row r="6" spans="2:24" ht="14.25" x14ac:dyDescent="0.2">
      <c r="B6" s="61"/>
      <c r="C6" s="86" t="s">
        <v>71</v>
      </c>
      <c r="D6" s="42" t="s">
        <v>46</v>
      </c>
      <c r="E6" s="53">
        <v>50000</v>
      </c>
      <c r="F6" s="42">
        <v>0.71599999999999997</v>
      </c>
      <c r="G6" s="43">
        <v>0</v>
      </c>
      <c r="H6" s="74">
        <f>+E6*F6*(1+G6)</f>
        <v>35800</v>
      </c>
      <c r="I6" s="85"/>
    </row>
    <row r="7" spans="2:24" ht="14.25" x14ac:dyDescent="0.2">
      <c r="B7" s="61"/>
      <c r="C7" s="58" t="s">
        <v>20</v>
      </c>
      <c r="D7" s="42" t="s">
        <v>72</v>
      </c>
      <c r="E7" s="53">
        <f>H51*0.05</f>
        <v>79276.5</v>
      </c>
      <c r="F7" s="42">
        <v>1</v>
      </c>
      <c r="G7" s="43">
        <v>0</v>
      </c>
      <c r="H7" s="74">
        <f t="shared" ref="H7:H9" si="0">+E7*F7*(1+G7)</f>
        <v>79276.5</v>
      </c>
      <c r="I7" s="85"/>
    </row>
    <row r="8" spans="2:24" ht="14.25" x14ac:dyDescent="0.2">
      <c r="B8" s="61"/>
      <c r="C8" s="86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si="0"/>
        <v>194076</v>
      </c>
      <c r="I8" s="85"/>
    </row>
    <row r="9" spans="2:24" ht="14.25" x14ac:dyDescent="0.2">
      <c r="B9" s="61"/>
      <c r="C9" s="86" t="s">
        <v>54</v>
      </c>
      <c r="D9" s="42" t="s">
        <v>46</v>
      </c>
      <c r="E9" s="53">
        <v>10000</v>
      </c>
      <c r="F9" s="42">
        <v>0.71599999999999997</v>
      </c>
      <c r="G9" s="43">
        <v>0</v>
      </c>
      <c r="H9" s="74">
        <f t="shared" si="0"/>
        <v>7160</v>
      </c>
      <c r="I9" s="85"/>
    </row>
    <row r="10" spans="2:24" ht="15" x14ac:dyDescent="0.25">
      <c r="B10" s="670"/>
      <c r="C10" s="671"/>
      <c r="D10" s="671"/>
      <c r="E10" s="672"/>
      <c r="F10" s="59" t="s">
        <v>14</v>
      </c>
      <c r="G10" s="59"/>
      <c r="H10" s="62">
        <f>ROUND(SUM(H6:H9),0)</f>
        <v>316313</v>
      </c>
      <c r="I10" s="85"/>
    </row>
    <row r="11" spans="2:24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</row>
    <row r="12" spans="2:24" ht="15" x14ac:dyDescent="0.25">
      <c r="B12" s="59" t="s">
        <v>7</v>
      </c>
      <c r="C12" s="60" t="s">
        <v>8</v>
      </c>
      <c r="D12" s="59" t="s">
        <v>3</v>
      </c>
      <c r="E12" s="59" t="s">
        <v>9</v>
      </c>
      <c r="F12" s="59" t="s">
        <v>10</v>
      </c>
      <c r="G12" s="59" t="s">
        <v>11</v>
      </c>
      <c r="H12" s="60" t="s">
        <v>12</v>
      </c>
      <c r="I12" s="85"/>
    </row>
    <row r="13" spans="2:24" ht="42.75" x14ac:dyDescent="0.2">
      <c r="B13" s="42"/>
      <c r="C13" s="220" t="s">
        <v>152</v>
      </c>
      <c r="D13" s="44" t="s">
        <v>25</v>
      </c>
      <c r="E13" s="215">
        <v>740300.00000000012</v>
      </c>
      <c r="F13" s="42">
        <v>1</v>
      </c>
      <c r="G13" s="43">
        <v>0</v>
      </c>
      <c r="H13" s="63">
        <f>+E13*F13</f>
        <v>740300.00000000012</v>
      </c>
      <c r="I13" s="85"/>
    </row>
    <row r="14" spans="2:24" ht="28.5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1</v>
      </c>
      <c r="G14" s="43">
        <v>0</v>
      </c>
      <c r="H14" s="63">
        <f t="shared" ref="H14:H15" si="1">+E14*F14</f>
        <v>117600.00000000001</v>
      </c>
      <c r="I14" s="85"/>
    </row>
    <row r="15" spans="2:24" ht="28.5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1</v>
      </c>
      <c r="G15" s="43">
        <v>0</v>
      </c>
      <c r="H15" s="63">
        <f t="shared" si="1"/>
        <v>16680</v>
      </c>
      <c r="I15" s="85"/>
    </row>
    <row r="16" spans="2:24" ht="28.5" x14ac:dyDescent="0.2">
      <c r="B16" s="42"/>
      <c r="C16" s="209" t="s">
        <v>148</v>
      </c>
      <c r="D16" s="44" t="s">
        <v>25</v>
      </c>
      <c r="E16" s="215">
        <v>512800</v>
      </c>
      <c r="F16" s="42">
        <v>1</v>
      </c>
      <c r="G16" s="43">
        <v>0</v>
      </c>
      <c r="H16" s="63">
        <f>+E16*F16</f>
        <v>512800</v>
      </c>
      <c r="I16" s="85"/>
    </row>
    <row r="17" spans="2:9" ht="14.25" x14ac:dyDescent="0.2">
      <c r="B17" s="42"/>
      <c r="C17" s="587" t="s">
        <v>182</v>
      </c>
      <c r="D17" s="601" t="s">
        <v>25</v>
      </c>
      <c r="E17" s="216">
        <v>535000</v>
      </c>
      <c r="F17" s="42">
        <v>1</v>
      </c>
      <c r="G17" s="43">
        <v>0</v>
      </c>
      <c r="H17" s="63">
        <f t="shared" ref="H17:H36" si="2">+E17*F17</f>
        <v>535000</v>
      </c>
      <c r="I17" s="85"/>
    </row>
    <row r="18" spans="2:9" ht="28.5" x14ac:dyDescent="0.2">
      <c r="B18" s="42"/>
      <c r="C18" s="220" t="s">
        <v>160</v>
      </c>
      <c r="D18" s="44" t="s">
        <v>25</v>
      </c>
      <c r="E18" s="215">
        <v>718000</v>
      </c>
      <c r="F18" s="42">
        <v>1</v>
      </c>
      <c r="G18" s="43">
        <v>0</v>
      </c>
      <c r="H18" s="63">
        <f>+E18*F18</f>
        <v>718000</v>
      </c>
      <c r="I18" s="85"/>
    </row>
    <row r="19" spans="2:9" ht="14.25" x14ac:dyDescent="0.2">
      <c r="B19" s="42"/>
      <c r="C19" s="54" t="s">
        <v>58</v>
      </c>
      <c r="D19" s="44" t="s">
        <v>25</v>
      </c>
      <c r="E19" s="56">
        <v>42920</v>
      </c>
      <c r="F19" s="42">
        <v>1</v>
      </c>
      <c r="G19" s="43">
        <v>0</v>
      </c>
      <c r="H19" s="63">
        <f>+E19*F19</f>
        <v>42920</v>
      </c>
      <c r="I19" s="85"/>
    </row>
    <row r="20" spans="2:9" ht="14.25" x14ac:dyDescent="0.2">
      <c r="B20" s="42"/>
      <c r="C20" s="65" t="s">
        <v>175</v>
      </c>
      <c r="D20" s="88" t="s">
        <v>96</v>
      </c>
      <c r="E20" s="223">
        <v>23880</v>
      </c>
      <c r="F20" s="42">
        <v>0.5</v>
      </c>
      <c r="G20" s="43">
        <v>0</v>
      </c>
      <c r="H20" s="63">
        <f>+E20*F20</f>
        <v>11940</v>
      </c>
      <c r="I20" s="85"/>
    </row>
    <row r="21" spans="2:9" ht="14.25" x14ac:dyDescent="0.2">
      <c r="B21" s="42"/>
      <c r="C21" s="220" t="s">
        <v>159</v>
      </c>
      <c r="D21" s="44" t="s">
        <v>25</v>
      </c>
      <c r="E21" s="215">
        <v>114000</v>
      </c>
      <c r="F21" s="42">
        <v>1</v>
      </c>
      <c r="G21" s="43">
        <v>0</v>
      </c>
      <c r="H21" s="63">
        <f t="shared" si="2"/>
        <v>114000</v>
      </c>
      <c r="I21" s="85"/>
    </row>
    <row r="22" spans="2:9" ht="14.25" x14ac:dyDescent="0.2">
      <c r="B22" s="42"/>
      <c r="C22" s="54" t="s">
        <v>23</v>
      </c>
      <c r="D22" s="44" t="s">
        <v>25</v>
      </c>
      <c r="E22" s="215">
        <v>1111210</v>
      </c>
      <c r="F22" s="42">
        <v>1</v>
      </c>
      <c r="G22" s="43">
        <v>0</v>
      </c>
      <c r="H22" s="63">
        <f t="shared" si="2"/>
        <v>1111210</v>
      </c>
      <c r="I22" s="85"/>
    </row>
    <row r="23" spans="2:9" ht="14.25" x14ac:dyDescent="0.2">
      <c r="B23" s="42"/>
      <c r="C23" s="220" t="s">
        <v>260</v>
      </c>
      <c r="D23" s="44" t="s">
        <v>24</v>
      </c>
      <c r="E23" s="230">
        <v>4040</v>
      </c>
      <c r="F23" s="42">
        <v>4</v>
      </c>
      <c r="G23" s="43">
        <v>0</v>
      </c>
      <c r="H23" s="63">
        <f t="shared" si="2"/>
        <v>16160</v>
      </c>
      <c r="I23" s="85"/>
    </row>
    <row r="24" spans="2:9" ht="14.25" x14ac:dyDescent="0.2">
      <c r="B24" s="42"/>
      <c r="C24" s="217" t="s">
        <v>162</v>
      </c>
      <c r="D24" s="601" t="s">
        <v>25</v>
      </c>
      <c r="E24" s="611">
        <v>1000</v>
      </c>
      <c r="F24" s="42">
        <v>12</v>
      </c>
      <c r="G24" s="43">
        <v>0</v>
      </c>
      <c r="H24" s="63">
        <f t="shared" si="2"/>
        <v>12000</v>
      </c>
      <c r="I24" s="85"/>
    </row>
    <row r="25" spans="2:9" ht="14.25" x14ac:dyDescent="0.2">
      <c r="B25" s="42"/>
      <c r="C25" s="54" t="s">
        <v>21</v>
      </c>
      <c r="D25" s="44" t="s">
        <v>25</v>
      </c>
      <c r="E25" s="215">
        <v>10890</v>
      </c>
      <c r="F25" s="42">
        <v>1</v>
      </c>
      <c r="G25" s="43">
        <v>0</v>
      </c>
      <c r="H25" s="63">
        <f t="shared" si="2"/>
        <v>10890</v>
      </c>
      <c r="I25" s="85"/>
    </row>
    <row r="26" spans="2:9" ht="14.25" x14ac:dyDescent="0.2">
      <c r="B26" s="42"/>
      <c r="C26" s="217" t="s">
        <v>358</v>
      </c>
      <c r="D26" s="44" t="s">
        <v>25</v>
      </c>
      <c r="E26" s="215">
        <v>78016.400000000009</v>
      </c>
      <c r="F26" s="42">
        <v>1</v>
      </c>
      <c r="G26" s="43">
        <v>0</v>
      </c>
      <c r="H26" s="63">
        <f t="shared" si="2"/>
        <v>78016.400000000009</v>
      </c>
      <c r="I26" s="85"/>
    </row>
    <row r="27" spans="2:9" ht="14.25" x14ac:dyDescent="0.2">
      <c r="B27" s="42"/>
      <c r="C27" s="54" t="s">
        <v>22</v>
      </c>
      <c r="D27" s="44" t="s">
        <v>24</v>
      </c>
      <c r="E27" s="56">
        <v>7500</v>
      </c>
      <c r="F27" s="42">
        <v>6</v>
      </c>
      <c r="G27" s="43">
        <v>0</v>
      </c>
      <c r="H27" s="63">
        <f t="shared" si="2"/>
        <v>45000</v>
      </c>
      <c r="I27" s="85"/>
    </row>
    <row r="28" spans="2:9" ht="14.25" x14ac:dyDescent="0.2">
      <c r="B28" s="42"/>
      <c r="C28" s="54" t="s">
        <v>95</v>
      </c>
      <c r="D28" s="44" t="s">
        <v>25</v>
      </c>
      <c r="E28" s="215">
        <v>8200</v>
      </c>
      <c r="F28" s="42">
        <v>6</v>
      </c>
      <c r="G28" s="43">
        <v>0</v>
      </c>
      <c r="H28" s="63">
        <f t="shared" si="2"/>
        <v>49200</v>
      </c>
      <c r="I28" s="85"/>
    </row>
    <row r="29" spans="2:9" ht="14.25" x14ac:dyDescent="0.2">
      <c r="B29" s="42"/>
      <c r="C29" s="87" t="s">
        <v>28</v>
      </c>
      <c r="D29" s="103" t="s">
        <v>24</v>
      </c>
      <c r="E29" s="215">
        <v>3880</v>
      </c>
      <c r="F29" s="42">
        <v>15</v>
      </c>
      <c r="G29" s="43">
        <v>0</v>
      </c>
      <c r="H29" s="63">
        <f t="shared" si="2"/>
        <v>58200</v>
      </c>
      <c r="I29" s="85"/>
    </row>
    <row r="30" spans="2:9" ht="33" x14ac:dyDescent="0.2">
      <c r="B30" s="42"/>
      <c r="C30" s="493" t="s">
        <v>356</v>
      </c>
      <c r="D30" s="610" t="s">
        <v>25</v>
      </c>
      <c r="E30" s="526">
        <v>3432</v>
      </c>
      <c r="F30" s="42">
        <v>6</v>
      </c>
      <c r="G30" s="43">
        <v>0.1</v>
      </c>
      <c r="H30" s="74">
        <f>+E30*F30*(1+G30)</f>
        <v>22651.200000000001</v>
      </c>
      <c r="I30" s="85"/>
    </row>
    <row r="31" spans="2:9" ht="14.25" x14ac:dyDescent="0.2">
      <c r="B31" s="42"/>
      <c r="C31" s="217" t="s">
        <v>357</v>
      </c>
      <c r="D31" s="222" t="s">
        <v>25</v>
      </c>
      <c r="E31" s="215">
        <v>700</v>
      </c>
      <c r="F31" s="42">
        <v>6</v>
      </c>
      <c r="G31" s="43">
        <v>0</v>
      </c>
      <c r="H31" s="63">
        <f t="shared" si="2"/>
        <v>4200</v>
      </c>
      <c r="I31" s="85"/>
    </row>
    <row r="32" spans="2:9" ht="14.25" x14ac:dyDescent="0.2">
      <c r="B32" s="42"/>
      <c r="C32" s="54" t="s">
        <v>29</v>
      </c>
      <c r="D32" s="44" t="s">
        <v>24</v>
      </c>
      <c r="E32" s="215">
        <v>6870</v>
      </c>
      <c r="F32" s="42">
        <v>73</v>
      </c>
      <c r="G32" s="43">
        <v>0</v>
      </c>
      <c r="H32" s="63">
        <f t="shared" si="2"/>
        <v>501510</v>
      </c>
      <c r="I32" s="85"/>
    </row>
    <row r="33" spans="2:9" ht="14.25" x14ac:dyDescent="0.2">
      <c r="B33" s="42"/>
      <c r="C33" s="221" t="s">
        <v>172</v>
      </c>
      <c r="D33" s="222" t="s">
        <v>24</v>
      </c>
      <c r="E33" s="215">
        <v>26307.5</v>
      </c>
      <c r="F33" s="42">
        <v>4</v>
      </c>
      <c r="G33" s="43">
        <v>0</v>
      </c>
      <c r="H33" s="63">
        <f t="shared" si="2"/>
        <v>105230</v>
      </c>
      <c r="I33" s="85"/>
    </row>
    <row r="34" spans="2:9" ht="14.25" x14ac:dyDescent="0.2">
      <c r="B34" s="42"/>
      <c r="C34" s="221" t="s">
        <v>173</v>
      </c>
      <c r="D34" s="44" t="s">
        <v>25</v>
      </c>
      <c r="E34" s="215">
        <v>16010.800000000001</v>
      </c>
      <c r="F34" s="42">
        <v>1</v>
      </c>
      <c r="G34" s="43">
        <v>0</v>
      </c>
      <c r="H34" s="63">
        <f t="shared" si="2"/>
        <v>16010.800000000001</v>
      </c>
      <c r="I34" s="85"/>
    </row>
    <row r="35" spans="2:9" ht="14.25" x14ac:dyDescent="0.2">
      <c r="B35" s="42"/>
      <c r="C35" s="225" t="s">
        <v>178</v>
      </c>
      <c r="D35" s="44" t="s">
        <v>24</v>
      </c>
      <c r="E35" s="56">
        <v>19900</v>
      </c>
      <c r="F35" s="84">
        <v>2</v>
      </c>
      <c r="G35" s="43">
        <v>0</v>
      </c>
      <c r="H35" s="63">
        <f t="shared" si="2"/>
        <v>39800</v>
      </c>
      <c r="I35" s="85"/>
    </row>
    <row r="36" spans="2:9" ht="14.25" x14ac:dyDescent="0.2">
      <c r="B36" s="42"/>
      <c r="C36" s="54" t="s">
        <v>27</v>
      </c>
      <c r="D36" s="44" t="s">
        <v>25</v>
      </c>
      <c r="E36" s="56">
        <v>89180</v>
      </c>
      <c r="F36" s="42">
        <v>1</v>
      </c>
      <c r="G36" s="43">
        <v>0</v>
      </c>
      <c r="H36" s="63">
        <f t="shared" si="2"/>
        <v>89180</v>
      </c>
      <c r="I36" s="85"/>
    </row>
    <row r="37" spans="2:9" ht="15" x14ac:dyDescent="0.25">
      <c r="B37" s="66"/>
      <c r="C37" s="67"/>
      <c r="D37" s="68"/>
      <c r="E37" s="69"/>
      <c r="F37" s="70" t="s">
        <v>14</v>
      </c>
      <c r="G37" s="70"/>
      <c r="H37" s="71">
        <f>SUM(H13:H36)</f>
        <v>4968498.3999999994</v>
      </c>
      <c r="I37" s="85"/>
    </row>
    <row r="38" spans="2:9" ht="15" x14ac:dyDescent="0.25">
      <c r="B38" s="669" t="s">
        <v>16</v>
      </c>
      <c r="C38" s="669"/>
      <c r="D38" s="669"/>
      <c r="E38" s="669"/>
      <c r="F38" s="669"/>
      <c r="G38" s="669"/>
      <c r="H38" s="669"/>
      <c r="I38" s="85"/>
    </row>
    <row r="39" spans="2:9" ht="15" x14ac:dyDescent="0.25">
      <c r="B39" s="59" t="s">
        <v>7</v>
      </c>
      <c r="C39" s="60" t="s">
        <v>0</v>
      </c>
      <c r="D39" s="59" t="s">
        <v>3</v>
      </c>
      <c r="E39" s="59" t="s">
        <v>9</v>
      </c>
      <c r="F39" s="72" t="s">
        <v>10</v>
      </c>
      <c r="G39" s="73" t="s">
        <v>11</v>
      </c>
      <c r="H39" s="60" t="s">
        <v>12</v>
      </c>
      <c r="I39" s="85"/>
    </row>
    <row r="40" spans="2:9" ht="14.25" x14ac:dyDescent="0.2">
      <c r="B40" s="61"/>
      <c r="C40" s="54"/>
      <c r="D40" s="42"/>
      <c r="E40" s="79"/>
      <c r="F40" s="42"/>
      <c r="G40" s="43"/>
      <c r="H40" s="74"/>
      <c r="I40" s="85"/>
    </row>
    <row r="41" spans="2:9" ht="14.25" x14ac:dyDescent="0.2">
      <c r="B41" s="61"/>
      <c r="C41" s="229"/>
      <c r="D41" s="42"/>
      <c r="E41" s="228"/>
      <c r="F41" s="42"/>
      <c r="G41" s="43"/>
      <c r="H41" s="74"/>
      <c r="I41" s="85"/>
    </row>
    <row r="42" spans="2:9" ht="14.25" x14ac:dyDescent="0.2">
      <c r="B42" s="61"/>
      <c r="C42" s="54"/>
      <c r="D42" s="42"/>
      <c r="E42" s="228"/>
      <c r="F42" s="42"/>
      <c r="G42" s="43"/>
      <c r="H42" s="74"/>
      <c r="I42" s="85"/>
    </row>
    <row r="43" spans="2:9" ht="15" x14ac:dyDescent="0.25">
      <c r="B43" s="75"/>
      <c r="C43" s="76"/>
      <c r="D43" s="77"/>
      <c r="E43" s="78"/>
      <c r="F43" s="42" t="s">
        <v>14</v>
      </c>
      <c r="G43" s="42"/>
      <c r="H43" s="62">
        <f>ROUND(SUM(H40:H42),0)</f>
        <v>0</v>
      </c>
      <c r="I43" s="85"/>
    </row>
    <row r="44" spans="2:9" ht="15" x14ac:dyDescent="0.25">
      <c r="B44" s="669" t="s">
        <v>17</v>
      </c>
      <c r="C44" s="669"/>
      <c r="D44" s="669"/>
      <c r="E44" s="669"/>
      <c r="F44" s="669"/>
      <c r="G44" s="669"/>
      <c r="H44" s="669"/>
      <c r="I44" s="85"/>
    </row>
    <row r="45" spans="2:9" ht="15" customHeight="1" x14ac:dyDescent="0.25">
      <c r="B45" s="676" t="s">
        <v>8</v>
      </c>
      <c r="C45" s="677"/>
      <c r="D45" s="59" t="s">
        <v>3</v>
      </c>
      <c r="E45" s="59" t="s">
        <v>9</v>
      </c>
      <c r="F45" s="59" t="s">
        <v>10</v>
      </c>
      <c r="G45" s="59" t="s">
        <v>11</v>
      </c>
      <c r="H45" s="60" t="s">
        <v>12</v>
      </c>
      <c r="I45" s="85"/>
    </row>
    <row r="46" spans="2:9" ht="28.5" x14ac:dyDescent="0.2">
      <c r="B46" s="582" t="s">
        <v>334</v>
      </c>
      <c r="C46" s="217" t="s">
        <v>336</v>
      </c>
      <c r="D46" s="583" t="s">
        <v>333</v>
      </c>
      <c r="E46" s="584">
        <v>42869</v>
      </c>
      <c r="F46" s="583">
        <v>16</v>
      </c>
      <c r="G46" s="43">
        <v>0</v>
      </c>
      <c r="H46" s="74">
        <f>IF(E46="-","-",E46*F46*(1+G46))</f>
        <v>685904</v>
      </c>
      <c r="I46" s="65" t="s">
        <v>376</v>
      </c>
    </row>
    <row r="47" spans="2:9" ht="28.5" x14ac:dyDescent="0.2">
      <c r="B47" s="582" t="s">
        <v>334</v>
      </c>
      <c r="C47" s="217" t="s">
        <v>339</v>
      </c>
      <c r="D47" s="583" t="s">
        <v>333</v>
      </c>
      <c r="E47" s="584">
        <v>42869</v>
      </c>
      <c r="F47" s="583">
        <v>16</v>
      </c>
      <c r="G47" s="43">
        <v>0</v>
      </c>
      <c r="H47" s="74">
        <f>IF(E47="-","-",E47*F47*(1+G47))</f>
        <v>685904</v>
      </c>
      <c r="I47" s="65" t="s">
        <v>379</v>
      </c>
    </row>
    <row r="48" spans="2:9" ht="14.25" x14ac:dyDescent="0.2">
      <c r="B48" s="590" t="s">
        <v>342</v>
      </c>
      <c r="C48" s="217" t="s">
        <v>341</v>
      </c>
      <c r="D48" s="583" t="s">
        <v>340</v>
      </c>
      <c r="E48" s="584">
        <v>10177242</v>
      </c>
      <c r="F48" s="583">
        <v>2.1000000000000001E-2</v>
      </c>
      <c r="G48" s="43">
        <v>0</v>
      </c>
      <c r="H48" s="74">
        <f>IF(E48="-","-",E48*F48*(1+G48))</f>
        <v>213722.08200000002</v>
      </c>
      <c r="I48" s="65" t="s">
        <v>345</v>
      </c>
    </row>
    <row r="49" spans="2:9" x14ac:dyDescent="0.2">
      <c r="B49" s="12"/>
      <c r="C49" s="10"/>
      <c r="D49" s="9"/>
      <c r="E49" s="29"/>
      <c r="F49" s="9"/>
      <c r="G49" s="11"/>
      <c r="H49" s="7"/>
    </row>
    <row r="50" spans="2:9" x14ac:dyDescent="0.2">
      <c r="B50" s="12"/>
      <c r="C50" s="10" t="s">
        <v>19</v>
      </c>
      <c r="D50" s="9" t="s">
        <v>19</v>
      </c>
      <c r="E50" s="29" t="s">
        <v>19</v>
      </c>
      <c r="F50" s="9"/>
      <c r="G50" s="11"/>
      <c r="H50" s="7" t="str">
        <f>IF(E50="-","-",E50*F50*(1+G50))</f>
        <v>-</v>
      </c>
    </row>
    <row r="51" spans="2:9" x14ac:dyDescent="0.2">
      <c r="B51" s="679" t="s">
        <v>14</v>
      </c>
      <c r="C51" s="680"/>
      <c r="D51" s="680"/>
      <c r="E51" s="680"/>
      <c r="F51" s="681"/>
      <c r="G51" s="31"/>
      <c r="H51" s="8">
        <f>ROUND(SUM(H46:H50),0)</f>
        <v>1585530</v>
      </c>
    </row>
    <row r="52" spans="2:9" ht="38.25" customHeight="1" x14ac:dyDescent="0.2">
      <c r="B52" s="13"/>
      <c r="C52" s="14"/>
      <c r="D52" s="15"/>
      <c r="E52" s="27"/>
      <c r="F52" s="15"/>
      <c r="G52" s="15"/>
      <c r="H52" s="16"/>
    </row>
    <row r="53" spans="2:9" ht="13.5" thickBot="1" x14ac:dyDescent="0.25">
      <c r="B53" s="13"/>
      <c r="C53" s="17"/>
      <c r="D53" s="15"/>
      <c r="E53" s="27"/>
      <c r="F53" s="2" t="s">
        <v>18</v>
      </c>
      <c r="G53" s="2"/>
      <c r="H53" s="18">
        <f>H10+H37+H43+H51</f>
        <v>6870341.3999999994</v>
      </c>
      <c r="I53" s="41"/>
    </row>
    <row r="54" spans="2:9" x14ac:dyDescent="0.2">
      <c r="B54" s="13"/>
      <c r="C54" s="14"/>
      <c r="D54" s="15"/>
      <c r="E54" s="27"/>
      <c r="F54" s="15"/>
      <c r="G54" s="15"/>
      <c r="H54" s="16"/>
    </row>
    <row r="55" spans="2:9" ht="38.25" customHeight="1" x14ac:dyDescent="0.2">
      <c r="B55" s="13"/>
      <c r="C55" s="19"/>
      <c r="D55" s="15"/>
      <c r="E55" s="27"/>
      <c r="F55" s="15"/>
      <c r="G55" s="15"/>
      <c r="H55" s="16"/>
    </row>
    <row r="56" spans="2:9" x14ac:dyDescent="0.2">
      <c r="B56" s="13"/>
      <c r="D56" s="15"/>
      <c r="E56" s="27"/>
      <c r="F56" s="15"/>
      <c r="G56" s="15"/>
      <c r="H56" s="16"/>
    </row>
    <row r="57" spans="2:9" x14ac:dyDescent="0.2">
      <c r="B57" s="13"/>
      <c r="C57" s="14"/>
      <c r="D57" s="15"/>
      <c r="E57" s="27"/>
      <c r="F57" s="15"/>
      <c r="G57" s="15"/>
      <c r="H57" s="16"/>
      <c r="I57" s="14"/>
    </row>
    <row r="58" spans="2:9" x14ac:dyDescent="0.2">
      <c r="B58" s="20"/>
      <c r="C58" s="21"/>
      <c r="D58" s="22"/>
      <c r="E58" s="28"/>
      <c r="F58" s="22"/>
      <c r="G58" s="22"/>
      <c r="H58" s="23"/>
      <c r="I58" s="14"/>
    </row>
  </sheetData>
  <mergeCells count="9">
    <mergeCell ref="B44:H44"/>
    <mergeCell ref="B45:C45"/>
    <mergeCell ref="B51:F51"/>
    <mergeCell ref="B2:H2"/>
    <mergeCell ref="C3:G3"/>
    <mergeCell ref="B4:H4"/>
    <mergeCell ref="B10:E10"/>
    <mergeCell ref="B11:H11"/>
    <mergeCell ref="B38:H38"/>
  </mergeCells>
  <pageMargins left="0.7" right="0.7" top="0.75" bottom="0.75" header="0.3" footer="0.3"/>
  <pageSetup paperSize="9" scale="7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A9F1-D67F-43ED-8D5D-B689600C3D82}">
  <sheetPr>
    <tabColor theme="6" tint="-0.499984740745262"/>
  </sheetPr>
  <dimension ref="B2:AA65"/>
  <sheetViews>
    <sheetView topLeftCell="A40" zoomScale="90" zoomScaleNormal="90" workbookViewId="0">
      <selection activeCell="C49" sqref="C49:G51"/>
    </sheetView>
  </sheetViews>
  <sheetFormatPr baseColWidth="10" defaultColWidth="11.42578125" defaultRowHeight="12.75" x14ac:dyDescent="0.2"/>
  <cols>
    <col min="1" max="1" width="11.42578125" style="1"/>
    <col min="2" max="2" width="9.5703125" style="24" customWidth="1"/>
    <col min="3" max="3" width="51.28515625" style="1" customWidth="1"/>
    <col min="4" max="4" width="10.7109375" style="1" customWidth="1"/>
    <col min="5" max="5" width="19.5703125" style="24" customWidth="1"/>
    <col min="6" max="6" width="16.28515625" style="48" bestFit="1" customWidth="1"/>
    <col min="7" max="7" width="16.85546875" style="25" bestFit="1" customWidth="1"/>
    <col min="8" max="8" width="18.5703125" style="1" bestFit="1" customWidth="1"/>
    <col min="9" max="9" width="11.5703125" style="1" bestFit="1" customWidth="1"/>
    <col min="10" max="10" width="19.42578125" style="1" customWidth="1"/>
    <col min="11" max="11" width="11.42578125" style="1"/>
    <col min="12" max="12" width="15.85546875" style="1" bestFit="1" customWidth="1"/>
    <col min="13" max="16384" width="11.42578125" style="1"/>
  </cols>
  <sheetData>
    <row r="2" spans="2:27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7" ht="69" customHeight="1" x14ac:dyDescent="0.2">
      <c r="B3" s="57" t="s">
        <v>1</v>
      </c>
      <c r="C3" s="678" t="s">
        <v>195</v>
      </c>
      <c r="D3" s="678"/>
      <c r="E3" s="678"/>
      <c r="F3" s="678"/>
      <c r="G3" s="678"/>
      <c r="H3" s="57">
        <v>4</v>
      </c>
      <c r="I3" s="85">
        <v>5</v>
      </c>
      <c r="AA3" s="1" t="s">
        <v>4</v>
      </c>
    </row>
    <row r="4" spans="2:27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AA4" s="1" t="s">
        <v>6</v>
      </c>
    </row>
    <row r="5" spans="2:27" ht="15" x14ac:dyDescent="0.25">
      <c r="B5" s="59" t="s">
        <v>7</v>
      </c>
      <c r="C5" s="60" t="s">
        <v>8</v>
      </c>
      <c r="D5" s="60" t="s">
        <v>3</v>
      </c>
      <c r="E5" s="59" t="s">
        <v>9</v>
      </c>
      <c r="F5" s="96" t="s">
        <v>10</v>
      </c>
      <c r="G5" s="92" t="s">
        <v>11</v>
      </c>
      <c r="H5" s="60" t="s">
        <v>12</v>
      </c>
      <c r="I5" s="85"/>
      <c r="AA5" s="1" t="s">
        <v>13</v>
      </c>
    </row>
    <row r="6" spans="2:27" ht="14.25" x14ac:dyDescent="0.2">
      <c r="B6" s="61"/>
      <c r="C6" s="86" t="s">
        <v>71</v>
      </c>
      <c r="D6" s="42" t="s">
        <v>46</v>
      </c>
      <c r="E6" s="53">
        <v>50000</v>
      </c>
      <c r="F6" s="42">
        <v>1.698</v>
      </c>
      <c r="G6" s="43">
        <v>0</v>
      </c>
      <c r="H6" s="74">
        <f>+E6*F6*(1+G6)</f>
        <v>84900</v>
      </c>
      <c r="I6" s="85"/>
    </row>
    <row r="7" spans="2:27" ht="14.25" x14ac:dyDescent="0.2">
      <c r="B7" s="61"/>
      <c r="C7" s="58" t="s">
        <v>20</v>
      </c>
      <c r="D7" s="42" t="s">
        <v>72</v>
      </c>
      <c r="E7" s="53">
        <f>H58*0.05</f>
        <v>79276.5</v>
      </c>
      <c r="F7" s="42">
        <v>1</v>
      </c>
      <c r="G7" s="43">
        <v>0</v>
      </c>
      <c r="H7" s="74">
        <f t="shared" ref="H7:H9" si="0">+E7*F7*(1+G7)</f>
        <v>79276.5</v>
      </c>
      <c r="I7" s="85"/>
    </row>
    <row r="8" spans="2:27" ht="14.25" x14ac:dyDescent="0.2">
      <c r="B8" s="61"/>
      <c r="C8" s="86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si="0"/>
        <v>194076</v>
      </c>
      <c r="I8" s="85"/>
    </row>
    <row r="9" spans="2:27" ht="14.25" x14ac:dyDescent="0.2">
      <c r="B9" s="61"/>
      <c r="C9" s="86" t="s">
        <v>54</v>
      </c>
      <c r="D9" s="42" t="s">
        <v>46</v>
      </c>
      <c r="E9" s="53">
        <v>10000</v>
      </c>
      <c r="F9" s="42">
        <v>1.698</v>
      </c>
      <c r="G9" s="43">
        <v>0</v>
      </c>
      <c r="H9" s="74">
        <f t="shared" si="0"/>
        <v>16980</v>
      </c>
      <c r="I9" s="85"/>
    </row>
    <row r="10" spans="2:27" ht="15" x14ac:dyDescent="0.25">
      <c r="B10" s="670"/>
      <c r="C10" s="671"/>
      <c r="D10" s="671"/>
      <c r="E10" s="672"/>
      <c r="F10" s="96" t="s">
        <v>14</v>
      </c>
      <c r="G10" s="92"/>
      <c r="H10" s="62">
        <f>ROUND(SUM(H6:H9),0)</f>
        <v>375233</v>
      </c>
      <c r="I10" s="85"/>
    </row>
    <row r="11" spans="2:27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</row>
    <row r="12" spans="2:27" ht="15" x14ac:dyDescent="0.25">
      <c r="B12" s="59" t="s">
        <v>7</v>
      </c>
      <c r="C12" s="60" t="s">
        <v>8</v>
      </c>
      <c r="D12" s="60" t="s">
        <v>3</v>
      </c>
      <c r="E12" s="59" t="s">
        <v>9</v>
      </c>
      <c r="F12" s="96" t="s">
        <v>10</v>
      </c>
      <c r="G12" s="59" t="s">
        <v>11</v>
      </c>
      <c r="H12" s="60" t="s">
        <v>12</v>
      </c>
      <c r="I12" s="85"/>
    </row>
    <row r="13" spans="2:27" ht="42.75" x14ac:dyDescent="0.2">
      <c r="B13" s="42"/>
      <c r="C13" s="220" t="s">
        <v>152</v>
      </c>
      <c r="D13" s="44" t="s">
        <v>25</v>
      </c>
      <c r="E13" s="215">
        <v>740300.00000000012</v>
      </c>
      <c r="F13" s="84">
        <v>1</v>
      </c>
      <c r="G13" s="43">
        <v>0</v>
      </c>
      <c r="H13" s="63">
        <f>+E13*F13</f>
        <v>740300.00000000012</v>
      </c>
      <c r="I13" s="85"/>
    </row>
    <row r="14" spans="2:27" ht="28.5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1</v>
      </c>
      <c r="G14" s="43">
        <v>0</v>
      </c>
      <c r="H14" s="63">
        <f t="shared" ref="H14:H15" si="1">+E14*F14</f>
        <v>117600.00000000001</v>
      </c>
      <c r="I14" s="85"/>
    </row>
    <row r="15" spans="2:27" ht="28.5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1</v>
      </c>
      <c r="G15" s="43">
        <v>0</v>
      </c>
      <c r="H15" s="63">
        <f t="shared" si="1"/>
        <v>16680</v>
      </c>
      <c r="I15" s="85"/>
    </row>
    <row r="16" spans="2:27" ht="14.25" x14ac:dyDescent="0.2">
      <c r="B16" s="42"/>
      <c r="C16" s="65" t="s">
        <v>40</v>
      </c>
      <c r="D16" s="44" t="s">
        <v>25</v>
      </c>
      <c r="E16" s="215">
        <v>3199000</v>
      </c>
      <c r="F16" s="84">
        <v>1</v>
      </c>
      <c r="G16" s="43">
        <v>0</v>
      </c>
      <c r="H16" s="63">
        <f>+E16*F16</f>
        <v>3199000</v>
      </c>
      <c r="I16" s="85"/>
    </row>
    <row r="17" spans="2:9" ht="14.25" x14ac:dyDescent="0.2">
      <c r="B17" s="42"/>
      <c r="C17" s="218" t="s">
        <v>189</v>
      </c>
      <c r="D17" s="222" t="s">
        <v>25</v>
      </c>
      <c r="E17" s="215">
        <v>282625</v>
      </c>
      <c r="F17" s="84">
        <v>1</v>
      </c>
      <c r="G17" s="43">
        <v>0</v>
      </c>
      <c r="H17" s="63">
        <f>+E17*F17</f>
        <v>282625</v>
      </c>
      <c r="I17" s="85"/>
    </row>
    <row r="18" spans="2:9" ht="14.25" x14ac:dyDescent="0.2">
      <c r="B18" s="42"/>
      <c r="C18" s="54" t="s">
        <v>37</v>
      </c>
      <c r="D18" s="44" t="s">
        <v>25</v>
      </c>
      <c r="E18" s="56">
        <v>864900</v>
      </c>
      <c r="F18" s="84">
        <v>1</v>
      </c>
      <c r="G18" s="43">
        <v>0</v>
      </c>
      <c r="H18" s="63">
        <f>+E18*F18</f>
        <v>864900</v>
      </c>
      <c r="I18" s="85"/>
    </row>
    <row r="19" spans="2:9" ht="14.25" x14ac:dyDescent="0.2">
      <c r="B19" s="42"/>
      <c r="C19" s="54" t="s">
        <v>35</v>
      </c>
      <c r="D19" s="44" t="s">
        <v>25</v>
      </c>
      <c r="E19" s="56">
        <v>322000</v>
      </c>
      <c r="F19" s="84">
        <v>1</v>
      </c>
      <c r="G19" s="43">
        <v>0</v>
      </c>
      <c r="H19" s="63">
        <f t="shared" ref="H19:H45" si="2">+E19*F19</f>
        <v>322000</v>
      </c>
      <c r="I19" s="85"/>
    </row>
    <row r="20" spans="2:9" ht="14.25" x14ac:dyDescent="0.2">
      <c r="B20" s="42"/>
      <c r="C20" s="587" t="s">
        <v>182</v>
      </c>
      <c r="D20" s="601" t="s">
        <v>25</v>
      </c>
      <c r="E20" s="216">
        <v>535000</v>
      </c>
      <c r="F20" s="84">
        <v>1</v>
      </c>
      <c r="G20" s="43">
        <v>0</v>
      </c>
      <c r="H20" s="63">
        <f t="shared" si="2"/>
        <v>535000</v>
      </c>
      <c r="I20" s="85"/>
    </row>
    <row r="21" spans="2:9" ht="28.5" x14ac:dyDescent="0.2">
      <c r="B21" s="42"/>
      <c r="C21" s="54" t="s">
        <v>100</v>
      </c>
      <c r="D21" s="44" t="s">
        <v>25</v>
      </c>
      <c r="E21" s="215">
        <v>1105000</v>
      </c>
      <c r="F21" s="84">
        <v>1</v>
      </c>
      <c r="G21" s="43">
        <v>0</v>
      </c>
      <c r="H21" s="63">
        <f>+E21*F21</f>
        <v>1105000</v>
      </c>
      <c r="I21" s="85"/>
    </row>
    <row r="22" spans="2:9" ht="28.5" x14ac:dyDescent="0.2">
      <c r="B22" s="42"/>
      <c r="C22" s="54" t="s">
        <v>185</v>
      </c>
      <c r="D22" s="44" t="s">
        <v>25</v>
      </c>
      <c r="E22" s="56">
        <v>457000</v>
      </c>
      <c r="F22" s="84">
        <v>1</v>
      </c>
      <c r="G22" s="43">
        <v>0</v>
      </c>
      <c r="H22" s="63">
        <f t="shared" si="2"/>
        <v>457000</v>
      </c>
      <c r="I22" s="85"/>
    </row>
    <row r="23" spans="2:9" ht="14.25" x14ac:dyDescent="0.2">
      <c r="B23" s="42"/>
      <c r="C23" s="87" t="s">
        <v>104</v>
      </c>
      <c r="D23" s="103" t="s">
        <v>25</v>
      </c>
      <c r="E23" s="215">
        <v>271000</v>
      </c>
      <c r="F23" s="84">
        <v>1</v>
      </c>
      <c r="G23" s="43">
        <v>0</v>
      </c>
      <c r="H23" s="63">
        <f t="shared" si="2"/>
        <v>271000</v>
      </c>
      <c r="I23" s="85"/>
    </row>
    <row r="24" spans="2:9" ht="14.25" x14ac:dyDescent="0.2">
      <c r="B24" s="42"/>
      <c r="C24" s="54" t="s">
        <v>38</v>
      </c>
      <c r="D24" s="44" t="s">
        <v>25</v>
      </c>
      <c r="E24" s="56">
        <v>1340971</v>
      </c>
      <c r="F24" s="84">
        <v>1</v>
      </c>
      <c r="G24" s="43">
        <v>0</v>
      </c>
      <c r="H24" s="63">
        <f t="shared" si="2"/>
        <v>1340971</v>
      </c>
      <c r="I24" s="85"/>
    </row>
    <row r="25" spans="2:9" ht="14.25" x14ac:dyDescent="0.2">
      <c r="B25" s="42"/>
      <c r="C25" s="54" t="s">
        <v>39</v>
      </c>
      <c r="D25" s="44" t="s">
        <v>25</v>
      </c>
      <c r="E25" s="56">
        <v>476645</v>
      </c>
      <c r="F25" s="84">
        <v>1</v>
      </c>
      <c r="G25" s="43">
        <v>0</v>
      </c>
      <c r="H25" s="63">
        <f t="shared" si="2"/>
        <v>476645</v>
      </c>
      <c r="I25" s="85"/>
    </row>
    <row r="26" spans="2:9" ht="14.25" x14ac:dyDescent="0.2">
      <c r="B26" s="42"/>
      <c r="C26" s="54" t="s">
        <v>26</v>
      </c>
      <c r="D26" s="44" t="s">
        <v>25</v>
      </c>
      <c r="E26" s="56">
        <v>1094800</v>
      </c>
      <c r="F26" s="84">
        <v>2</v>
      </c>
      <c r="G26" s="43">
        <v>0</v>
      </c>
      <c r="H26" s="63">
        <f t="shared" si="2"/>
        <v>2189600</v>
      </c>
      <c r="I26" s="85"/>
    </row>
    <row r="27" spans="2:9" ht="14.25" x14ac:dyDescent="0.2">
      <c r="B27" s="42"/>
      <c r="C27" s="54" t="s">
        <v>42</v>
      </c>
      <c r="D27" s="44" t="s">
        <v>25</v>
      </c>
      <c r="E27" s="215">
        <v>2923520</v>
      </c>
      <c r="F27" s="84">
        <v>1</v>
      </c>
      <c r="G27" s="43">
        <v>0</v>
      </c>
      <c r="H27" s="63">
        <f t="shared" si="2"/>
        <v>2923520</v>
      </c>
      <c r="I27" s="85"/>
    </row>
    <row r="28" spans="2:9" ht="14.25" x14ac:dyDescent="0.2">
      <c r="B28" s="42"/>
      <c r="C28" s="220" t="s">
        <v>260</v>
      </c>
      <c r="D28" s="44" t="s">
        <v>24</v>
      </c>
      <c r="E28" s="230">
        <v>4040</v>
      </c>
      <c r="F28" s="42">
        <v>4</v>
      </c>
      <c r="G28" s="43">
        <v>0</v>
      </c>
      <c r="H28" s="63">
        <f t="shared" si="2"/>
        <v>16160</v>
      </c>
      <c r="I28" s="85"/>
    </row>
    <row r="29" spans="2:9" ht="14.25" x14ac:dyDescent="0.2">
      <c r="B29" s="42"/>
      <c r="C29" s="217" t="s">
        <v>162</v>
      </c>
      <c r="D29" s="601" t="s">
        <v>25</v>
      </c>
      <c r="E29" s="611">
        <v>1000</v>
      </c>
      <c r="F29" s="42">
        <v>12</v>
      </c>
      <c r="G29" s="43">
        <v>0</v>
      </c>
      <c r="H29" s="63">
        <f t="shared" si="2"/>
        <v>12000</v>
      </c>
      <c r="I29" s="85"/>
    </row>
    <row r="30" spans="2:9" ht="14.25" x14ac:dyDescent="0.2">
      <c r="B30" s="42"/>
      <c r="C30" s="54" t="s">
        <v>21</v>
      </c>
      <c r="D30" s="44" t="s">
        <v>25</v>
      </c>
      <c r="E30" s="215">
        <v>10890</v>
      </c>
      <c r="F30" s="84">
        <v>1</v>
      </c>
      <c r="G30" s="43">
        <v>0</v>
      </c>
      <c r="H30" s="63">
        <f t="shared" si="2"/>
        <v>10890</v>
      </c>
      <c r="I30" s="85"/>
    </row>
    <row r="31" spans="2:9" ht="14.25" x14ac:dyDescent="0.2">
      <c r="B31" s="42"/>
      <c r="C31" s="54" t="s">
        <v>22</v>
      </c>
      <c r="D31" s="44" t="s">
        <v>24</v>
      </c>
      <c r="E31" s="56">
        <v>7500</v>
      </c>
      <c r="F31" s="84">
        <v>16</v>
      </c>
      <c r="G31" s="43">
        <v>0</v>
      </c>
      <c r="H31" s="63">
        <f t="shared" si="2"/>
        <v>120000</v>
      </c>
      <c r="I31" s="85"/>
    </row>
    <row r="32" spans="2:9" ht="14.25" x14ac:dyDescent="0.2">
      <c r="B32" s="42"/>
      <c r="C32" s="54" t="s">
        <v>95</v>
      </c>
      <c r="D32" s="44" t="s">
        <v>25</v>
      </c>
      <c r="E32" s="215">
        <v>8200</v>
      </c>
      <c r="F32" s="42">
        <v>4</v>
      </c>
      <c r="G32" s="43">
        <v>0</v>
      </c>
      <c r="H32" s="63">
        <f t="shared" ref="H32:H34" si="3">+E32*F32</f>
        <v>32800</v>
      </c>
      <c r="I32" s="85"/>
    </row>
    <row r="33" spans="2:9" ht="33" x14ac:dyDescent="0.2">
      <c r="B33" s="42"/>
      <c r="C33" s="493" t="s">
        <v>356</v>
      </c>
      <c r="D33" s="610" t="s">
        <v>25</v>
      </c>
      <c r="E33" s="526">
        <v>3432</v>
      </c>
      <c r="F33" s="42">
        <v>6</v>
      </c>
      <c r="G33" s="43">
        <v>0.1</v>
      </c>
      <c r="H33" s="74">
        <f>+E33*F33*(1+G33)</f>
        <v>22651.200000000001</v>
      </c>
      <c r="I33" s="85"/>
    </row>
    <row r="34" spans="2:9" ht="14.25" x14ac:dyDescent="0.2">
      <c r="B34" s="42"/>
      <c r="C34" s="217" t="s">
        <v>357</v>
      </c>
      <c r="D34" s="222" t="s">
        <v>25</v>
      </c>
      <c r="E34" s="215">
        <v>700</v>
      </c>
      <c r="F34" s="42">
        <v>6</v>
      </c>
      <c r="G34" s="43">
        <v>0</v>
      </c>
      <c r="H34" s="63">
        <f t="shared" si="3"/>
        <v>4200</v>
      </c>
      <c r="I34" s="85"/>
    </row>
    <row r="35" spans="2:9" ht="14.25" x14ac:dyDescent="0.2">
      <c r="B35" s="42"/>
      <c r="C35" s="87" t="s">
        <v>28</v>
      </c>
      <c r="D35" s="44" t="s">
        <v>24</v>
      </c>
      <c r="E35" s="215">
        <v>3880</v>
      </c>
      <c r="F35" s="84">
        <v>9</v>
      </c>
      <c r="G35" s="43">
        <v>0</v>
      </c>
      <c r="H35" s="63">
        <f t="shared" si="2"/>
        <v>34920</v>
      </c>
      <c r="I35" s="85"/>
    </row>
    <row r="36" spans="2:9" ht="14.25" x14ac:dyDescent="0.2">
      <c r="B36" s="42"/>
      <c r="C36" s="221" t="s">
        <v>173</v>
      </c>
      <c r="D36" s="44" t="s">
        <v>25</v>
      </c>
      <c r="E36" s="215">
        <v>16010.800000000001</v>
      </c>
      <c r="F36" s="42">
        <v>1</v>
      </c>
      <c r="G36" s="43">
        <v>0</v>
      </c>
      <c r="H36" s="63">
        <f t="shared" si="2"/>
        <v>16010.800000000001</v>
      </c>
      <c r="I36" s="85"/>
    </row>
    <row r="37" spans="2:9" ht="14.25" x14ac:dyDescent="0.2">
      <c r="B37" s="42"/>
      <c r="C37" s="54" t="s">
        <v>29</v>
      </c>
      <c r="D37" s="44" t="s">
        <v>24</v>
      </c>
      <c r="E37" s="215">
        <v>6870</v>
      </c>
      <c r="F37" s="84">
        <v>2</v>
      </c>
      <c r="G37" s="43">
        <v>0</v>
      </c>
      <c r="H37" s="63">
        <f t="shared" si="2"/>
        <v>13740</v>
      </c>
      <c r="I37" s="85"/>
    </row>
    <row r="38" spans="2:9" ht="14.25" x14ac:dyDescent="0.2">
      <c r="B38" s="42"/>
      <c r="C38" s="54" t="s">
        <v>36</v>
      </c>
      <c r="D38" s="44" t="s">
        <v>24</v>
      </c>
      <c r="E38" s="56">
        <v>6000</v>
      </c>
      <c r="F38" s="84">
        <v>15</v>
      </c>
      <c r="G38" s="43">
        <v>0</v>
      </c>
      <c r="H38" s="63">
        <f t="shared" si="2"/>
        <v>90000</v>
      </c>
      <c r="I38" s="85"/>
    </row>
    <row r="39" spans="2:9" ht="14.25" x14ac:dyDescent="0.2">
      <c r="B39" s="42"/>
      <c r="C39" s="54" t="s">
        <v>150</v>
      </c>
      <c r="D39" s="44" t="s">
        <v>25</v>
      </c>
      <c r="E39" s="56">
        <v>5500</v>
      </c>
      <c r="F39" s="84">
        <v>2</v>
      </c>
      <c r="G39" s="43">
        <v>0</v>
      </c>
      <c r="H39" s="63">
        <f t="shared" si="2"/>
        <v>11000</v>
      </c>
      <c r="I39" s="85"/>
    </row>
    <row r="40" spans="2:9" ht="14.25" x14ac:dyDescent="0.2">
      <c r="B40" s="42"/>
      <c r="C40" s="54" t="s">
        <v>58</v>
      </c>
      <c r="D40" s="44" t="s">
        <v>25</v>
      </c>
      <c r="E40" s="56">
        <v>42920</v>
      </c>
      <c r="F40" s="84">
        <v>1</v>
      </c>
      <c r="G40" s="43">
        <v>0</v>
      </c>
      <c r="H40" s="63">
        <f t="shared" si="2"/>
        <v>42920</v>
      </c>
      <c r="I40" s="85"/>
    </row>
    <row r="41" spans="2:9" ht="14.25" x14ac:dyDescent="0.2">
      <c r="B41" s="42"/>
      <c r="C41" s="54" t="s">
        <v>57</v>
      </c>
      <c r="D41" s="44" t="s">
        <v>25</v>
      </c>
      <c r="E41" s="56">
        <v>126303</v>
      </c>
      <c r="F41" s="84">
        <v>2</v>
      </c>
      <c r="G41" s="43">
        <v>0</v>
      </c>
      <c r="H41" s="63">
        <f t="shared" ref="H41:H44" si="4">+E41*F41</f>
        <v>252606</v>
      </c>
      <c r="I41" s="85"/>
    </row>
    <row r="42" spans="2:9" ht="14.25" x14ac:dyDescent="0.2">
      <c r="B42" s="42"/>
      <c r="C42" s="65" t="s">
        <v>175</v>
      </c>
      <c r="D42" s="88" t="s">
        <v>96</v>
      </c>
      <c r="E42" s="223">
        <v>23880</v>
      </c>
      <c r="F42" s="42">
        <v>0.5</v>
      </c>
      <c r="G42" s="43">
        <v>0</v>
      </c>
      <c r="H42" s="63">
        <f t="shared" si="4"/>
        <v>11940</v>
      </c>
      <c r="I42" s="85"/>
    </row>
    <row r="43" spans="2:9" ht="14.25" x14ac:dyDescent="0.2">
      <c r="B43" s="42"/>
      <c r="C43" s="225" t="s">
        <v>178</v>
      </c>
      <c r="D43" s="44" t="s">
        <v>24</v>
      </c>
      <c r="E43" s="56">
        <v>19900</v>
      </c>
      <c r="F43" s="84">
        <v>2</v>
      </c>
      <c r="G43" s="43">
        <v>0</v>
      </c>
      <c r="H43" s="63">
        <f t="shared" si="4"/>
        <v>39800</v>
      </c>
      <c r="I43" s="85"/>
    </row>
    <row r="44" spans="2:9" ht="14.25" x14ac:dyDescent="0.2">
      <c r="B44" s="42"/>
      <c r="C44" s="54" t="s">
        <v>177</v>
      </c>
      <c r="D44" s="44" t="s">
        <v>24</v>
      </c>
      <c r="E44" s="56">
        <v>8000</v>
      </c>
      <c r="F44" s="84">
        <v>3</v>
      </c>
      <c r="G44" s="43">
        <v>0</v>
      </c>
      <c r="H44" s="63">
        <f t="shared" si="4"/>
        <v>24000</v>
      </c>
      <c r="I44" s="85"/>
    </row>
    <row r="45" spans="2:9" ht="14.25" x14ac:dyDescent="0.2">
      <c r="B45" s="42"/>
      <c r="C45" s="54" t="s">
        <v>27</v>
      </c>
      <c r="D45" s="44" t="s">
        <v>25</v>
      </c>
      <c r="E45" s="56">
        <v>300000</v>
      </c>
      <c r="F45" s="84">
        <v>1</v>
      </c>
      <c r="G45" s="43">
        <v>0</v>
      </c>
      <c r="H45" s="63">
        <f t="shared" si="2"/>
        <v>300000</v>
      </c>
      <c r="I45" s="85"/>
    </row>
    <row r="46" spans="2:9" ht="15" x14ac:dyDescent="0.25">
      <c r="B46" s="66"/>
      <c r="C46" s="67"/>
      <c r="D46" s="93"/>
      <c r="E46" s="69"/>
      <c r="F46" s="100" t="s">
        <v>14</v>
      </c>
      <c r="G46" s="94"/>
      <c r="H46" s="71">
        <f>SUM(H13:H45)</f>
        <v>15897479</v>
      </c>
      <c r="I46" s="85"/>
    </row>
    <row r="47" spans="2:9" ht="15" x14ac:dyDescent="0.25">
      <c r="B47" s="669" t="s">
        <v>16</v>
      </c>
      <c r="C47" s="669"/>
      <c r="D47" s="669"/>
      <c r="E47" s="669"/>
      <c r="F47" s="669"/>
      <c r="G47" s="669"/>
      <c r="H47" s="669"/>
      <c r="I47" s="85"/>
    </row>
    <row r="48" spans="2:9" ht="15" x14ac:dyDescent="0.25">
      <c r="B48" s="59" t="s">
        <v>7</v>
      </c>
      <c r="C48" s="60" t="s">
        <v>0</v>
      </c>
      <c r="D48" s="60" t="s">
        <v>3</v>
      </c>
      <c r="E48" s="59" t="s">
        <v>9</v>
      </c>
      <c r="F48" s="101" t="s">
        <v>10</v>
      </c>
      <c r="G48" s="95" t="s">
        <v>11</v>
      </c>
      <c r="H48" s="60" t="s">
        <v>12</v>
      </c>
      <c r="I48" s="85"/>
    </row>
    <row r="49" spans="2:12" ht="14.25" x14ac:dyDescent="0.2">
      <c r="B49" s="61"/>
      <c r="C49" s="54"/>
      <c r="D49" s="42"/>
      <c r="E49" s="574"/>
      <c r="F49" s="42"/>
      <c r="G49" s="575"/>
      <c r="H49" s="74"/>
      <c r="I49" s="85"/>
    </row>
    <row r="50" spans="2:12" ht="14.25" x14ac:dyDescent="0.2">
      <c r="B50" s="61"/>
      <c r="C50" s="81"/>
      <c r="D50" s="42"/>
      <c r="E50" s="574"/>
      <c r="F50" s="42"/>
      <c r="G50" s="575"/>
      <c r="H50" s="74"/>
      <c r="I50" s="85"/>
      <c r="J50" s="30"/>
      <c r="L50" s="30"/>
    </row>
    <row r="51" spans="2:12" ht="14.25" x14ac:dyDescent="0.2">
      <c r="B51" s="61"/>
      <c r="C51" s="54"/>
      <c r="D51" s="42"/>
      <c r="E51" s="574"/>
      <c r="F51" s="42"/>
      <c r="G51" s="575"/>
      <c r="H51" s="74"/>
      <c r="I51" s="85"/>
      <c r="L51" s="30"/>
    </row>
    <row r="52" spans="2:12" ht="15" x14ac:dyDescent="0.25">
      <c r="B52" s="75"/>
      <c r="C52" s="76"/>
      <c r="D52" s="76"/>
      <c r="E52" s="78"/>
      <c r="F52" s="84" t="s">
        <v>14</v>
      </c>
      <c r="G52" s="42"/>
      <c r="H52" s="62">
        <f>ROUND(SUM(H49:H51),0)</f>
        <v>0</v>
      </c>
      <c r="I52" s="85"/>
      <c r="L52" s="30"/>
    </row>
    <row r="53" spans="2:12" ht="15" x14ac:dyDescent="0.25">
      <c r="B53" s="669" t="s">
        <v>17</v>
      </c>
      <c r="C53" s="669"/>
      <c r="D53" s="669"/>
      <c r="E53" s="669"/>
      <c r="F53" s="669"/>
      <c r="G53" s="669"/>
      <c r="H53" s="669"/>
      <c r="I53" s="85"/>
      <c r="L53" s="30"/>
    </row>
    <row r="54" spans="2:12" ht="15" customHeight="1" x14ac:dyDescent="0.25">
      <c r="B54" s="676" t="s">
        <v>8</v>
      </c>
      <c r="C54" s="677"/>
      <c r="D54" s="60" t="s">
        <v>3</v>
      </c>
      <c r="E54" s="59" t="s">
        <v>9</v>
      </c>
      <c r="F54" s="96" t="s">
        <v>10</v>
      </c>
      <c r="G54" s="92" t="s">
        <v>11</v>
      </c>
      <c r="H54" s="60" t="s">
        <v>12</v>
      </c>
      <c r="I54" s="85"/>
      <c r="L54" s="30"/>
    </row>
    <row r="55" spans="2:12" ht="28.5" x14ac:dyDescent="0.2">
      <c r="B55" s="582" t="s">
        <v>334</v>
      </c>
      <c r="C55" s="217" t="s">
        <v>336</v>
      </c>
      <c r="D55" s="583" t="s">
        <v>333</v>
      </c>
      <c r="E55" s="584">
        <v>42869</v>
      </c>
      <c r="F55" s="583">
        <v>16</v>
      </c>
      <c r="G55" s="43">
        <v>0</v>
      </c>
      <c r="H55" s="74">
        <f>IF(E55="-","-",E55*F55*(1+G55))</f>
        <v>685904</v>
      </c>
      <c r="I55" s="65" t="s">
        <v>380</v>
      </c>
      <c r="L55" s="30"/>
    </row>
    <row r="56" spans="2:12" ht="28.5" x14ac:dyDescent="0.2">
      <c r="B56" s="582" t="s">
        <v>334</v>
      </c>
      <c r="C56" s="217" t="s">
        <v>339</v>
      </c>
      <c r="D56" s="583" t="s">
        <v>333</v>
      </c>
      <c r="E56" s="584">
        <v>42869</v>
      </c>
      <c r="F56" s="583">
        <v>16</v>
      </c>
      <c r="G56" s="43">
        <v>0</v>
      </c>
      <c r="H56" s="74">
        <f>IF(E56="-","-",E56*F56*(1+G56))</f>
        <v>685904</v>
      </c>
      <c r="I56" s="65" t="s">
        <v>381</v>
      </c>
      <c r="L56" s="30"/>
    </row>
    <row r="57" spans="2:12" ht="14.25" x14ac:dyDescent="0.2">
      <c r="B57" s="590" t="s">
        <v>342</v>
      </c>
      <c r="C57" s="217" t="s">
        <v>341</v>
      </c>
      <c r="D57" s="583" t="s">
        <v>340</v>
      </c>
      <c r="E57" s="584">
        <v>10177242</v>
      </c>
      <c r="F57" s="583">
        <v>2.1000000000000001E-2</v>
      </c>
      <c r="G57" s="43">
        <v>0</v>
      </c>
      <c r="H57" s="74">
        <f>IF(E57="-","-",E57*F57*(1+G57))</f>
        <v>213722.08200000002</v>
      </c>
      <c r="I57" s="65" t="s">
        <v>382</v>
      </c>
      <c r="L57" s="30"/>
    </row>
    <row r="58" spans="2:12" ht="15" x14ac:dyDescent="0.25">
      <c r="B58" s="682" t="s">
        <v>14</v>
      </c>
      <c r="C58" s="683"/>
      <c r="D58" s="683"/>
      <c r="E58" s="683"/>
      <c r="F58" s="684"/>
      <c r="G58" s="82"/>
      <c r="H58" s="62">
        <f>ROUND(SUM(H55:H57),0)</f>
        <v>1585530</v>
      </c>
      <c r="I58" s="85"/>
      <c r="J58" s="30"/>
      <c r="L58" s="30"/>
    </row>
    <row r="59" spans="2:12" ht="38.25" customHeight="1" x14ac:dyDescent="0.2">
      <c r="B59" s="13"/>
      <c r="C59" s="14"/>
      <c r="D59" s="14"/>
      <c r="E59" s="27"/>
      <c r="F59" s="45"/>
      <c r="G59" s="15"/>
      <c r="H59" s="16"/>
    </row>
    <row r="60" spans="2:12" x14ac:dyDescent="0.2">
      <c r="B60" s="13"/>
      <c r="C60" s="17"/>
      <c r="D60" s="14"/>
      <c r="E60" s="27"/>
      <c r="F60" s="46" t="s">
        <v>18</v>
      </c>
      <c r="G60" s="2"/>
      <c r="H60" s="18">
        <f>H10+H46+H52+H58</f>
        <v>17858242</v>
      </c>
      <c r="J60" s="30"/>
    </row>
    <row r="61" spans="2:12" x14ac:dyDescent="0.2">
      <c r="B61" s="13"/>
      <c r="C61" s="14"/>
      <c r="D61" s="14"/>
      <c r="E61" s="27"/>
      <c r="F61" s="45"/>
      <c r="G61" s="15"/>
      <c r="H61" s="16"/>
    </row>
    <row r="62" spans="2:12" ht="38.25" customHeight="1" x14ac:dyDescent="0.2">
      <c r="B62" s="13"/>
      <c r="C62" s="19"/>
      <c r="D62" s="14"/>
      <c r="E62" s="27"/>
      <c r="F62" s="45"/>
      <c r="G62" s="15"/>
      <c r="H62" s="16"/>
    </row>
    <row r="63" spans="2:12" x14ac:dyDescent="0.2">
      <c r="B63" s="13"/>
      <c r="D63" s="14"/>
      <c r="E63" s="27"/>
      <c r="F63" s="45"/>
      <c r="G63" s="15"/>
      <c r="H63" s="16"/>
    </row>
    <row r="64" spans="2:12" x14ac:dyDescent="0.2">
      <c r="B64" s="13"/>
      <c r="C64" s="14"/>
      <c r="D64" s="14"/>
      <c r="E64" s="27"/>
      <c r="F64" s="45"/>
      <c r="G64" s="15"/>
      <c r="H64" s="16"/>
      <c r="I64" s="14"/>
    </row>
    <row r="65" spans="2:9" x14ac:dyDescent="0.2">
      <c r="B65" s="20"/>
      <c r="C65" s="21"/>
      <c r="D65" s="21"/>
      <c r="E65" s="28"/>
      <c r="F65" s="47"/>
      <c r="G65" s="22"/>
      <c r="H65" s="23"/>
      <c r="I65" s="14"/>
    </row>
  </sheetData>
  <mergeCells count="9">
    <mergeCell ref="B53:H53"/>
    <mergeCell ref="B54:C54"/>
    <mergeCell ref="B58:F58"/>
    <mergeCell ref="B2:H2"/>
    <mergeCell ref="C3:G3"/>
    <mergeCell ref="B4:H4"/>
    <mergeCell ref="B10:E10"/>
    <mergeCell ref="B11:H11"/>
    <mergeCell ref="B47:H47"/>
  </mergeCells>
  <pageMargins left="0.7" right="0.7" top="0.75" bottom="0.75" header="0.3" footer="0.3"/>
  <pageSetup paperSize="9"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4E17-E121-4383-B1AC-F15B629419E3}">
  <sheetPr>
    <tabColor theme="9" tint="0.39997558519241921"/>
  </sheetPr>
  <dimension ref="B2:X58"/>
  <sheetViews>
    <sheetView topLeftCell="A40" zoomScale="97" zoomScaleNormal="97" workbookViewId="0">
      <selection activeCell="I46" sqref="I46"/>
    </sheetView>
  </sheetViews>
  <sheetFormatPr baseColWidth="10" defaultColWidth="11.42578125" defaultRowHeight="12.75" x14ac:dyDescent="0.2"/>
  <cols>
    <col min="1" max="1" width="11.42578125" style="1"/>
    <col min="2" max="2" width="10.140625" style="24" customWidth="1"/>
    <col min="3" max="3" width="59.5703125" style="1" customWidth="1"/>
    <col min="4" max="4" width="10.7109375" style="25" customWidth="1"/>
    <col min="5" max="5" width="19" style="24" customWidth="1"/>
    <col min="6" max="6" width="17.140625" style="25" customWidth="1"/>
    <col min="7" max="7" width="16.7109375" style="25" bestFit="1" customWidth="1"/>
    <col min="8" max="8" width="18.42578125" style="1" bestFit="1" customWidth="1"/>
    <col min="9" max="9" width="11.42578125" style="1"/>
    <col min="10" max="10" width="15.85546875" style="1" bestFit="1" customWidth="1"/>
    <col min="11" max="16384" width="11.42578125" style="1"/>
  </cols>
  <sheetData>
    <row r="2" spans="2:24" ht="15" x14ac:dyDescent="0.25">
      <c r="B2" s="667" t="s">
        <v>2</v>
      </c>
      <c r="C2" s="667"/>
      <c r="D2" s="667"/>
      <c r="E2" s="667"/>
      <c r="F2" s="667"/>
      <c r="G2" s="667"/>
      <c r="H2" s="667"/>
      <c r="I2" s="85"/>
    </row>
    <row r="3" spans="2:24" ht="69" customHeight="1" x14ac:dyDescent="0.2">
      <c r="B3" s="57" t="s">
        <v>1</v>
      </c>
      <c r="C3" s="678" t="s">
        <v>196</v>
      </c>
      <c r="D3" s="678"/>
      <c r="E3" s="678"/>
      <c r="F3" s="678"/>
      <c r="G3" s="678"/>
      <c r="H3" s="57">
        <v>4</v>
      </c>
      <c r="I3" s="114">
        <v>7</v>
      </c>
      <c r="X3" s="1" t="s">
        <v>4</v>
      </c>
    </row>
    <row r="4" spans="2:24" ht="15" x14ac:dyDescent="0.25">
      <c r="B4" s="669" t="s">
        <v>5</v>
      </c>
      <c r="C4" s="669"/>
      <c r="D4" s="669"/>
      <c r="E4" s="669"/>
      <c r="F4" s="669"/>
      <c r="G4" s="669"/>
      <c r="H4" s="669"/>
      <c r="I4" s="85"/>
      <c r="X4" s="1" t="s">
        <v>6</v>
      </c>
    </row>
    <row r="5" spans="2:24" ht="15" x14ac:dyDescent="0.25">
      <c r="B5" s="59" t="s">
        <v>7</v>
      </c>
      <c r="C5" s="60" t="s">
        <v>8</v>
      </c>
      <c r="D5" s="59" t="s">
        <v>3</v>
      </c>
      <c r="E5" s="59" t="s">
        <v>9</v>
      </c>
      <c r="F5" s="59" t="s">
        <v>10</v>
      </c>
      <c r="G5" s="59" t="s">
        <v>11</v>
      </c>
      <c r="H5" s="60" t="s">
        <v>12</v>
      </c>
      <c r="I5" s="85"/>
      <c r="X5" s="1" t="s">
        <v>13</v>
      </c>
    </row>
    <row r="6" spans="2:24" ht="14.25" x14ac:dyDescent="0.2">
      <c r="B6" s="61"/>
      <c r="C6" s="86" t="s">
        <v>71</v>
      </c>
      <c r="D6" s="42" t="s">
        <v>46</v>
      </c>
      <c r="E6" s="53">
        <v>50000</v>
      </c>
      <c r="F6" s="42">
        <v>1.0349999999999999</v>
      </c>
      <c r="G6" s="43">
        <v>0</v>
      </c>
      <c r="H6" s="74">
        <f>+E6*F6*(1+G6)</f>
        <v>51749.999999999993</v>
      </c>
      <c r="I6" s="85"/>
    </row>
    <row r="7" spans="2:24" ht="14.25" x14ac:dyDescent="0.2">
      <c r="B7" s="61"/>
      <c r="C7" s="58" t="s">
        <v>20</v>
      </c>
      <c r="D7" s="42" t="s">
        <v>72</v>
      </c>
      <c r="E7" s="53">
        <f>H51*0.05</f>
        <v>79276.5</v>
      </c>
      <c r="F7" s="42">
        <v>1</v>
      </c>
      <c r="G7" s="43">
        <v>0</v>
      </c>
      <c r="H7" s="74">
        <f t="shared" ref="H7:H9" si="0">+E7*F7*(1+G7)</f>
        <v>79276.5</v>
      </c>
      <c r="I7" s="85"/>
    </row>
    <row r="8" spans="2:24" ht="14.25" x14ac:dyDescent="0.2">
      <c r="B8" s="61"/>
      <c r="C8" s="86" t="s">
        <v>70</v>
      </c>
      <c r="D8" s="42" t="s">
        <v>46</v>
      </c>
      <c r="E8" s="53">
        <v>97038</v>
      </c>
      <c r="F8" s="42">
        <v>2</v>
      </c>
      <c r="G8" s="43">
        <v>0</v>
      </c>
      <c r="H8" s="74">
        <f t="shared" si="0"/>
        <v>194076</v>
      </c>
      <c r="I8" s="85"/>
    </row>
    <row r="9" spans="2:24" ht="14.25" x14ac:dyDescent="0.2">
      <c r="B9" s="61"/>
      <c r="C9" s="86" t="s">
        <v>54</v>
      </c>
      <c r="D9" s="42" t="s">
        <v>46</v>
      </c>
      <c r="E9" s="53">
        <v>10000</v>
      </c>
      <c r="F9" s="42">
        <f>F6</f>
        <v>1.0349999999999999</v>
      </c>
      <c r="G9" s="43">
        <v>0</v>
      </c>
      <c r="H9" s="74">
        <f t="shared" si="0"/>
        <v>10350</v>
      </c>
      <c r="I9" s="85"/>
    </row>
    <row r="10" spans="2:24" ht="15" x14ac:dyDescent="0.25">
      <c r="B10" s="670"/>
      <c r="C10" s="671"/>
      <c r="D10" s="671"/>
      <c r="E10" s="672"/>
      <c r="F10" s="59" t="s">
        <v>14</v>
      </c>
      <c r="G10" s="59"/>
      <c r="H10" s="62">
        <f>ROUND(SUM(H6:H9),0)</f>
        <v>335453</v>
      </c>
      <c r="I10" s="85"/>
    </row>
    <row r="11" spans="2:24" ht="15" x14ac:dyDescent="0.25">
      <c r="B11" s="669" t="s">
        <v>15</v>
      </c>
      <c r="C11" s="669"/>
      <c r="D11" s="669"/>
      <c r="E11" s="669"/>
      <c r="F11" s="669"/>
      <c r="G11" s="669"/>
      <c r="H11" s="669"/>
      <c r="I11" s="85"/>
    </row>
    <row r="12" spans="2:24" ht="15" x14ac:dyDescent="0.25">
      <c r="B12" s="59" t="s">
        <v>7</v>
      </c>
      <c r="C12" s="60" t="s">
        <v>8</v>
      </c>
      <c r="D12" s="59" t="s">
        <v>3</v>
      </c>
      <c r="E12" s="59" t="s">
        <v>9</v>
      </c>
      <c r="F12" s="59" t="s">
        <v>10</v>
      </c>
      <c r="G12" s="59" t="s">
        <v>11</v>
      </c>
      <c r="H12" s="60" t="s">
        <v>12</v>
      </c>
      <c r="I12" s="85"/>
    </row>
    <row r="13" spans="2:24" ht="42.75" x14ac:dyDescent="0.2">
      <c r="B13" s="42"/>
      <c r="C13" s="220" t="s">
        <v>152</v>
      </c>
      <c r="D13" s="44" t="s">
        <v>25</v>
      </c>
      <c r="E13" s="215">
        <v>740300.00000000012</v>
      </c>
      <c r="F13" s="42">
        <v>1</v>
      </c>
      <c r="G13" s="43">
        <v>0</v>
      </c>
      <c r="H13" s="63">
        <f>+E13*F13</f>
        <v>740300.00000000012</v>
      </c>
      <c r="I13" s="85"/>
    </row>
    <row r="14" spans="2:24" ht="14.25" x14ac:dyDescent="0.2">
      <c r="B14" s="42"/>
      <c r="C14" s="54" t="s">
        <v>191</v>
      </c>
      <c r="D14" s="44" t="s">
        <v>25</v>
      </c>
      <c r="E14" s="231">
        <f>105000*1.12</f>
        <v>117600.00000000001</v>
      </c>
      <c r="F14" s="42">
        <v>1</v>
      </c>
      <c r="G14" s="43">
        <v>0</v>
      </c>
      <c r="H14" s="63">
        <f t="shared" ref="H14:H15" si="1">+E14*F14</f>
        <v>117600.00000000001</v>
      </c>
      <c r="I14" s="85"/>
    </row>
    <row r="15" spans="2:24" ht="14.25" x14ac:dyDescent="0.2">
      <c r="B15" s="42"/>
      <c r="C15" s="54" t="s">
        <v>192</v>
      </c>
      <c r="D15" s="44" t="s">
        <v>25</v>
      </c>
      <c r="E15" s="231">
        <f>13900*1.2</f>
        <v>16680</v>
      </c>
      <c r="F15" s="42">
        <v>1</v>
      </c>
      <c r="G15" s="43">
        <v>0</v>
      </c>
      <c r="H15" s="63">
        <f t="shared" si="1"/>
        <v>16680</v>
      </c>
      <c r="I15" s="85"/>
    </row>
    <row r="16" spans="2:24" ht="14.25" x14ac:dyDescent="0.2">
      <c r="B16" s="42"/>
      <c r="C16" s="65" t="s">
        <v>40</v>
      </c>
      <c r="D16" s="44" t="s">
        <v>25</v>
      </c>
      <c r="E16" s="215">
        <v>3199000</v>
      </c>
      <c r="F16" s="42">
        <v>1</v>
      </c>
      <c r="G16" s="43">
        <v>0</v>
      </c>
      <c r="H16" s="63">
        <f>+E16*F16</f>
        <v>3199000</v>
      </c>
      <c r="I16" s="85"/>
    </row>
    <row r="17" spans="2:9" ht="14.25" x14ac:dyDescent="0.2">
      <c r="B17" s="42"/>
      <c r="C17" s="218" t="s">
        <v>189</v>
      </c>
      <c r="D17" s="222" t="s">
        <v>25</v>
      </c>
      <c r="E17" s="215">
        <v>282625</v>
      </c>
      <c r="F17" s="42">
        <v>1</v>
      </c>
      <c r="G17" s="43">
        <v>0</v>
      </c>
      <c r="H17" s="63">
        <f>+E17*F17</f>
        <v>282625</v>
      </c>
      <c r="I17" s="85"/>
    </row>
    <row r="18" spans="2:9" ht="14.25" x14ac:dyDescent="0.2">
      <c r="B18" s="42"/>
      <c r="C18" s="587" t="s">
        <v>182</v>
      </c>
      <c r="D18" s="601" t="s">
        <v>25</v>
      </c>
      <c r="E18" s="216">
        <v>535000</v>
      </c>
      <c r="F18" s="42">
        <v>1</v>
      </c>
      <c r="G18" s="43">
        <v>0</v>
      </c>
      <c r="H18" s="63">
        <f t="shared" ref="H18:H36" si="2">+E18*F18</f>
        <v>535000</v>
      </c>
      <c r="I18" s="85"/>
    </row>
    <row r="19" spans="2:9" ht="28.5" x14ac:dyDescent="0.2">
      <c r="B19" s="42"/>
      <c r="C19" s="220" t="s">
        <v>160</v>
      </c>
      <c r="D19" s="44" t="s">
        <v>25</v>
      </c>
      <c r="E19" s="215">
        <v>718000</v>
      </c>
      <c r="F19" s="42">
        <v>1</v>
      </c>
      <c r="G19" s="43">
        <v>0</v>
      </c>
      <c r="H19" s="63">
        <f>+E19*F19</f>
        <v>718000</v>
      </c>
      <c r="I19" s="85"/>
    </row>
    <row r="20" spans="2:9" ht="14.25" x14ac:dyDescent="0.2">
      <c r="B20" s="42"/>
      <c r="C20" s="54" t="s">
        <v>58</v>
      </c>
      <c r="D20" s="44" t="s">
        <v>25</v>
      </c>
      <c r="E20" s="56">
        <v>42920</v>
      </c>
      <c r="F20" s="42">
        <v>1</v>
      </c>
      <c r="G20" s="43">
        <v>0</v>
      </c>
      <c r="H20" s="63">
        <f>+E20*F20</f>
        <v>42920</v>
      </c>
      <c r="I20" s="85"/>
    </row>
    <row r="21" spans="2:9" ht="14.25" x14ac:dyDescent="0.2">
      <c r="B21" s="42"/>
      <c r="C21" s="65" t="s">
        <v>175</v>
      </c>
      <c r="D21" s="88" t="s">
        <v>96</v>
      </c>
      <c r="E21" s="223">
        <v>23880</v>
      </c>
      <c r="F21" s="42">
        <v>0.5</v>
      </c>
      <c r="G21" s="43">
        <v>0</v>
      </c>
      <c r="H21" s="63">
        <f>+E21*F21</f>
        <v>11940</v>
      </c>
      <c r="I21" s="85"/>
    </row>
    <row r="22" spans="2:9" ht="14.25" x14ac:dyDescent="0.2">
      <c r="B22" s="42"/>
      <c r="C22" s="220" t="s">
        <v>159</v>
      </c>
      <c r="D22" s="44" t="s">
        <v>25</v>
      </c>
      <c r="E22" s="215">
        <v>114000</v>
      </c>
      <c r="F22" s="42">
        <v>1</v>
      </c>
      <c r="G22" s="43">
        <v>0</v>
      </c>
      <c r="H22" s="63">
        <f t="shared" si="2"/>
        <v>114000</v>
      </c>
      <c r="I22" s="85"/>
    </row>
    <row r="23" spans="2:9" ht="14.25" x14ac:dyDescent="0.2">
      <c r="B23" s="42"/>
      <c r="C23" s="54" t="s">
        <v>42</v>
      </c>
      <c r="D23" s="44" t="s">
        <v>25</v>
      </c>
      <c r="E23" s="215">
        <v>2923520</v>
      </c>
      <c r="F23" s="42">
        <v>1</v>
      </c>
      <c r="G23" s="43">
        <v>0</v>
      </c>
      <c r="H23" s="63">
        <f t="shared" si="2"/>
        <v>2923520</v>
      </c>
      <c r="I23" s="85"/>
    </row>
    <row r="24" spans="2:9" ht="14.25" x14ac:dyDescent="0.2">
      <c r="B24" s="42"/>
      <c r="C24" s="220" t="s">
        <v>260</v>
      </c>
      <c r="D24" s="44" t="s">
        <v>24</v>
      </c>
      <c r="E24" s="230">
        <v>4040</v>
      </c>
      <c r="F24" s="42">
        <v>4</v>
      </c>
      <c r="G24" s="43">
        <v>0</v>
      </c>
      <c r="H24" s="63">
        <f t="shared" si="2"/>
        <v>16160</v>
      </c>
      <c r="I24" s="85"/>
    </row>
    <row r="25" spans="2:9" ht="14.25" x14ac:dyDescent="0.2">
      <c r="B25" s="42"/>
      <c r="C25" s="217" t="s">
        <v>162</v>
      </c>
      <c r="D25" s="601" t="s">
        <v>25</v>
      </c>
      <c r="E25" s="611">
        <v>1000</v>
      </c>
      <c r="F25" s="42">
        <v>12</v>
      </c>
      <c r="G25" s="43">
        <v>0</v>
      </c>
      <c r="H25" s="63">
        <f t="shared" si="2"/>
        <v>12000</v>
      </c>
      <c r="I25" s="85"/>
    </row>
    <row r="26" spans="2:9" ht="14.25" x14ac:dyDescent="0.2">
      <c r="B26" s="42"/>
      <c r="C26" s="54" t="s">
        <v>21</v>
      </c>
      <c r="D26" s="44" t="s">
        <v>25</v>
      </c>
      <c r="E26" s="215">
        <v>10890</v>
      </c>
      <c r="F26" s="42">
        <v>1</v>
      </c>
      <c r="G26" s="43">
        <v>0</v>
      </c>
      <c r="H26" s="63">
        <f t="shared" si="2"/>
        <v>10890</v>
      </c>
      <c r="I26" s="85"/>
    </row>
    <row r="27" spans="2:9" ht="14.25" x14ac:dyDescent="0.2">
      <c r="B27" s="42"/>
      <c r="C27" s="54" t="s">
        <v>95</v>
      </c>
      <c r="D27" s="44" t="s">
        <v>25</v>
      </c>
      <c r="E27" s="215">
        <v>8200</v>
      </c>
      <c r="F27" s="42">
        <v>4</v>
      </c>
      <c r="G27" s="43">
        <v>0</v>
      </c>
      <c r="H27" s="63">
        <f t="shared" ref="H27" si="3">+E27*F27</f>
        <v>32800</v>
      </c>
      <c r="I27" s="85"/>
    </row>
    <row r="28" spans="2:9" ht="14.25" x14ac:dyDescent="0.2">
      <c r="B28" s="42"/>
      <c r="C28" s="54" t="s">
        <v>22</v>
      </c>
      <c r="D28" s="44" t="s">
        <v>24</v>
      </c>
      <c r="E28" s="56">
        <v>7500</v>
      </c>
      <c r="F28" s="42">
        <v>4</v>
      </c>
      <c r="G28" s="43">
        <v>0</v>
      </c>
      <c r="H28" s="63">
        <f t="shared" si="2"/>
        <v>30000</v>
      </c>
      <c r="I28" s="85"/>
    </row>
    <row r="29" spans="2:9" ht="14.25" x14ac:dyDescent="0.2">
      <c r="B29" s="42"/>
      <c r="C29" s="221" t="s">
        <v>173</v>
      </c>
      <c r="D29" s="44" t="s">
        <v>25</v>
      </c>
      <c r="E29" s="215">
        <v>16010.800000000001</v>
      </c>
      <c r="F29" s="42">
        <v>1</v>
      </c>
      <c r="G29" s="43">
        <v>0</v>
      </c>
      <c r="H29" s="63">
        <f t="shared" si="2"/>
        <v>16010.800000000001</v>
      </c>
      <c r="I29" s="85"/>
    </row>
    <row r="30" spans="2:9" ht="14.25" x14ac:dyDescent="0.2">
      <c r="B30" s="42"/>
      <c r="C30" s="87" t="s">
        <v>28</v>
      </c>
      <c r="D30" s="44" t="s">
        <v>24</v>
      </c>
      <c r="E30" s="215">
        <v>3880</v>
      </c>
      <c r="F30" s="42">
        <v>9</v>
      </c>
      <c r="G30" s="43">
        <v>0</v>
      </c>
      <c r="H30" s="63">
        <f t="shared" si="2"/>
        <v>34920</v>
      </c>
      <c r="I30" s="85"/>
    </row>
    <row r="31" spans="2:9" ht="33" x14ac:dyDescent="0.2">
      <c r="B31" s="42"/>
      <c r="C31" s="493" t="s">
        <v>356</v>
      </c>
      <c r="D31" s="610" t="s">
        <v>25</v>
      </c>
      <c r="E31" s="526">
        <v>3432</v>
      </c>
      <c r="F31" s="42">
        <v>6</v>
      </c>
      <c r="G31" s="43">
        <v>0.1</v>
      </c>
      <c r="H31" s="74">
        <f>+E31*F31*(1+G31)</f>
        <v>22651.200000000001</v>
      </c>
      <c r="I31" s="85"/>
    </row>
    <row r="32" spans="2:9" ht="14.25" x14ac:dyDescent="0.2">
      <c r="B32" s="42"/>
      <c r="C32" s="217" t="s">
        <v>357</v>
      </c>
      <c r="D32" s="222" t="s">
        <v>25</v>
      </c>
      <c r="E32" s="215">
        <v>700</v>
      </c>
      <c r="F32" s="42">
        <v>6</v>
      </c>
      <c r="G32" s="43">
        <v>0</v>
      </c>
      <c r="H32" s="63">
        <f t="shared" si="2"/>
        <v>4200</v>
      </c>
      <c r="I32" s="85"/>
    </row>
    <row r="33" spans="2:10" ht="14.25" x14ac:dyDescent="0.2">
      <c r="B33" s="42"/>
      <c r="C33" s="54" t="s">
        <v>29</v>
      </c>
      <c r="D33" s="44" t="s">
        <v>24</v>
      </c>
      <c r="E33" s="215">
        <v>6870</v>
      </c>
      <c r="F33" s="42">
        <v>50</v>
      </c>
      <c r="G33" s="43">
        <v>0</v>
      </c>
      <c r="H33" s="63">
        <f t="shared" si="2"/>
        <v>343500</v>
      </c>
      <c r="I33" s="85"/>
    </row>
    <row r="34" spans="2:10" ht="14.25" x14ac:dyDescent="0.2">
      <c r="B34" s="42"/>
      <c r="C34" s="221" t="s">
        <v>172</v>
      </c>
      <c r="D34" s="222" t="s">
        <v>24</v>
      </c>
      <c r="E34" s="215">
        <v>26307.5</v>
      </c>
      <c r="F34" s="42">
        <v>10</v>
      </c>
      <c r="G34" s="43">
        <v>0</v>
      </c>
      <c r="H34" s="63">
        <f t="shared" si="2"/>
        <v>263075</v>
      </c>
      <c r="I34" s="85"/>
    </row>
    <row r="35" spans="2:10" ht="14.25" x14ac:dyDescent="0.2">
      <c r="B35" s="42"/>
      <c r="C35" s="225" t="s">
        <v>178</v>
      </c>
      <c r="D35" s="44" t="s">
        <v>24</v>
      </c>
      <c r="E35" s="56">
        <v>19900</v>
      </c>
      <c r="F35" s="84">
        <v>2</v>
      </c>
      <c r="G35" s="43">
        <v>0</v>
      </c>
      <c r="H35" s="63">
        <f t="shared" si="2"/>
        <v>39800</v>
      </c>
      <c r="I35" s="85"/>
    </row>
    <row r="36" spans="2:10" ht="14.25" x14ac:dyDescent="0.2">
      <c r="B36" s="42"/>
      <c r="C36" s="54" t="s">
        <v>27</v>
      </c>
      <c r="D36" s="44" t="s">
        <v>25</v>
      </c>
      <c r="E36" s="56">
        <v>143884</v>
      </c>
      <c r="F36" s="42">
        <v>1</v>
      </c>
      <c r="G36" s="43">
        <v>0</v>
      </c>
      <c r="H36" s="63">
        <f t="shared" si="2"/>
        <v>143884</v>
      </c>
      <c r="I36" s="85"/>
    </row>
    <row r="37" spans="2:10" ht="15" x14ac:dyDescent="0.25">
      <c r="B37" s="66"/>
      <c r="C37" s="67"/>
      <c r="D37" s="68"/>
      <c r="E37" s="69"/>
      <c r="F37" s="70" t="s">
        <v>14</v>
      </c>
      <c r="G37" s="70"/>
      <c r="H37" s="71">
        <f>SUM(H13:H36)</f>
        <v>9671476</v>
      </c>
      <c r="I37" s="85"/>
    </row>
    <row r="38" spans="2:10" ht="15" x14ac:dyDescent="0.25">
      <c r="B38" s="669" t="s">
        <v>16</v>
      </c>
      <c r="C38" s="669"/>
      <c r="D38" s="669"/>
      <c r="E38" s="669"/>
      <c r="F38" s="669"/>
      <c r="G38" s="669"/>
      <c r="H38" s="669"/>
      <c r="I38" s="85"/>
    </row>
    <row r="39" spans="2:10" ht="15" x14ac:dyDescent="0.25">
      <c r="B39" s="59" t="s">
        <v>7</v>
      </c>
      <c r="C39" s="60" t="s">
        <v>0</v>
      </c>
      <c r="D39" s="59" t="s">
        <v>3</v>
      </c>
      <c r="E39" s="59" t="s">
        <v>9</v>
      </c>
      <c r="F39" s="72" t="s">
        <v>10</v>
      </c>
      <c r="G39" s="73" t="s">
        <v>11</v>
      </c>
      <c r="H39" s="60" t="s">
        <v>12</v>
      </c>
      <c r="I39" s="85"/>
    </row>
    <row r="40" spans="2:10" ht="14.25" x14ac:dyDescent="0.2">
      <c r="B40" s="61"/>
      <c r="C40" s="54"/>
      <c r="D40" s="42"/>
      <c r="E40" s="79"/>
      <c r="F40" s="42"/>
      <c r="G40" s="43"/>
      <c r="H40" s="74"/>
      <c r="I40" s="85"/>
    </row>
    <row r="41" spans="2:10" ht="14.25" x14ac:dyDescent="0.2">
      <c r="B41" s="61"/>
      <c r="C41" s="229"/>
      <c r="D41" s="42"/>
      <c r="E41" s="228"/>
      <c r="F41" s="42"/>
      <c r="G41" s="43"/>
      <c r="H41" s="74"/>
      <c r="I41" s="85"/>
    </row>
    <row r="42" spans="2:10" ht="14.25" x14ac:dyDescent="0.2">
      <c r="B42" s="61"/>
      <c r="C42" s="54"/>
      <c r="D42" s="42"/>
      <c r="E42" s="228"/>
      <c r="F42" s="42"/>
      <c r="G42" s="43"/>
      <c r="H42" s="74"/>
      <c r="I42" s="85"/>
    </row>
    <row r="43" spans="2:10" ht="15" x14ac:dyDescent="0.25">
      <c r="B43" s="75"/>
      <c r="C43" s="76"/>
      <c r="D43" s="77"/>
      <c r="E43" s="78"/>
      <c r="F43" s="42" t="s">
        <v>14</v>
      </c>
      <c r="G43" s="42"/>
      <c r="H43" s="62">
        <f>ROUND(SUM(H40:H42),0)</f>
        <v>0</v>
      </c>
      <c r="I43" s="85"/>
      <c r="J43" s="30"/>
    </row>
    <row r="44" spans="2:10" ht="15" x14ac:dyDescent="0.25">
      <c r="B44" s="669" t="s">
        <v>17</v>
      </c>
      <c r="C44" s="669"/>
      <c r="D44" s="669"/>
      <c r="E44" s="669"/>
      <c r="F44" s="669"/>
      <c r="G44" s="669"/>
      <c r="H44" s="669"/>
      <c r="I44" s="85"/>
    </row>
    <row r="45" spans="2:10" ht="15" customHeight="1" x14ac:dyDescent="0.25">
      <c r="B45" s="676" t="s">
        <v>8</v>
      </c>
      <c r="C45" s="677"/>
      <c r="D45" s="59" t="s">
        <v>3</v>
      </c>
      <c r="E45" s="59" t="s">
        <v>9</v>
      </c>
      <c r="F45" s="59" t="s">
        <v>10</v>
      </c>
      <c r="G45" s="59" t="s">
        <v>11</v>
      </c>
      <c r="H45" s="60" t="s">
        <v>12</v>
      </c>
      <c r="I45" s="85"/>
    </row>
    <row r="46" spans="2:10" ht="28.5" x14ac:dyDescent="0.2">
      <c r="B46" s="582" t="s">
        <v>334</v>
      </c>
      <c r="C46" s="217" t="s">
        <v>336</v>
      </c>
      <c r="D46" s="583" t="s">
        <v>333</v>
      </c>
      <c r="E46" s="584">
        <v>42869</v>
      </c>
      <c r="F46" s="583">
        <v>16</v>
      </c>
      <c r="G46" s="43">
        <v>0</v>
      </c>
      <c r="H46" s="74">
        <f>IF(E46="-","-",E46*F46*(1+G46))</f>
        <v>685904</v>
      </c>
      <c r="I46" s="65" t="s">
        <v>380</v>
      </c>
    </row>
    <row r="47" spans="2:10" ht="28.5" x14ac:dyDescent="0.2">
      <c r="B47" s="582" t="s">
        <v>334</v>
      </c>
      <c r="C47" s="217" t="s">
        <v>339</v>
      </c>
      <c r="D47" s="583" t="s">
        <v>333</v>
      </c>
      <c r="E47" s="584">
        <v>42869</v>
      </c>
      <c r="F47" s="583">
        <v>16</v>
      </c>
      <c r="G47" s="43">
        <v>0</v>
      </c>
      <c r="H47" s="74">
        <f>IF(E47="-","-",E47*F47*(1+G47))</f>
        <v>685904</v>
      </c>
      <c r="I47" s="65" t="s">
        <v>381</v>
      </c>
    </row>
    <row r="48" spans="2:10" ht="14.25" x14ac:dyDescent="0.2">
      <c r="B48" s="590" t="s">
        <v>342</v>
      </c>
      <c r="C48" s="217" t="s">
        <v>341</v>
      </c>
      <c r="D48" s="583" t="s">
        <v>340</v>
      </c>
      <c r="E48" s="584">
        <v>10177242</v>
      </c>
      <c r="F48" s="583">
        <v>2.1000000000000001E-2</v>
      </c>
      <c r="G48" s="43">
        <v>0</v>
      </c>
      <c r="H48" s="74">
        <f>IF(E48="-","-",E48*F48*(1+G48))</f>
        <v>213722.08200000002</v>
      </c>
      <c r="I48" s="65" t="s">
        <v>382</v>
      </c>
    </row>
    <row r="49" spans="2:10" ht="14.25" x14ac:dyDescent="0.2">
      <c r="B49" s="80"/>
      <c r="C49" s="54" t="s">
        <v>19</v>
      </c>
      <c r="D49" s="42" t="s">
        <v>19</v>
      </c>
      <c r="E49" s="79" t="s">
        <v>19</v>
      </c>
      <c r="F49" s="42"/>
      <c r="G49" s="43"/>
      <c r="H49" s="74" t="str">
        <f>IF(E49="-","-",E49*F49*(1+G49))</f>
        <v>-</v>
      </c>
      <c r="I49" s="85"/>
    </row>
    <row r="50" spans="2:10" ht="14.25" x14ac:dyDescent="0.2">
      <c r="B50" s="80"/>
      <c r="C50" s="54" t="s">
        <v>19</v>
      </c>
      <c r="D50" s="42" t="s">
        <v>19</v>
      </c>
      <c r="E50" s="79" t="s">
        <v>19</v>
      </c>
      <c r="F50" s="42"/>
      <c r="G50" s="43"/>
      <c r="H50" s="74" t="str">
        <f>IF(E50="-","-",E50*F50*(1+G50))</f>
        <v>-</v>
      </c>
      <c r="I50" s="85"/>
    </row>
    <row r="51" spans="2:10" ht="15" x14ac:dyDescent="0.25">
      <c r="B51" s="682" t="s">
        <v>14</v>
      </c>
      <c r="C51" s="683"/>
      <c r="D51" s="683"/>
      <c r="E51" s="683"/>
      <c r="F51" s="684"/>
      <c r="G51" s="83"/>
      <c r="H51" s="62">
        <f>ROUND(SUM(H46:H50),0)</f>
        <v>1585530</v>
      </c>
      <c r="I51" s="85"/>
      <c r="J51" s="30"/>
    </row>
    <row r="52" spans="2:10" ht="38.25" customHeight="1" x14ac:dyDescent="0.2">
      <c r="B52" s="13"/>
      <c r="C52" s="14"/>
      <c r="D52" s="15"/>
      <c r="E52" s="27"/>
      <c r="F52" s="15"/>
      <c r="G52" s="15"/>
      <c r="H52" s="16"/>
    </row>
    <row r="53" spans="2:10" x14ac:dyDescent="0.2">
      <c r="B53" s="13"/>
      <c r="C53" s="17"/>
      <c r="D53" s="15"/>
      <c r="E53" s="27"/>
      <c r="F53" s="2" t="s">
        <v>18</v>
      </c>
      <c r="G53" s="2"/>
      <c r="H53" s="18">
        <f>H10+H37+H43+H51</f>
        <v>11592459</v>
      </c>
    </row>
    <row r="54" spans="2:10" x14ac:dyDescent="0.2">
      <c r="B54" s="13"/>
      <c r="C54" s="14"/>
      <c r="D54" s="15"/>
      <c r="E54" s="27"/>
      <c r="F54" s="15"/>
      <c r="G54" s="15"/>
      <c r="H54" s="16"/>
    </row>
    <row r="55" spans="2:10" ht="38.25" customHeight="1" x14ac:dyDescent="0.2">
      <c r="B55" s="13"/>
      <c r="C55" s="19"/>
      <c r="D55" s="15"/>
      <c r="E55" s="27"/>
      <c r="F55" s="15"/>
      <c r="G55" s="15"/>
      <c r="H55" s="16"/>
    </row>
    <row r="56" spans="2:10" x14ac:dyDescent="0.2">
      <c r="B56" s="13"/>
      <c r="D56" s="15"/>
      <c r="E56" s="27"/>
      <c r="F56" s="15"/>
      <c r="G56" s="15"/>
      <c r="H56" s="16"/>
    </row>
    <row r="57" spans="2:10" x14ac:dyDescent="0.2">
      <c r="B57" s="13"/>
      <c r="C57" s="14"/>
      <c r="D57" s="15"/>
      <c r="E57" s="27"/>
      <c r="F57" s="15"/>
      <c r="G57" s="15"/>
      <c r="H57" s="16"/>
      <c r="I57" s="14"/>
    </row>
    <row r="58" spans="2:10" x14ac:dyDescent="0.2">
      <c r="B58" s="20"/>
      <c r="C58" s="21"/>
      <c r="D58" s="22"/>
      <c r="E58" s="28"/>
      <c r="F58" s="22"/>
      <c r="G58" s="22"/>
      <c r="H58" s="23"/>
      <c r="I58" s="14"/>
    </row>
  </sheetData>
  <mergeCells count="9">
    <mergeCell ref="B44:H44"/>
    <mergeCell ref="B45:C45"/>
    <mergeCell ref="B51:F51"/>
    <mergeCell ref="B2:H2"/>
    <mergeCell ref="C3:G3"/>
    <mergeCell ref="B4:H4"/>
    <mergeCell ref="B10:E10"/>
    <mergeCell ref="B11:H11"/>
    <mergeCell ref="B38:H38"/>
  </mergeCells>
  <pageMargins left="0.7" right="0.7" top="0.75" bottom="0.75" header="0.3" footer="0.3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Cotizacion</vt:lpstr>
      <vt:lpstr>APU's</vt:lpstr>
      <vt:lpstr>APU Lista</vt:lpstr>
      <vt:lpstr>Materiales</vt:lpstr>
      <vt:lpstr>Resumen</vt:lpstr>
      <vt:lpstr>APU01</vt:lpstr>
      <vt:lpstr>APU02</vt:lpstr>
      <vt:lpstr>APU03</vt:lpstr>
      <vt:lpstr>APU04</vt:lpstr>
      <vt:lpstr>APU05</vt:lpstr>
      <vt:lpstr>APU06</vt:lpstr>
      <vt:lpstr>APU07</vt:lpstr>
      <vt:lpstr>APU08</vt:lpstr>
      <vt:lpstr>APU09</vt:lpstr>
      <vt:lpstr>APU10  B. Ductos</vt:lpstr>
      <vt:lpstr>APU11 P.Tierra</vt:lpstr>
      <vt:lpstr>'APU01'!Área_de_impresión</vt:lpstr>
      <vt:lpstr>'APU02'!Área_de_impresión</vt:lpstr>
      <vt:lpstr>'APU03'!Área_de_impresión</vt:lpstr>
      <vt:lpstr>'APU04'!Área_de_impresión</vt:lpstr>
      <vt:lpstr>'APU05'!Área_de_impresión</vt:lpstr>
      <vt:lpstr>'APU06'!Área_de_impresión</vt:lpstr>
      <vt:lpstr>'APU07'!Área_de_impresión</vt:lpstr>
      <vt:lpstr>'APU08'!Área_de_impresión</vt:lpstr>
      <vt:lpstr>'APU09'!Área_de_impresión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Doriath</dc:creator>
  <cp:lastModifiedBy>Raquel win10</cp:lastModifiedBy>
  <cp:lastPrinted>2024-02-05T15:28:22Z</cp:lastPrinted>
  <dcterms:created xsi:type="dcterms:W3CDTF">2011-12-10T21:22:40Z</dcterms:created>
  <dcterms:modified xsi:type="dcterms:W3CDTF">2024-04-03T16:07:19Z</dcterms:modified>
</cp:coreProperties>
</file>