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Class Stuff\Spring Class 2025\UnderstandingLLM\code\"/>
    </mc:Choice>
  </mc:AlternateContent>
  <xr:revisionPtr revIDLastSave="0" documentId="13_ncr:1_{46F04DA2-7A64-40D1-84BD-7F3AB6EA09E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Transl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26" i="2" l="1"/>
  <c r="I1126" i="2"/>
  <c r="H1126" i="2"/>
  <c r="G1126" i="2"/>
  <c r="F1126" i="2"/>
  <c r="E1126" i="2"/>
  <c r="D1126" i="2"/>
  <c r="C1126" i="2"/>
  <c r="B1126" i="2"/>
  <c r="A1126" i="2"/>
  <c r="J1125" i="2"/>
  <c r="I1125" i="2"/>
  <c r="H1125" i="2"/>
  <c r="G1125" i="2"/>
  <c r="F1125" i="2"/>
  <c r="E1125" i="2"/>
  <c r="D1125" i="2"/>
  <c r="C1125" i="2"/>
  <c r="B1125" i="2"/>
  <c r="A1125" i="2"/>
  <c r="J1124" i="2"/>
  <c r="I1124" i="2"/>
  <c r="H1124" i="2"/>
  <c r="G1124" i="2"/>
  <c r="F1124" i="2"/>
  <c r="E1124" i="2"/>
  <c r="D1124" i="2"/>
  <c r="C1124" i="2"/>
  <c r="B1124" i="2"/>
  <c r="A1124" i="2"/>
  <c r="J1123" i="2"/>
  <c r="I1123" i="2"/>
  <c r="H1123" i="2"/>
  <c r="G1123" i="2"/>
  <c r="F1123" i="2"/>
  <c r="E1123" i="2"/>
  <c r="D1123" i="2"/>
  <c r="C1123" i="2"/>
  <c r="B1123" i="2"/>
  <c r="A1123" i="2"/>
  <c r="J1122" i="2"/>
  <c r="I1122" i="2"/>
  <c r="H1122" i="2"/>
  <c r="G1122" i="2"/>
  <c r="F1122" i="2"/>
  <c r="E1122" i="2"/>
  <c r="D1122" i="2"/>
  <c r="C1122" i="2"/>
  <c r="B1122" i="2"/>
  <c r="A1122" i="2"/>
  <c r="J1121" i="2"/>
  <c r="I1121" i="2"/>
  <c r="H1121" i="2"/>
  <c r="G1121" i="2"/>
  <c r="F1121" i="2"/>
  <c r="E1121" i="2"/>
  <c r="D1121" i="2"/>
  <c r="C1121" i="2"/>
  <c r="B1121" i="2"/>
  <c r="A1121" i="2"/>
  <c r="J1120" i="2"/>
  <c r="I1120" i="2"/>
  <c r="H1120" i="2"/>
  <c r="G1120" i="2"/>
  <c r="F1120" i="2"/>
  <c r="E1120" i="2"/>
  <c r="D1120" i="2"/>
  <c r="C1120" i="2"/>
  <c r="B1120" i="2"/>
  <c r="A1120" i="2"/>
  <c r="J1119" i="2"/>
  <c r="I1119" i="2"/>
  <c r="H1119" i="2"/>
  <c r="G1119" i="2"/>
  <c r="F1119" i="2"/>
  <c r="E1119" i="2"/>
  <c r="D1119" i="2"/>
  <c r="C1119" i="2"/>
  <c r="B1119" i="2"/>
  <c r="A1119" i="2"/>
  <c r="J1118" i="2"/>
  <c r="I1118" i="2"/>
  <c r="H1118" i="2"/>
  <c r="G1118" i="2"/>
  <c r="F1118" i="2"/>
  <c r="E1118" i="2"/>
  <c r="D1118" i="2"/>
  <c r="C1118" i="2"/>
  <c r="B1118" i="2"/>
  <c r="A1118" i="2"/>
  <c r="J1117" i="2"/>
  <c r="I1117" i="2"/>
  <c r="H1117" i="2"/>
  <c r="G1117" i="2"/>
  <c r="F1117" i="2"/>
  <c r="E1117" i="2"/>
  <c r="D1117" i="2"/>
  <c r="C1117" i="2"/>
  <c r="B1117" i="2"/>
  <c r="A1117" i="2"/>
  <c r="J1116" i="2"/>
  <c r="I1116" i="2"/>
  <c r="H1116" i="2"/>
  <c r="G1116" i="2"/>
  <c r="F1116" i="2"/>
  <c r="E1116" i="2"/>
  <c r="D1116" i="2"/>
  <c r="C1116" i="2"/>
  <c r="B1116" i="2"/>
  <c r="A1116" i="2"/>
  <c r="J1115" i="2"/>
  <c r="I1115" i="2"/>
  <c r="H1115" i="2"/>
  <c r="G1115" i="2"/>
  <c r="F1115" i="2"/>
  <c r="E1115" i="2"/>
  <c r="D1115" i="2"/>
  <c r="C1115" i="2"/>
  <c r="B1115" i="2"/>
  <c r="A1115" i="2"/>
  <c r="J1114" i="2"/>
  <c r="I1114" i="2"/>
  <c r="H1114" i="2"/>
  <c r="G1114" i="2"/>
  <c r="F1114" i="2"/>
  <c r="E1114" i="2"/>
  <c r="D1114" i="2"/>
  <c r="C1114" i="2"/>
  <c r="B1114" i="2"/>
  <c r="A1114" i="2"/>
  <c r="J1113" i="2"/>
  <c r="I1113" i="2"/>
  <c r="H1113" i="2"/>
  <c r="G1113" i="2"/>
  <c r="F1113" i="2"/>
  <c r="E1113" i="2"/>
  <c r="D1113" i="2"/>
  <c r="C1113" i="2"/>
  <c r="B1113" i="2"/>
  <c r="A1113" i="2"/>
  <c r="J1112" i="2"/>
  <c r="I1112" i="2"/>
  <c r="H1112" i="2"/>
  <c r="G1112" i="2"/>
  <c r="F1112" i="2"/>
  <c r="E1112" i="2"/>
  <c r="D1112" i="2"/>
  <c r="C1112" i="2"/>
  <c r="B1112" i="2"/>
  <c r="A1112" i="2"/>
  <c r="J1111" i="2"/>
  <c r="I1111" i="2"/>
  <c r="H1111" i="2"/>
  <c r="G1111" i="2"/>
  <c r="F1111" i="2"/>
  <c r="E1111" i="2"/>
  <c r="D1111" i="2"/>
  <c r="C1111" i="2"/>
  <c r="B1111" i="2"/>
  <c r="A1111" i="2"/>
  <c r="J1110" i="2"/>
  <c r="I1110" i="2"/>
  <c r="H1110" i="2"/>
  <c r="G1110" i="2"/>
  <c r="F1110" i="2"/>
  <c r="E1110" i="2"/>
  <c r="D1110" i="2"/>
  <c r="C1110" i="2"/>
  <c r="B1110" i="2"/>
  <c r="A1110" i="2"/>
  <c r="J1109" i="2"/>
  <c r="I1109" i="2"/>
  <c r="H1109" i="2"/>
  <c r="G1109" i="2"/>
  <c r="F1109" i="2"/>
  <c r="E1109" i="2"/>
  <c r="D1109" i="2"/>
  <c r="C1109" i="2"/>
  <c r="B1109" i="2"/>
  <c r="A1109" i="2"/>
  <c r="J1108" i="2"/>
  <c r="I1108" i="2"/>
  <c r="H1108" i="2"/>
  <c r="G1108" i="2"/>
  <c r="F1108" i="2"/>
  <c r="E1108" i="2"/>
  <c r="D1108" i="2"/>
  <c r="C1108" i="2"/>
  <c r="B1108" i="2"/>
  <c r="A1108" i="2"/>
  <c r="J1107" i="2"/>
  <c r="I1107" i="2"/>
  <c r="H1107" i="2"/>
  <c r="G1107" i="2"/>
  <c r="F1107" i="2"/>
  <c r="E1107" i="2"/>
  <c r="D1107" i="2"/>
  <c r="C1107" i="2"/>
  <c r="B1107" i="2"/>
  <c r="A1107" i="2"/>
  <c r="J1106" i="2"/>
  <c r="I1106" i="2"/>
  <c r="H1106" i="2"/>
  <c r="G1106" i="2"/>
  <c r="F1106" i="2"/>
  <c r="E1106" i="2"/>
  <c r="D1106" i="2"/>
  <c r="C1106" i="2"/>
  <c r="B1106" i="2"/>
  <c r="A1106" i="2"/>
  <c r="J1105" i="2"/>
  <c r="I1105" i="2"/>
  <c r="H1105" i="2"/>
  <c r="G1105" i="2"/>
  <c r="F1105" i="2"/>
  <c r="E1105" i="2"/>
  <c r="D1105" i="2"/>
  <c r="C1105" i="2"/>
  <c r="B1105" i="2"/>
  <c r="A1105" i="2"/>
  <c r="J1104" i="2"/>
  <c r="I1104" i="2"/>
  <c r="H1104" i="2"/>
  <c r="G1104" i="2"/>
  <c r="F1104" i="2"/>
  <c r="E1104" i="2"/>
  <c r="D1104" i="2"/>
  <c r="C1104" i="2"/>
  <c r="B1104" i="2"/>
  <c r="A1104" i="2"/>
  <c r="J1103" i="2"/>
  <c r="I1103" i="2"/>
  <c r="H1103" i="2"/>
  <c r="G1103" i="2"/>
  <c r="F1103" i="2"/>
  <c r="E1103" i="2"/>
  <c r="D1103" i="2"/>
  <c r="C1103" i="2"/>
  <c r="B1103" i="2"/>
  <c r="A1103" i="2"/>
  <c r="J1102" i="2"/>
  <c r="I1102" i="2"/>
  <c r="H1102" i="2"/>
  <c r="G1102" i="2"/>
  <c r="F1102" i="2"/>
  <c r="E1102" i="2"/>
  <c r="D1102" i="2"/>
  <c r="C1102" i="2"/>
  <c r="B1102" i="2"/>
  <c r="A1102" i="2"/>
  <c r="J1101" i="2"/>
  <c r="I1101" i="2"/>
  <c r="H1101" i="2"/>
  <c r="G1101" i="2"/>
  <c r="F1101" i="2"/>
  <c r="E1101" i="2"/>
  <c r="D1101" i="2"/>
  <c r="C1101" i="2"/>
  <c r="B1101" i="2"/>
  <c r="A1101" i="2"/>
  <c r="J1100" i="2"/>
  <c r="I1100" i="2"/>
  <c r="H1100" i="2"/>
  <c r="G1100" i="2"/>
  <c r="F1100" i="2"/>
  <c r="E1100" i="2"/>
  <c r="D1100" i="2"/>
  <c r="C1100" i="2"/>
  <c r="B1100" i="2"/>
  <c r="A1100" i="2"/>
  <c r="J1099" i="2"/>
  <c r="I1099" i="2"/>
  <c r="H1099" i="2"/>
  <c r="G1099" i="2"/>
  <c r="F1099" i="2"/>
  <c r="E1099" i="2"/>
  <c r="D1099" i="2"/>
  <c r="C1099" i="2"/>
  <c r="B1099" i="2"/>
  <c r="A1099" i="2"/>
  <c r="J1098" i="2"/>
  <c r="I1098" i="2"/>
  <c r="H1098" i="2"/>
  <c r="G1098" i="2"/>
  <c r="F1098" i="2"/>
  <c r="E1098" i="2"/>
  <c r="D1098" i="2"/>
  <c r="C1098" i="2"/>
  <c r="B1098" i="2"/>
  <c r="A1098" i="2"/>
  <c r="J1097" i="2"/>
  <c r="I1097" i="2"/>
  <c r="H1097" i="2"/>
  <c r="G1097" i="2"/>
  <c r="F1097" i="2"/>
  <c r="E1097" i="2"/>
  <c r="D1097" i="2"/>
  <c r="C1097" i="2"/>
  <c r="B1097" i="2"/>
  <c r="A1097" i="2"/>
  <c r="J1096" i="2"/>
  <c r="I1096" i="2"/>
  <c r="H1096" i="2"/>
  <c r="G1096" i="2"/>
  <c r="F1096" i="2"/>
  <c r="E1096" i="2"/>
  <c r="D1096" i="2"/>
  <c r="C1096" i="2"/>
  <c r="B1096" i="2"/>
  <c r="A1096" i="2"/>
  <c r="J1095" i="2"/>
  <c r="I1095" i="2"/>
  <c r="H1095" i="2"/>
  <c r="G1095" i="2"/>
  <c r="F1095" i="2"/>
  <c r="E1095" i="2"/>
  <c r="D1095" i="2"/>
  <c r="C1095" i="2"/>
  <c r="B1095" i="2"/>
  <c r="A1095" i="2"/>
  <c r="J1094" i="2"/>
  <c r="I1094" i="2"/>
  <c r="H1094" i="2"/>
  <c r="G1094" i="2"/>
  <c r="F1094" i="2"/>
  <c r="E1094" i="2"/>
  <c r="D1094" i="2"/>
  <c r="C1094" i="2"/>
  <c r="B1094" i="2"/>
  <c r="A1094" i="2"/>
  <c r="J1093" i="2"/>
  <c r="I1093" i="2"/>
  <c r="H1093" i="2"/>
  <c r="G1093" i="2"/>
  <c r="F1093" i="2"/>
  <c r="E1093" i="2"/>
  <c r="D1093" i="2"/>
  <c r="C1093" i="2"/>
  <c r="B1093" i="2"/>
  <c r="A1093" i="2"/>
  <c r="J1092" i="2"/>
  <c r="I1092" i="2"/>
  <c r="H1092" i="2"/>
  <c r="G1092" i="2"/>
  <c r="F1092" i="2"/>
  <c r="E1092" i="2"/>
  <c r="D1092" i="2"/>
  <c r="C1092" i="2"/>
  <c r="B1092" i="2"/>
  <c r="A1092" i="2"/>
  <c r="J1091" i="2"/>
  <c r="I1091" i="2"/>
  <c r="H1091" i="2"/>
  <c r="G1091" i="2"/>
  <c r="F1091" i="2"/>
  <c r="E1091" i="2"/>
  <c r="D1091" i="2"/>
  <c r="C1091" i="2"/>
  <c r="B1091" i="2"/>
  <c r="A1091" i="2"/>
  <c r="J1090" i="2"/>
  <c r="I1090" i="2"/>
  <c r="H1090" i="2"/>
  <c r="G1090" i="2"/>
  <c r="F1090" i="2"/>
  <c r="E1090" i="2"/>
  <c r="D1090" i="2"/>
  <c r="C1090" i="2"/>
  <c r="B1090" i="2"/>
  <c r="A1090" i="2"/>
  <c r="J1089" i="2"/>
  <c r="I1089" i="2"/>
  <c r="H1089" i="2"/>
  <c r="G1089" i="2"/>
  <c r="F1089" i="2"/>
  <c r="E1089" i="2"/>
  <c r="D1089" i="2"/>
  <c r="C1089" i="2"/>
  <c r="B1089" i="2"/>
  <c r="A1089" i="2"/>
  <c r="J1088" i="2"/>
  <c r="I1088" i="2"/>
  <c r="H1088" i="2"/>
  <c r="G1088" i="2"/>
  <c r="F1088" i="2"/>
  <c r="E1088" i="2"/>
  <c r="D1088" i="2"/>
  <c r="C1088" i="2"/>
  <c r="B1088" i="2"/>
  <c r="A1088" i="2"/>
  <c r="J1087" i="2"/>
  <c r="I1087" i="2"/>
  <c r="H1087" i="2"/>
  <c r="G1087" i="2"/>
  <c r="F1087" i="2"/>
  <c r="E1087" i="2"/>
  <c r="D1087" i="2"/>
  <c r="C1087" i="2"/>
  <c r="B1087" i="2"/>
  <c r="A1087" i="2"/>
  <c r="J1086" i="2"/>
  <c r="I1086" i="2"/>
  <c r="H1086" i="2"/>
  <c r="G1086" i="2"/>
  <c r="F1086" i="2"/>
  <c r="E1086" i="2"/>
  <c r="D1086" i="2"/>
  <c r="C1086" i="2"/>
  <c r="B1086" i="2"/>
  <c r="A1086" i="2"/>
  <c r="J1085" i="2"/>
  <c r="I1085" i="2"/>
  <c r="H1085" i="2"/>
  <c r="G1085" i="2"/>
  <c r="F1085" i="2"/>
  <c r="E1085" i="2"/>
  <c r="D1085" i="2"/>
  <c r="C1085" i="2"/>
  <c r="B1085" i="2"/>
  <c r="A1085" i="2"/>
  <c r="J1084" i="2"/>
  <c r="I1084" i="2"/>
  <c r="H1084" i="2"/>
  <c r="G1084" i="2"/>
  <c r="F1084" i="2"/>
  <c r="E1084" i="2"/>
  <c r="D1084" i="2"/>
  <c r="C1084" i="2"/>
  <c r="B1084" i="2"/>
  <c r="A1084" i="2"/>
  <c r="J1083" i="2"/>
  <c r="I1083" i="2"/>
  <c r="H1083" i="2"/>
  <c r="G1083" i="2"/>
  <c r="F1083" i="2"/>
  <c r="E1083" i="2"/>
  <c r="D1083" i="2"/>
  <c r="C1083" i="2"/>
  <c r="B1083" i="2"/>
  <c r="A1083" i="2"/>
  <c r="J1082" i="2"/>
  <c r="I1082" i="2"/>
  <c r="H1082" i="2"/>
  <c r="G1082" i="2"/>
  <c r="F1082" i="2"/>
  <c r="E1082" i="2"/>
  <c r="D1082" i="2"/>
  <c r="C1082" i="2"/>
  <c r="B1082" i="2"/>
  <c r="A1082" i="2"/>
  <c r="J1081" i="2"/>
  <c r="I1081" i="2"/>
  <c r="H1081" i="2"/>
  <c r="G1081" i="2"/>
  <c r="F1081" i="2"/>
  <c r="E1081" i="2"/>
  <c r="D1081" i="2"/>
  <c r="C1081" i="2"/>
  <c r="B1081" i="2"/>
  <c r="A1081" i="2"/>
  <c r="J1080" i="2"/>
  <c r="I1080" i="2"/>
  <c r="H1080" i="2"/>
  <c r="G1080" i="2"/>
  <c r="F1080" i="2"/>
  <c r="E1080" i="2"/>
  <c r="D1080" i="2"/>
  <c r="C1080" i="2"/>
  <c r="B1080" i="2"/>
  <c r="A1080" i="2"/>
  <c r="J1079" i="2"/>
  <c r="I1079" i="2"/>
  <c r="H1079" i="2"/>
  <c r="G1079" i="2"/>
  <c r="F1079" i="2"/>
  <c r="E1079" i="2"/>
  <c r="D1079" i="2"/>
  <c r="C1079" i="2"/>
  <c r="B1079" i="2"/>
  <c r="A1079" i="2"/>
  <c r="J1078" i="2"/>
  <c r="I1078" i="2"/>
  <c r="H1078" i="2"/>
  <c r="G1078" i="2"/>
  <c r="F1078" i="2"/>
  <c r="E1078" i="2"/>
  <c r="D1078" i="2"/>
  <c r="C1078" i="2"/>
  <c r="B1078" i="2"/>
  <c r="A1078" i="2"/>
  <c r="J1077" i="2"/>
  <c r="I1077" i="2"/>
  <c r="H1077" i="2"/>
  <c r="G1077" i="2"/>
  <c r="F1077" i="2"/>
  <c r="E1077" i="2"/>
  <c r="D1077" i="2"/>
  <c r="C1077" i="2"/>
  <c r="B1077" i="2"/>
  <c r="A1077" i="2"/>
  <c r="J1076" i="2"/>
  <c r="I1076" i="2"/>
  <c r="H1076" i="2"/>
  <c r="G1076" i="2"/>
  <c r="F1076" i="2"/>
  <c r="E1076" i="2"/>
  <c r="D1076" i="2"/>
  <c r="C1076" i="2"/>
  <c r="B1076" i="2"/>
  <c r="A1076" i="2"/>
  <c r="J1075" i="2"/>
  <c r="I1075" i="2"/>
  <c r="H1075" i="2"/>
  <c r="G1075" i="2"/>
  <c r="F1075" i="2"/>
  <c r="E1075" i="2"/>
  <c r="D1075" i="2"/>
  <c r="C1075" i="2"/>
  <c r="B1075" i="2"/>
  <c r="A1075" i="2"/>
  <c r="J1074" i="2"/>
  <c r="I1074" i="2"/>
  <c r="H1074" i="2"/>
  <c r="G1074" i="2"/>
  <c r="F1074" i="2"/>
  <c r="E1074" i="2"/>
  <c r="D1074" i="2"/>
  <c r="C1074" i="2"/>
  <c r="B1074" i="2"/>
  <c r="A1074" i="2"/>
  <c r="J1073" i="2"/>
  <c r="I1073" i="2"/>
  <c r="H1073" i="2"/>
  <c r="G1073" i="2"/>
  <c r="F1073" i="2"/>
  <c r="E1073" i="2"/>
  <c r="D1073" i="2"/>
  <c r="C1073" i="2"/>
  <c r="B1073" i="2"/>
  <c r="A1073" i="2"/>
  <c r="J1072" i="2"/>
  <c r="I1072" i="2"/>
  <c r="H1072" i="2"/>
  <c r="G1072" i="2"/>
  <c r="F1072" i="2"/>
  <c r="E1072" i="2"/>
  <c r="D1072" i="2"/>
  <c r="C1072" i="2"/>
  <c r="B1072" i="2"/>
  <c r="A1072" i="2"/>
  <c r="J1071" i="2"/>
  <c r="I1071" i="2"/>
  <c r="H1071" i="2"/>
  <c r="G1071" i="2"/>
  <c r="F1071" i="2"/>
  <c r="E1071" i="2"/>
  <c r="D1071" i="2"/>
  <c r="C1071" i="2"/>
  <c r="B1071" i="2"/>
  <c r="A1071" i="2"/>
  <c r="J1070" i="2"/>
  <c r="I1070" i="2"/>
  <c r="H1070" i="2"/>
  <c r="G1070" i="2"/>
  <c r="F1070" i="2"/>
  <c r="E1070" i="2"/>
  <c r="D1070" i="2"/>
  <c r="C1070" i="2"/>
  <c r="B1070" i="2"/>
  <c r="A1070" i="2"/>
  <c r="J1069" i="2"/>
  <c r="I1069" i="2"/>
  <c r="H1069" i="2"/>
  <c r="G1069" i="2"/>
  <c r="F1069" i="2"/>
  <c r="E1069" i="2"/>
  <c r="D1069" i="2"/>
  <c r="C1069" i="2"/>
  <c r="B1069" i="2"/>
  <c r="A1069" i="2"/>
  <c r="J1068" i="2"/>
  <c r="I1068" i="2"/>
  <c r="H1068" i="2"/>
  <c r="G1068" i="2"/>
  <c r="F1068" i="2"/>
  <c r="E1068" i="2"/>
  <c r="D1068" i="2"/>
  <c r="C1068" i="2"/>
  <c r="B1068" i="2"/>
  <c r="A1068" i="2"/>
  <c r="J1067" i="2"/>
  <c r="I1067" i="2"/>
  <c r="H1067" i="2"/>
  <c r="G1067" i="2"/>
  <c r="F1067" i="2"/>
  <c r="E1067" i="2"/>
  <c r="D1067" i="2"/>
  <c r="C1067" i="2"/>
  <c r="B1067" i="2"/>
  <c r="A1067" i="2"/>
  <c r="J1066" i="2"/>
  <c r="I1066" i="2"/>
  <c r="H1066" i="2"/>
  <c r="G1066" i="2"/>
  <c r="F1066" i="2"/>
  <c r="E1066" i="2"/>
  <c r="D1066" i="2"/>
  <c r="C1066" i="2"/>
  <c r="B1066" i="2"/>
  <c r="A1066" i="2"/>
  <c r="J1065" i="2"/>
  <c r="I1065" i="2"/>
  <c r="H1065" i="2"/>
  <c r="G1065" i="2"/>
  <c r="F1065" i="2"/>
  <c r="E1065" i="2"/>
  <c r="D1065" i="2"/>
  <c r="C1065" i="2"/>
  <c r="B1065" i="2"/>
  <c r="A1065" i="2"/>
  <c r="J1064" i="2"/>
  <c r="I1064" i="2"/>
  <c r="H1064" i="2"/>
  <c r="G1064" i="2"/>
  <c r="F1064" i="2"/>
  <c r="E1064" i="2"/>
  <c r="D1064" i="2"/>
  <c r="C1064" i="2"/>
  <c r="B1064" i="2"/>
  <c r="A1064" i="2"/>
  <c r="J1063" i="2"/>
  <c r="I1063" i="2"/>
  <c r="H1063" i="2"/>
  <c r="G1063" i="2"/>
  <c r="F1063" i="2"/>
  <c r="E1063" i="2"/>
  <c r="D1063" i="2"/>
  <c r="C1063" i="2"/>
  <c r="B1063" i="2"/>
  <c r="A1063" i="2"/>
  <c r="J1062" i="2"/>
  <c r="I1062" i="2"/>
  <c r="H1062" i="2"/>
  <c r="G1062" i="2"/>
  <c r="F1062" i="2"/>
  <c r="E1062" i="2"/>
  <c r="D1062" i="2"/>
  <c r="C1062" i="2"/>
  <c r="B1062" i="2"/>
  <c r="A1062" i="2"/>
  <c r="J1061" i="2"/>
  <c r="I1061" i="2"/>
  <c r="H1061" i="2"/>
  <c r="G1061" i="2"/>
  <c r="F1061" i="2"/>
  <c r="E1061" i="2"/>
  <c r="D1061" i="2"/>
  <c r="C1061" i="2"/>
  <c r="B1061" i="2"/>
  <c r="A1061" i="2"/>
  <c r="J1060" i="2"/>
  <c r="I1060" i="2"/>
  <c r="H1060" i="2"/>
  <c r="G1060" i="2"/>
  <c r="F1060" i="2"/>
  <c r="E1060" i="2"/>
  <c r="D1060" i="2"/>
  <c r="C1060" i="2"/>
  <c r="B1060" i="2"/>
  <c r="A1060" i="2"/>
  <c r="J1059" i="2"/>
  <c r="I1059" i="2"/>
  <c r="H1059" i="2"/>
  <c r="G1059" i="2"/>
  <c r="F1059" i="2"/>
  <c r="E1059" i="2"/>
  <c r="D1059" i="2"/>
  <c r="C1059" i="2"/>
  <c r="B1059" i="2"/>
  <c r="A1059" i="2"/>
  <c r="J1058" i="2"/>
  <c r="I1058" i="2"/>
  <c r="H1058" i="2"/>
  <c r="G1058" i="2"/>
  <c r="F1058" i="2"/>
  <c r="E1058" i="2"/>
  <c r="D1058" i="2"/>
  <c r="C1058" i="2"/>
  <c r="B1058" i="2"/>
  <c r="A1058" i="2"/>
  <c r="J1057" i="2"/>
  <c r="I1057" i="2"/>
  <c r="H1057" i="2"/>
  <c r="G1057" i="2"/>
  <c r="F1057" i="2"/>
  <c r="E1057" i="2"/>
  <c r="D1057" i="2"/>
  <c r="C1057" i="2"/>
  <c r="B1057" i="2"/>
  <c r="A1057" i="2"/>
  <c r="J1056" i="2"/>
  <c r="I1056" i="2"/>
  <c r="H1056" i="2"/>
  <c r="G1056" i="2"/>
  <c r="F1056" i="2"/>
  <c r="E1056" i="2"/>
  <c r="D1056" i="2"/>
  <c r="C1056" i="2"/>
  <c r="B1056" i="2"/>
  <c r="A1056" i="2"/>
  <c r="J1055" i="2"/>
  <c r="I1055" i="2"/>
  <c r="H1055" i="2"/>
  <c r="G1055" i="2"/>
  <c r="F1055" i="2"/>
  <c r="E1055" i="2"/>
  <c r="D1055" i="2"/>
  <c r="C1055" i="2"/>
  <c r="B1055" i="2"/>
  <c r="A1055" i="2"/>
  <c r="J1054" i="2"/>
  <c r="I1054" i="2"/>
  <c r="H1054" i="2"/>
  <c r="G1054" i="2"/>
  <c r="F1054" i="2"/>
  <c r="E1054" i="2"/>
  <c r="D1054" i="2"/>
  <c r="C1054" i="2"/>
  <c r="B1054" i="2"/>
  <c r="A1054" i="2"/>
  <c r="J1053" i="2"/>
  <c r="I1053" i="2"/>
  <c r="H1053" i="2"/>
  <c r="G1053" i="2"/>
  <c r="F1053" i="2"/>
  <c r="E1053" i="2"/>
  <c r="D1053" i="2"/>
  <c r="C1053" i="2"/>
  <c r="B1053" i="2"/>
  <c r="A1053" i="2"/>
  <c r="J1052" i="2"/>
  <c r="I1052" i="2"/>
  <c r="H1052" i="2"/>
  <c r="G1052" i="2"/>
  <c r="F1052" i="2"/>
  <c r="E1052" i="2"/>
  <c r="D1052" i="2"/>
  <c r="C1052" i="2"/>
  <c r="B1052" i="2"/>
  <c r="A1052" i="2"/>
  <c r="J1051" i="2"/>
  <c r="I1051" i="2"/>
  <c r="H1051" i="2"/>
  <c r="G1051" i="2"/>
  <c r="F1051" i="2"/>
  <c r="E1051" i="2"/>
  <c r="D1051" i="2"/>
  <c r="C1051" i="2"/>
  <c r="B1051" i="2"/>
  <c r="A1051" i="2"/>
  <c r="J1050" i="2"/>
  <c r="I1050" i="2"/>
  <c r="H1050" i="2"/>
  <c r="G1050" i="2"/>
  <c r="F1050" i="2"/>
  <c r="E1050" i="2"/>
  <c r="D1050" i="2"/>
  <c r="C1050" i="2"/>
  <c r="B1050" i="2"/>
  <c r="A1050" i="2"/>
  <c r="J1049" i="2"/>
  <c r="I1049" i="2"/>
  <c r="H1049" i="2"/>
  <c r="G1049" i="2"/>
  <c r="F1049" i="2"/>
  <c r="E1049" i="2"/>
  <c r="D1049" i="2"/>
  <c r="C1049" i="2"/>
  <c r="B1049" i="2"/>
  <c r="A1049" i="2"/>
  <c r="J1048" i="2"/>
  <c r="I1048" i="2"/>
  <c r="H1048" i="2"/>
  <c r="G1048" i="2"/>
  <c r="F1048" i="2"/>
  <c r="E1048" i="2"/>
  <c r="D1048" i="2"/>
  <c r="C1048" i="2"/>
  <c r="B1048" i="2"/>
  <c r="A1048" i="2"/>
  <c r="J1047" i="2"/>
  <c r="I1047" i="2"/>
  <c r="H1047" i="2"/>
  <c r="G1047" i="2"/>
  <c r="F1047" i="2"/>
  <c r="E1047" i="2"/>
  <c r="D1047" i="2"/>
  <c r="C1047" i="2"/>
  <c r="B1047" i="2"/>
  <c r="A1047" i="2"/>
  <c r="J1046" i="2"/>
  <c r="I1046" i="2"/>
  <c r="H1046" i="2"/>
  <c r="G1046" i="2"/>
  <c r="F1046" i="2"/>
  <c r="E1046" i="2"/>
  <c r="D1046" i="2"/>
  <c r="C1046" i="2"/>
  <c r="B1046" i="2"/>
  <c r="A1046" i="2"/>
  <c r="J1045" i="2"/>
  <c r="I1045" i="2"/>
  <c r="H1045" i="2"/>
  <c r="G1045" i="2"/>
  <c r="F1045" i="2"/>
  <c r="E1045" i="2"/>
  <c r="D1045" i="2"/>
  <c r="C1045" i="2"/>
  <c r="B1045" i="2"/>
  <c r="A1045" i="2"/>
  <c r="J1044" i="2"/>
  <c r="I1044" i="2"/>
  <c r="H1044" i="2"/>
  <c r="G1044" i="2"/>
  <c r="F1044" i="2"/>
  <c r="E1044" i="2"/>
  <c r="D1044" i="2"/>
  <c r="C1044" i="2"/>
  <c r="B1044" i="2"/>
  <c r="A1044" i="2"/>
  <c r="J1043" i="2"/>
  <c r="I1043" i="2"/>
  <c r="H1043" i="2"/>
  <c r="G1043" i="2"/>
  <c r="F1043" i="2"/>
  <c r="E1043" i="2"/>
  <c r="D1043" i="2"/>
  <c r="C1043" i="2"/>
  <c r="B1043" i="2"/>
  <c r="A1043" i="2"/>
  <c r="J1042" i="2"/>
  <c r="I1042" i="2"/>
  <c r="H1042" i="2"/>
  <c r="G1042" i="2"/>
  <c r="F1042" i="2"/>
  <c r="E1042" i="2"/>
  <c r="D1042" i="2"/>
  <c r="C1042" i="2"/>
  <c r="B1042" i="2"/>
  <c r="A1042" i="2"/>
  <c r="J1041" i="2"/>
  <c r="I1041" i="2"/>
  <c r="H1041" i="2"/>
  <c r="G1041" i="2"/>
  <c r="F1041" i="2"/>
  <c r="E1041" i="2"/>
  <c r="D1041" i="2"/>
  <c r="C1041" i="2"/>
  <c r="B1041" i="2"/>
  <c r="A1041" i="2"/>
  <c r="J1040" i="2"/>
  <c r="I1040" i="2"/>
  <c r="H1040" i="2"/>
  <c r="G1040" i="2"/>
  <c r="F1040" i="2"/>
  <c r="E1040" i="2"/>
  <c r="D1040" i="2"/>
  <c r="C1040" i="2"/>
  <c r="B1040" i="2"/>
  <c r="A1040" i="2"/>
  <c r="J1039" i="2"/>
  <c r="I1039" i="2"/>
  <c r="H1039" i="2"/>
  <c r="G1039" i="2"/>
  <c r="F1039" i="2"/>
  <c r="E1039" i="2"/>
  <c r="D1039" i="2"/>
  <c r="C1039" i="2"/>
  <c r="B1039" i="2"/>
  <c r="A1039" i="2"/>
  <c r="J1038" i="2"/>
  <c r="I1038" i="2"/>
  <c r="H1038" i="2"/>
  <c r="G1038" i="2"/>
  <c r="F1038" i="2"/>
  <c r="E1038" i="2"/>
  <c r="D1038" i="2"/>
  <c r="C1038" i="2"/>
  <c r="B1038" i="2"/>
  <c r="A1038" i="2"/>
  <c r="J1037" i="2"/>
  <c r="I1037" i="2"/>
  <c r="H1037" i="2"/>
  <c r="G1037" i="2"/>
  <c r="F1037" i="2"/>
  <c r="E1037" i="2"/>
  <c r="D1037" i="2"/>
  <c r="C1037" i="2"/>
  <c r="B1037" i="2"/>
  <c r="A1037" i="2"/>
  <c r="J1036" i="2"/>
  <c r="I1036" i="2"/>
  <c r="H1036" i="2"/>
  <c r="G1036" i="2"/>
  <c r="F1036" i="2"/>
  <c r="E1036" i="2"/>
  <c r="D1036" i="2"/>
  <c r="C1036" i="2"/>
  <c r="B1036" i="2"/>
  <c r="A1036" i="2"/>
  <c r="J1035" i="2"/>
  <c r="I1035" i="2"/>
  <c r="H1035" i="2"/>
  <c r="G1035" i="2"/>
  <c r="F1035" i="2"/>
  <c r="E1035" i="2"/>
  <c r="D1035" i="2"/>
  <c r="C1035" i="2"/>
  <c r="B1035" i="2"/>
  <c r="A1035" i="2"/>
  <c r="J1034" i="2"/>
  <c r="I1034" i="2"/>
  <c r="H1034" i="2"/>
  <c r="G1034" i="2"/>
  <c r="F1034" i="2"/>
  <c r="E1034" i="2"/>
  <c r="D1034" i="2"/>
  <c r="C1034" i="2"/>
  <c r="B1034" i="2"/>
  <c r="A1034" i="2"/>
  <c r="J1033" i="2"/>
  <c r="I1033" i="2"/>
  <c r="H1033" i="2"/>
  <c r="G1033" i="2"/>
  <c r="F1033" i="2"/>
  <c r="E1033" i="2"/>
  <c r="D1033" i="2"/>
  <c r="C1033" i="2"/>
  <c r="B1033" i="2"/>
  <c r="A1033" i="2"/>
  <c r="J1032" i="2"/>
  <c r="I1032" i="2"/>
  <c r="H1032" i="2"/>
  <c r="G1032" i="2"/>
  <c r="F1032" i="2"/>
  <c r="E1032" i="2"/>
  <c r="D1032" i="2"/>
  <c r="C1032" i="2"/>
  <c r="B1032" i="2"/>
  <c r="A1032" i="2"/>
  <c r="J1031" i="2"/>
  <c r="I1031" i="2"/>
  <c r="H1031" i="2"/>
  <c r="G1031" i="2"/>
  <c r="F1031" i="2"/>
  <c r="E1031" i="2"/>
  <c r="D1031" i="2"/>
  <c r="C1031" i="2"/>
  <c r="B1031" i="2"/>
  <c r="A1031" i="2"/>
  <c r="J1030" i="2"/>
  <c r="I1030" i="2"/>
  <c r="H1030" i="2"/>
  <c r="G1030" i="2"/>
  <c r="F1030" i="2"/>
  <c r="E1030" i="2"/>
  <c r="D1030" i="2"/>
  <c r="C1030" i="2"/>
  <c r="B1030" i="2"/>
  <c r="A1030" i="2"/>
  <c r="J1029" i="2"/>
  <c r="I1029" i="2"/>
  <c r="H1029" i="2"/>
  <c r="G1029" i="2"/>
  <c r="F1029" i="2"/>
  <c r="E1029" i="2"/>
  <c r="D1029" i="2"/>
  <c r="C1029" i="2"/>
  <c r="B1029" i="2"/>
  <c r="A1029" i="2"/>
  <c r="J1028" i="2"/>
  <c r="I1028" i="2"/>
  <c r="H1028" i="2"/>
  <c r="G1028" i="2"/>
  <c r="F1028" i="2"/>
  <c r="E1028" i="2"/>
  <c r="D1028" i="2"/>
  <c r="C1028" i="2"/>
  <c r="B1028" i="2"/>
  <c r="A1028" i="2"/>
  <c r="J1027" i="2"/>
  <c r="I1027" i="2"/>
  <c r="H1027" i="2"/>
  <c r="G1027" i="2"/>
  <c r="F1027" i="2"/>
  <c r="E1027" i="2"/>
  <c r="D1027" i="2"/>
  <c r="C1027" i="2"/>
  <c r="B1027" i="2"/>
  <c r="A1027" i="2"/>
  <c r="J1026" i="2"/>
  <c r="I1026" i="2"/>
  <c r="H1026" i="2"/>
  <c r="G1026" i="2"/>
  <c r="F1026" i="2"/>
  <c r="E1026" i="2"/>
  <c r="D1026" i="2"/>
  <c r="C1026" i="2"/>
  <c r="B1026" i="2"/>
  <c r="A1026" i="2"/>
  <c r="J1025" i="2"/>
  <c r="I1025" i="2"/>
  <c r="H1025" i="2"/>
  <c r="G1025" i="2"/>
  <c r="F1025" i="2"/>
  <c r="E1025" i="2"/>
  <c r="D1025" i="2"/>
  <c r="C1025" i="2"/>
  <c r="B1025" i="2"/>
  <c r="A1025" i="2"/>
  <c r="J1024" i="2"/>
  <c r="I1024" i="2"/>
  <c r="H1024" i="2"/>
  <c r="G1024" i="2"/>
  <c r="F1024" i="2"/>
  <c r="E1024" i="2"/>
  <c r="D1024" i="2"/>
  <c r="C1024" i="2"/>
  <c r="B1024" i="2"/>
  <c r="A1024" i="2"/>
  <c r="J1023" i="2"/>
  <c r="I1023" i="2"/>
  <c r="H1023" i="2"/>
  <c r="G1023" i="2"/>
  <c r="F1023" i="2"/>
  <c r="E1023" i="2"/>
  <c r="D1023" i="2"/>
  <c r="C1023" i="2"/>
  <c r="B1023" i="2"/>
  <c r="A1023" i="2"/>
  <c r="J1022" i="2"/>
  <c r="I1022" i="2"/>
  <c r="H1022" i="2"/>
  <c r="G1022" i="2"/>
  <c r="F1022" i="2"/>
  <c r="E1022" i="2"/>
  <c r="D1022" i="2"/>
  <c r="C1022" i="2"/>
  <c r="B1022" i="2"/>
  <c r="A1022" i="2"/>
  <c r="J1021" i="2"/>
  <c r="I1021" i="2"/>
  <c r="H1021" i="2"/>
  <c r="G1021" i="2"/>
  <c r="F1021" i="2"/>
  <c r="E1021" i="2"/>
  <c r="D1021" i="2"/>
  <c r="C1021" i="2"/>
  <c r="B1021" i="2"/>
  <c r="A1021" i="2"/>
  <c r="J1020" i="2"/>
  <c r="I1020" i="2"/>
  <c r="H1020" i="2"/>
  <c r="G1020" i="2"/>
  <c r="F1020" i="2"/>
  <c r="E1020" i="2"/>
  <c r="D1020" i="2"/>
  <c r="C1020" i="2"/>
  <c r="B1020" i="2"/>
  <c r="A1020" i="2"/>
  <c r="J1019" i="2"/>
  <c r="I1019" i="2"/>
  <c r="H1019" i="2"/>
  <c r="G1019" i="2"/>
  <c r="F1019" i="2"/>
  <c r="E1019" i="2"/>
  <c r="D1019" i="2"/>
  <c r="C1019" i="2"/>
  <c r="B1019" i="2"/>
  <c r="A1019" i="2"/>
  <c r="J1018" i="2"/>
  <c r="I1018" i="2"/>
  <c r="H1018" i="2"/>
  <c r="G1018" i="2"/>
  <c r="F1018" i="2"/>
  <c r="E1018" i="2"/>
  <c r="D1018" i="2"/>
  <c r="C1018" i="2"/>
  <c r="B1018" i="2"/>
  <c r="A1018" i="2"/>
  <c r="J1017" i="2"/>
  <c r="I1017" i="2"/>
  <c r="H1017" i="2"/>
  <c r="G1017" i="2"/>
  <c r="F1017" i="2"/>
  <c r="E1017" i="2"/>
  <c r="D1017" i="2"/>
  <c r="C1017" i="2"/>
  <c r="B1017" i="2"/>
  <c r="A1017" i="2"/>
  <c r="J1016" i="2"/>
  <c r="I1016" i="2"/>
  <c r="H1016" i="2"/>
  <c r="G1016" i="2"/>
  <c r="F1016" i="2"/>
  <c r="E1016" i="2"/>
  <c r="D1016" i="2"/>
  <c r="C1016" i="2"/>
  <c r="B1016" i="2"/>
  <c r="A1016" i="2"/>
  <c r="J1015" i="2"/>
  <c r="I1015" i="2"/>
  <c r="H1015" i="2"/>
  <c r="G1015" i="2"/>
  <c r="F1015" i="2"/>
  <c r="E1015" i="2"/>
  <c r="D1015" i="2"/>
  <c r="C1015" i="2"/>
  <c r="B1015" i="2"/>
  <c r="A1015" i="2"/>
  <c r="J1014" i="2"/>
  <c r="I1014" i="2"/>
  <c r="H1014" i="2"/>
  <c r="G1014" i="2"/>
  <c r="F1014" i="2"/>
  <c r="E1014" i="2"/>
  <c r="D1014" i="2"/>
  <c r="C1014" i="2"/>
  <c r="B1014" i="2"/>
  <c r="A1014" i="2"/>
  <c r="J1013" i="2"/>
  <c r="I1013" i="2"/>
  <c r="H1013" i="2"/>
  <c r="G1013" i="2"/>
  <c r="F1013" i="2"/>
  <c r="E1013" i="2"/>
  <c r="D1013" i="2"/>
  <c r="C1013" i="2"/>
  <c r="B1013" i="2"/>
  <c r="A1013" i="2"/>
  <c r="J1012" i="2"/>
  <c r="I1012" i="2"/>
  <c r="H1012" i="2"/>
  <c r="G1012" i="2"/>
  <c r="F1012" i="2"/>
  <c r="E1012" i="2"/>
  <c r="D1012" i="2"/>
  <c r="C1012" i="2"/>
  <c r="B1012" i="2"/>
  <c r="A1012" i="2"/>
  <c r="J1011" i="2"/>
  <c r="I1011" i="2"/>
  <c r="H1011" i="2"/>
  <c r="G1011" i="2"/>
  <c r="F1011" i="2"/>
  <c r="E1011" i="2"/>
  <c r="D1011" i="2"/>
  <c r="C1011" i="2"/>
  <c r="B1011" i="2"/>
  <c r="A1011" i="2"/>
  <c r="J1010" i="2"/>
  <c r="I1010" i="2"/>
  <c r="H1010" i="2"/>
  <c r="G1010" i="2"/>
  <c r="F1010" i="2"/>
  <c r="E1010" i="2"/>
  <c r="D1010" i="2"/>
  <c r="C1010" i="2"/>
  <c r="B1010" i="2"/>
  <c r="A1010" i="2"/>
  <c r="J1009" i="2"/>
  <c r="I1009" i="2"/>
  <c r="H1009" i="2"/>
  <c r="G1009" i="2"/>
  <c r="F1009" i="2"/>
  <c r="E1009" i="2"/>
  <c r="D1009" i="2"/>
  <c r="C1009" i="2"/>
  <c r="B1009" i="2"/>
  <c r="A1009" i="2"/>
  <c r="J1008" i="2"/>
  <c r="I1008" i="2"/>
  <c r="H1008" i="2"/>
  <c r="G1008" i="2"/>
  <c r="F1008" i="2"/>
  <c r="E1008" i="2"/>
  <c r="D1008" i="2"/>
  <c r="C1008" i="2"/>
  <c r="B1008" i="2"/>
  <c r="A1008" i="2"/>
  <c r="J1007" i="2"/>
  <c r="I1007" i="2"/>
  <c r="H1007" i="2"/>
  <c r="G1007" i="2"/>
  <c r="F1007" i="2"/>
  <c r="E1007" i="2"/>
  <c r="D1007" i="2"/>
  <c r="C1007" i="2"/>
  <c r="B1007" i="2"/>
  <c r="A1007" i="2"/>
  <c r="J1006" i="2"/>
  <c r="I1006" i="2"/>
  <c r="H1006" i="2"/>
  <c r="G1006" i="2"/>
  <c r="F1006" i="2"/>
  <c r="E1006" i="2"/>
  <c r="D1006" i="2"/>
  <c r="C1006" i="2"/>
  <c r="B1006" i="2"/>
  <c r="A1006" i="2"/>
  <c r="J1005" i="2"/>
  <c r="I1005" i="2"/>
  <c r="H1005" i="2"/>
  <c r="G1005" i="2"/>
  <c r="F1005" i="2"/>
  <c r="E1005" i="2"/>
  <c r="D1005" i="2"/>
  <c r="C1005" i="2"/>
  <c r="B1005" i="2"/>
  <c r="A1005" i="2"/>
  <c r="J1004" i="2"/>
  <c r="I1004" i="2"/>
  <c r="H1004" i="2"/>
  <c r="G1004" i="2"/>
  <c r="F1004" i="2"/>
  <c r="E1004" i="2"/>
  <c r="D1004" i="2"/>
  <c r="C1004" i="2"/>
  <c r="B1004" i="2"/>
  <c r="A1004" i="2"/>
  <c r="J1003" i="2"/>
  <c r="I1003" i="2"/>
  <c r="H1003" i="2"/>
  <c r="G1003" i="2"/>
  <c r="F1003" i="2"/>
  <c r="E1003" i="2"/>
  <c r="D1003" i="2"/>
  <c r="C1003" i="2"/>
  <c r="B1003" i="2"/>
  <c r="A1003" i="2"/>
  <c r="J1002" i="2"/>
  <c r="I1002" i="2"/>
  <c r="H1002" i="2"/>
  <c r="G1002" i="2"/>
  <c r="F1002" i="2"/>
  <c r="E1002" i="2"/>
  <c r="D1002" i="2"/>
  <c r="C1002" i="2"/>
  <c r="B1002" i="2"/>
  <c r="A1002" i="2"/>
  <c r="J1001" i="2"/>
  <c r="I1001" i="2"/>
  <c r="H1001" i="2"/>
  <c r="G1001" i="2"/>
  <c r="F1001" i="2"/>
  <c r="E1001" i="2"/>
  <c r="D1001" i="2"/>
  <c r="C1001" i="2"/>
  <c r="B1001" i="2"/>
  <c r="A1001" i="2"/>
  <c r="J1000" i="2"/>
  <c r="I1000" i="2"/>
  <c r="H1000" i="2"/>
  <c r="G1000" i="2"/>
  <c r="F1000" i="2"/>
  <c r="E1000" i="2"/>
  <c r="D1000" i="2"/>
  <c r="C1000" i="2"/>
  <c r="B1000" i="2"/>
  <c r="A1000" i="2"/>
  <c r="J999" i="2"/>
  <c r="I999" i="2"/>
  <c r="H999" i="2"/>
  <c r="G999" i="2"/>
  <c r="F999" i="2"/>
  <c r="E999" i="2"/>
  <c r="D999" i="2"/>
  <c r="C999" i="2"/>
  <c r="B999" i="2"/>
  <c r="A999" i="2"/>
  <c r="J998" i="2"/>
  <c r="I998" i="2"/>
  <c r="H998" i="2"/>
  <c r="G998" i="2"/>
  <c r="F998" i="2"/>
  <c r="E998" i="2"/>
  <c r="D998" i="2"/>
  <c r="C998" i="2"/>
  <c r="B998" i="2"/>
  <c r="A998" i="2"/>
  <c r="J997" i="2"/>
  <c r="I997" i="2"/>
  <c r="H997" i="2"/>
  <c r="G997" i="2"/>
  <c r="F997" i="2"/>
  <c r="E997" i="2"/>
  <c r="D997" i="2"/>
  <c r="C997" i="2"/>
  <c r="B997" i="2"/>
  <c r="A997" i="2"/>
  <c r="J996" i="2"/>
  <c r="I996" i="2"/>
  <c r="H996" i="2"/>
  <c r="G996" i="2"/>
  <c r="F996" i="2"/>
  <c r="E996" i="2"/>
  <c r="D996" i="2"/>
  <c r="C996" i="2"/>
  <c r="B996" i="2"/>
  <c r="A996" i="2"/>
  <c r="J995" i="2"/>
  <c r="I995" i="2"/>
  <c r="H995" i="2"/>
  <c r="G995" i="2"/>
  <c r="F995" i="2"/>
  <c r="E995" i="2"/>
  <c r="D995" i="2"/>
  <c r="C995" i="2"/>
  <c r="B995" i="2"/>
  <c r="A995" i="2"/>
  <c r="J994" i="2"/>
  <c r="I994" i="2"/>
  <c r="H994" i="2"/>
  <c r="G994" i="2"/>
  <c r="F994" i="2"/>
  <c r="E994" i="2"/>
  <c r="D994" i="2"/>
  <c r="C994" i="2"/>
  <c r="B994" i="2"/>
  <c r="A994" i="2"/>
  <c r="J993" i="2"/>
  <c r="I993" i="2"/>
  <c r="H993" i="2"/>
  <c r="G993" i="2"/>
  <c r="F993" i="2"/>
  <c r="E993" i="2"/>
  <c r="D993" i="2"/>
  <c r="C993" i="2"/>
  <c r="B993" i="2"/>
  <c r="A993" i="2"/>
  <c r="J992" i="2"/>
  <c r="I992" i="2"/>
  <c r="H992" i="2"/>
  <c r="G992" i="2"/>
  <c r="F992" i="2"/>
  <c r="E992" i="2"/>
  <c r="D992" i="2"/>
  <c r="C992" i="2"/>
  <c r="B992" i="2"/>
  <c r="A992" i="2"/>
  <c r="J991" i="2"/>
  <c r="I991" i="2"/>
  <c r="H991" i="2"/>
  <c r="G991" i="2"/>
  <c r="F991" i="2"/>
  <c r="E991" i="2"/>
  <c r="D991" i="2"/>
  <c r="C991" i="2"/>
  <c r="B991" i="2"/>
  <c r="A991" i="2"/>
  <c r="J990" i="2"/>
  <c r="I990" i="2"/>
  <c r="H990" i="2"/>
  <c r="G990" i="2"/>
  <c r="F990" i="2"/>
  <c r="E990" i="2"/>
  <c r="D990" i="2"/>
  <c r="C990" i="2"/>
  <c r="B990" i="2"/>
  <c r="A990" i="2"/>
  <c r="J989" i="2"/>
  <c r="I989" i="2"/>
  <c r="H989" i="2"/>
  <c r="G989" i="2"/>
  <c r="F989" i="2"/>
  <c r="E989" i="2"/>
  <c r="D989" i="2"/>
  <c r="C989" i="2"/>
  <c r="B989" i="2"/>
  <c r="A989" i="2"/>
  <c r="J988" i="2"/>
  <c r="I988" i="2"/>
  <c r="H988" i="2"/>
  <c r="G988" i="2"/>
  <c r="F988" i="2"/>
  <c r="E988" i="2"/>
  <c r="D988" i="2"/>
  <c r="C988" i="2"/>
  <c r="B988" i="2"/>
  <c r="A988" i="2"/>
  <c r="J987" i="2"/>
  <c r="I987" i="2"/>
  <c r="H987" i="2"/>
  <c r="G987" i="2"/>
  <c r="F987" i="2"/>
  <c r="E987" i="2"/>
  <c r="D987" i="2"/>
  <c r="C987" i="2"/>
  <c r="B987" i="2"/>
  <c r="A987" i="2"/>
  <c r="J986" i="2"/>
  <c r="I986" i="2"/>
  <c r="H986" i="2"/>
  <c r="G986" i="2"/>
  <c r="F986" i="2"/>
  <c r="E986" i="2"/>
  <c r="D986" i="2"/>
  <c r="C986" i="2"/>
  <c r="B986" i="2"/>
  <c r="A986" i="2"/>
  <c r="J985" i="2"/>
  <c r="I985" i="2"/>
  <c r="H985" i="2"/>
  <c r="G985" i="2"/>
  <c r="F985" i="2"/>
  <c r="E985" i="2"/>
  <c r="D985" i="2"/>
  <c r="C985" i="2"/>
  <c r="B985" i="2"/>
  <c r="A985" i="2"/>
  <c r="J984" i="2"/>
  <c r="I984" i="2"/>
  <c r="H984" i="2"/>
  <c r="G984" i="2"/>
  <c r="F984" i="2"/>
  <c r="E984" i="2"/>
  <c r="D984" i="2"/>
  <c r="C984" i="2"/>
  <c r="B984" i="2"/>
  <c r="A984" i="2"/>
  <c r="J983" i="2"/>
  <c r="I983" i="2"/>
  <c r="H983" i="2"/>
  <c r="G983" i="2"/>
  <c r="F983" i="2"/>
  <c r="E983" i="2"/>
  <c r="D983" i="2"/>
  <c r="C983" i="2"/>
  <c r="B983" i="2"/>
  <c r="A983" i="2"/>
  <c r="J982" i="2"/>
  <c r="I982" i="2"/>
  <c r="H982" i="2"/>
  <c r="G982" i="2"/>
  <c r="F982" i="2"/>
  <c r="E982" i="2"/>
  <c r="D982" i="2"/>
  <c r="C982" i="2"/>
  <c r="B982" i="2"/>
  <c r="A982" i="2"/>
  <c r="J981" i="2"/>
  <c r="I981" i="2"/>
  <c r="H981" i="2"/>
  <c r="G981" i="2"/>
  <c r="F981" i="2"/>
  <c r="E981" i="2"/>
  <c r="D981" i="2"/>
  <c r="C981" i="2"/>
  <c r="B981" i="2"/>
  <c r="A981" i="2"/>
  <c r="J980" i="2"/>
  <c r="I980" i="2"/>
  <c r="H980" i="2"/>
  <c r="G980" i="2"/>
  <c r="F980" i="2"/>
  <c r="E980" i="2"/>
  <c r="D980" i="2"/>
  <c r="C980" i="2"/>
  <c r="B980" i="2"/>
  <c r="A980" i="2"/>
  <c r="J979" i="2"/>
  <c r="I979" i="2"/>
  <c r="H979" i="2"/>
  <c r="G979" i="2"/>
  <c r="F979" i="2"/>
  <c r="E979" i="2"/>
  <c r="D979" i="2"/>
  <c r="C979" i="2"/>
  <c r="B979" i="2"/>
  <c r="A979" i="2"/>
  <c r="J978" i="2"/>
  <c r="I978" i="2"/>
  <c r="H978" i="2"/>
  <c r="G978" i="2"/>
  <c r="F978" i="2"/>
  <c r="E978" i="2"/>
  <c r="D978" i="2"/>
  <c r="C978" i="2"/>
  <c r="B978" i="2"/>
  <c r="A978" i="2"/>
  <c r="J977" i="2"/>
  <c r="I977" i="2"/>
  <c r="H977" i="2"/>
  <c r="G977" i="2"/>
  <c r="F977" i="2"/>
  <c r="E977" i="2"/>
  <c r="D977" i="2"/>
  <c r="C977" i="2"/>
  <c r="B977" i="2"/>
  <c r="A977" i="2"/>
  <c r="J976" i="2"/>
  <c r="I976" i="2"/>
  <c r="H976" i="2"/>
  <c r="G976" i="2"/>
  <c r="F976" i="2"/>
  <c r="E976" i="2"/>
  <c r="D976" i="2"/>
  <c r="C976" i="2"/>
  <c r="B976" i="2"/>
  <c r="A976" i="2"/>
  <c r="J975" i="2"/>
  <c r="I975" i="2"/>
  <c r="H975" i="2"/>
  <c r="G975" i="2"/>
  <c r="F975" i="2"/>
  <c r="E975" i="2"/>
  <c r="D975" i="2"/>
  <c r="C975" i="2"/>
  <c r="B975" i="2"/>
  <c r="A975" i="2"/>
  <c r="J974" i="2"/>
  <c r="I974" i="2"/>
  <c r="H974" i="2"/>
  <c r="G974" i="2"/>
  <c r="F974" i="2"/>
  <c r="E974" i="2"/>
  <c r="D974" i="2"/>
  <c r="C974" i="2"/>
  <c r="B974" i="2"/>
  <c r="A974" i="2"/>
  <c r="J973" i="2"/>
  <c r="I973" i="2"/>
  <c r="H973" i="2"/>
  <c r="G973" i="2"/>
  <c r="F973" i="2"/>
  <c r="E973" i="2"/>
  <c r="D973" i="2"/>
  <c r="C973" i="2"/>
  <c r="B973" i="2"/>
  <c r="A973" i="2"/>
  <c r="J972" i="2"/>
  <c r="I972" i="2"/>
  <c r="H972" i="2"/>
  <c r="G972" i="2"/>
  <c r="F972" i="2"/>
  <c r="E972" i="2"/>
  <c r="D972" i="2"/>
  <c r="C972" i="2"/>
  <c r="B972" i="2"/>
  <c r="A972" i="2"/>
  <c r="J971" i="2"/>
  <c r="I971" i="2"/>
  <c r="H971" i="2"/>
  <c r="G971" i="2"/>
  <c r="F971" i="2"/>
  <c r="E971" i="2"/>
  <c r="D971" i="2"/>
  <c r="C971" i="2"/>
  <c r="B971" i="2"/>
  <c r="A971" i="2"/>
  <c r="J970" i="2"/>
  <c r="I970" i="2"/>
  <c r="H970" i="2"/>
  <c r="G970" i="2"/>
  <c r="F970" i="2"/>
  <c r="E970" i="2"/>
  <c r="D970" i="2"/>
  <c r="C970" i="2"/>
  <c r="B970" i="2"/>
  <c r="A970" i="2"/>
  <c r="J969" i="2"/>
  <c r="I969" i="2"/>
  <c r="H969" i="2"/>
  <c r="G969" i="2"/>
  <c r="F969" i="2"/>
  <c r="E969" i="2"/>
  <c r="D969" i="2"/>
  <c r="C969" i="2"/>
  <c r="B969" i="2"/>
  <c r="A969" i="2"/>
  <c r="J968" i="2"/>
  <c r="I968" i="2"/>
  <c r="H968" i="2"/>
  <c r="G968" i="2"/>
  <c r="F968" i="2"/>
  <c r="E968" i="2"/>
  <c r="D968" i="2"/>
  <c r="C968" i="2"/>
  <c r="B968" i="2"/>
  <c r="A968" i="2"/>
  <c r="J967" i="2"/>
  <c r="I967" i="2"/>
  <c r="H967" i="2"/>
  <c r="G967" i="2"/>
  <c r="F967" i="2"/>
  <c r="E967" i="2"/>
  <c r="D967" i="2"/>
  <c r="C967" i="2"/>
  <c r="B967" i="2"/>
  <c r="A967" i="2"/>
  <c r="J966" i="2"/>
  <c r="I966" i="2"/>
  <c r="H966" i="2"/>
  <c r="G966" i="2"/>
  <c r="F966" i="2"/>
  <c r="E966" i="2"/>
  <c r="D966" i="2"/>
  <c r="C966" i="2"/>
  <c r="B966" i="2"/>
  <c r="A966" i="2"/>
  <c r="J965" i="2"/>
  <c r="I965" i="2"/>
  <c r="H965" i="2"/>
  <c r="G965" i="2"/>
  <c r="F965" i="2"/>
  <c r="E965" i="2"/>
  <c r="D965" i="2"/>
  <c r="C965" i="2"/>
  <c r="B965" i="2"/>
  <c r="A965" i="2"/>
  <c r="J964" i="2"/>
  <c r="I964" i="2"/>
  <c r="H964" i="2"/>
  <c r="G964" i="2"/>
  <c r="F964" i="2"/>
  <c r="E964" i="2"/>
  <c r="D964" i="2"/>
  <c r="C964" i="2"/>
  <c r="B964" i="2"/>
  <c r="A964" i="2"/>
  <c r="J963" i="2"/>
  <c r="I963" i="2"/>
  <c r="H963" i="2"/>
  <c r="G963" i="2"/>
  <c r="F963" i="2"/>
  <c r="E963" i="2"/>
  <c r="D963" i="2"/>
  <c r="C963" i="2"/>
  <c r="B963" i="2"/>
  <c r="A963" i="2"/>
  <c r="J962" i="2"/>
  <c r="I962" i="2"/>
  <c r="H962" i="2"/>
  <c r="G962" i="2"/>
  <c r="F962" i="2"/>
  <c r="E962" i="2"/>
  <c r="D962" i="2"/>
  <c r="C962" i="2"/>
  <c r="B962" i="2"/>
  <c r="A962" i="2"/>
  <c r="J961" i="2"/>
  <c r="I961" i="2"/>
  <c r="H961" i="2"/>
  <c r="G961" i="2"/>
  <c r="F961" i="2"/>
  <c r="E961" i="2"/>
  <c r="D961" i="2"/>
  <c r="C961" i="2"/>
  <c r="B961" i="2"/>
  <c r="A961" i="2"/>
  <c r="J960" i="2"/>
  <c r="I960" i="2"/>
  <c r="H960" i="2"/>
  <c r="G960" i="2"/>
  <c r="F960" i="2"/>
  <c r="E960" i="2"/>
  <c r="D960" i="2"/>
  <c r="C960" i="2"/>
  <c r="B960" i="2"/>
  <c r="A960" i="2"/>
  <c r="J959" i="2"/>
  <c r="I959" i="2"/>
  <c r="H959" i="2"/>
  <c r="G959" i="2"/>
  <c r="F959" i="2"/>
  <c r="E959" i="2"/>
  <c r="D959" i="2"/>
  <c r="C959" i="2"/>
  <c r="B959" i="2"/>
  <c r="A959" i="2"/>
  <c r="J958" i="2"/>
  <c r="I958" i="2"/>
  <c r="H958" i="2"/>
  <c r="G958" i="2"/>
  <c r="F958" i="2"/>
  <c r="E958" i="2"/>
  <c r="D958" i="2"/>
  <c r="C958" i="2"/>
  <c r="B958" i="2"/>
  <c r="A958" i="2"/>
  <c r="J957" i="2"/>
  <c r="I957" i="2"/>
  <c r="H957" i="2"/>
  <c r="G957" i="2"/>
  <c r="F957" i="2"/>
  <c r="E957" i="2"/>
  <c r="D957" i="2"/>
  <c r="C957" i="2"/>
  <c r="B957" i="2"/>
  <c r="A957" i="2"/>
  <c r="J956" i="2"/>
  <c r="I956" i="2"/>
  <c r="H956" i="2"/>
  <c r="G956" i="2"/>
  <c r="F956" i="2"/>
  <c r="E956" i="2"/>
  <c r="D956" i="2"/>
  <c r="C956" i="2"/>
  <c r="B956" i="2"/>
  <c r="A956" i="2"/>
  <c r="J955" i="2"/>
  <c r="I955" i="2"/>
  <c r="H955" i="2"/>
  <c r="G955" i="2"/>
  <c r="F955" i="2"/>
  <c r="E955" i="2"/>
  <c r="D955" i="2"/>
  <c r="C955" i="2"/>
  <c r="B955" i="2"/>
  <c r="A955" i="2"/>
  <c r="J954" i="2"/>
  <c r="I954" i="2"/>
  <c r="H954" i="2"/>
  <c r="G954" i="2"/>
  <c r="F954" i="2"/>
  <c r="E954" i="2"/>
  <c r="D954" i="2"/>
  <c r="C954" i="2"/>
  <c r="B954" i="2"/>
  <c r="A954" i="2"/>
  <c r="J953" i="2"/>
  <c r="I953" i="2"/>
  <c r="H953" i="2"/>
  <c r="G953" i="2"/>
  <c r="F953" i="2"/>
  <c r="E953" i="2"/>
  <c r="D953" i="2"/>
  <c r="C953" i="2"/>
  <c r="B953" i="2"/>
  <c r="A953" i="2"/>
  <c r="J952" i="2"/>
  <c r="I952" i="2"/>
  <c r="H952" i="2"/>
  <c r="G952" i="2"/>
  <c r="F952" i="2"/>
  <c r="E952" i="2"/>
  <c r="D952" i="2"/>
  <c r="C952" i="2"/>
  <c r="B952" i="2"/>
  <c r="A952" i="2"/>
  <c r="J951" i="2"/>
  <c r="I951" i="2"/>
  <c r="H951" i="2"/>
  <c r="G951" i="2"/>
  <c r="F951" i="2"/>
  <c r="E951" i="2"/>
  <c r="D951" i="2"/>
  <c r="C951" i="2"/>
  <c r="B951" i="2"/>
  <c r="A951" i="2"/>
  <c r="J950" i="2"/>
  <c r="I950" i="2"/>
  <c r="H950" i="2"/>
  <c r="G950" i="2"/>
  <c r="F950" i="2"/>
  <c r="E950" i="2"/>
  <c r="D950" i="2"/>
  <c r="C950" i="2"/>
  <c r="B950" i="2"/>
  <c r="A950" i="2"/>
  <c r="J949" i="2"/>
  <c r="I949" i="2"/>
  <c r="H949" i="2"/>
  <c r="G949" i="2"/>
  <c r="F949" i="2"/>
  <c r="E949" i="2"/>
  <c r="D949" i="2"/>
  <c r="C949" i="2"/>
  <c r="B949" i="2"/>
  <c r="A949" i="2"/>
  <c r="J948" i="2"/>
  <c r="I948" i="2"/>
  <c r="H948" i="2"/>
  <c r="G948" i="2"/>
  <c r="F948" i="2"/>
  <c r="E948" i="2"/>
  <c r="D948" i="2"/>
  <c r="C948" i="2"/>
  <c r="B948" i="2"/>
  <c r="A948" i="2"/>
  <c r="J947" i="2"/>
  <c r="I947" i="2"/>
  <c r="H947" i="2"/>
  <c r="G947" i="2"/>
  <c r="F947" i="2"/>
  <c r="E947" i="2"/>
  <c r="D947" i="2"/>
  <c r="C947" i="2"/>
  <c r="B947" i="2"/>
  <c r="A947" i="2"/>
  <c r="J946" i="2"/>
  <c r="I946" i="2"/>
  <c r="H946" i="2"/>
  <c r="G946" i="2"/>
  <c r="F946" i="2"/>
  <c r="E946" i="2"/>
  <c r="D946" i="2"/>
  <c r="C946" i="2"/>
  <c r="B946" i="2"/>
  <c r="A946" i="2"/>
  <c r="J945" i="2"/>
  <c r="I945" i="2"/>
  <c r="H945" i="2"/>
  <c r="G945" i="2"/>
  <c r="F945" i="2"/>
  <c r="E945" i="2"/>
  <c r="D945" i="2"/>
  <c r="C945" i="2"/>
  <c r="B945" i="2"/>
  <c r="A945" i="2"/>
  <c r="J944" i="2"/>
  <c r="I944" i="2"/>
  <c r="H944" i="2"/>
  <c r="G944" i="2"/>
  <c r="F944" i="2"/>
  <c r="E944" i="2"/>
  <c r="D944" i="2"/>
  <c r="C944" i="2"/>
  <c r="B944" i="2"/>
  <c r="A944" i="2"/>
  <c r="J943" i="2"/>
  <c r="I943" i="2"/>
  <c r="H943" i="2"/>
  <c r="G943" i="2"/>
  <c r="F943" i="2"/>
  <c r="E943" i="2"/>
  <c r="D943" i="2"/>
  <c r="C943" i="2"/>
  <c r="B943" i="2"/>
  <c r="A943" i="2"/>
  <c r="J942" i="2"/>
  <c r="I942" i="2"/>
  <c r="H942" i="2"/>
  <c r="G942" i="2"/>
  <c r="F942" i="2"/>
  <c r="E942" i="2"/>
  <c r="D942" i="2"/>
  <c r="C942" i="2"/>
  <c r="B942" i="2"/>
  <c r="A942" i="2"/>
  <c r="J941" i="2"/>
  <c r="I941" i="2"/>
  <c r="H941" i="2"/>
  <c r="G941" i="2"/>
  <c r="F941" i="2"/>
  <c r="E941" i="2"/>
  <c r="D941" i="2"/>
  <c r="C941" i="2"/>
  <c r="B941" i="2"/>
  <c r="A941" i="2"/>
  <c r="J940" i="2"/>
  <c r="I940" i="2"/>
  <c r="H940" i="2"/>
  <c r="G940" i="2"/>
  <c r="F940" i="2"/>
  <c r="E940" i="2"/>
  <c r="D940" i="2"/>
  <c r="C940" i="2"/>
  <c r="B940" i="2"/>
  <c r="A940" i="2"/>
  <c r="J939" i="2"/>
  <c r="I939" i="2"/>
  <c r="H939" i="2"/>
  <c r="G939" i="2"/>
  <c r="F939" i="2"/>
  <c r="E939" i="2"/>
  <c r="D939" i="2"/>
  <c r="C939" i="2"/>
  <c r="B939" i="2"/>
  <c r="A939" i="2"/>
  <c r="J938" i="2"/>
  <c r="I938" i="2"/>
  <c r="H938" i="2"/>
  <c r="G938" i="2"/>
  <c r="F938" i="2"/>
  <c r="E938" i="2"/>
  <c r="D938" i="2"/>
  <c r="C938" i="2"/>
  <c r="B938" i="2"/>
  <c r="A938" i="2"/>
  <c r="J937" i="2"/>
  <c r="I937" i="2"/>
  <c r="H937" i="2"/>
  <c r="G937" i="2"/>
  <c r="F937" i="2"/>
  <c r="E937" i="2"/>
  <c r="D937" i="2"/>
  <c r="C937" i="2"/>
  <c r="B937" i="2"/>
  <c r="A937" i="2"/>
  <c r="J936" i="2"/>
  <c r="I936" i="2"/>
  <c r="H936" i="2"/>
  <c r="G936" i="2"/>
  <c r="F936" i="2"/>
  <c r="E936" i="2"/>
  <c r="D936" i="2"/>
  <c r="C936" i="2"/>
  <c r="B936" i="2"/>
  <c r="A936" i="2"/>
  <c r="J935" i="2"/>
  <c r="I935" i="2"/>
  <c r="H935" i="2"/>
  <c r="G935" i="2"/>
  <c r="F935" i="2"/>
  <c r="E935" i="2"/>
  <c r="D935" i="2"/>
  <c r="C935" i="2"/>
  <c r="B935" i="2"/>
  <c r="A935" i="2"/>
  <c r="J934" i="2"/>
  <c r="I934" i="2"/>
  <c r="H934" i="2"/>
  <c r="G934" i="2"/>
  <c r="F934" i="2"/>
  <c r="E934" i="2"/>
  <c r="D934" i="2"/>
  <c r="C934" i="2"/>
  <c r="B934" i="2"/>
  <c r="A934" i="2"/>
  <c r="J933" i="2"/>
  <c r="I933" i="2"/>
  <c r="H933" i="2"/>
  <c r="G933" i="2"/>
  <c r="F933" i="2"/>
  <c r="E933" i="2"/>
  <c r="D933" i="2"/>
  <c r="C933" i="2"/>
  <c r="B933" i="2"/>
  <c r="A933" i="2"/>
  <c r="J932" i="2"/>
  <c r="I932" i="2"/>
  <c r="H932" i="2"/>
  <c r="G932" i="2"/>
  <c r="F932" i="2"/>
  <c r="E932" i="2"/>
  <c r="D932" i="2"/>
  <c r="C932" i="2"/>
  <c r="B932" i="2"/>
  <c r="A932" i="2"/>
  <c r="J931" i="2"/>
  <c r="I931" i="2"/>
  <c r="H931" i="2"/>
  <c r="G931" i="2"/>
  <c r="F931" i="2"/>
  <c r="E931" i="2"/>
  <c r="D931" i="2"/>
  <c r="C931" i="2"/>
  <c r="B931" i="2"/>
  <c r="A931" i="2"/>
  <c r="J930" i="2"/>
  <c r="I930" i="2"/>
  <c r="H930" i="2"/>
  <c r="G930" i="2"/>
  <c r="F930" i="2"/>
  <c r="E930" i="2"/>
  <c r="D930" i="2"/>
  <c r="C930" i="2"/>
  <c r="B930" i="2"/>
  <c r="A930" i="2"/>
  <c r="J929" i="2"/>
  <c r="I929" i="2"/>
  <c r="H929" i="2"/>
  <c r="G929" i="2"/>
  <c r="F929" i="2"/>
  <c r="E929" i="2"/>
  <c r="D929" i="2"/>
  <c r="C929" i="2"/>
  <c r="B929" i="2"/>
  <c r="A929" i="2"/>
  <c r="J928" i="2"/>
  <c r="I928" i="2"/>
  <c r="H928" i="2"/>
  <c r="G928" i="2"/>
  <c r="F928" i="2"/>
  <c r="E928" i="2"/>
  <c r="D928" i="2"/>
  <c r="C928" i="2"/>
  <c r="B928" i="2"/>
  <c r="A928" i="2"/>
  <c r="J927" i="2"/>
  <c r="I927" i="2"/>
  <c r="H927" i="2"/>
  <c r="G927" i="2"/>
  <c r="F927" i="2"/>
  <c r="E927" i="2"/>
  <c r="D927" i="2"/>
  <c r="C927" i="2"/>
  <c r="B927" i="2"/>
  <c r="A927" i="2"/>
  <c r="J926" i="2"/>
  <c r="I926" i="2"/>
  <c r="H926" i="2"/>
  <c r="G926" i="2"/>
  <c r="F926" i="2"/>
  <c r="E926" i="2"/>
  <c r="D926" i="2"/>
  <c r="C926" i="2"/>
  <c r="B926" i="2"/>
  <c r="A926" i="2"/>
  <c r="J925" i="2"/>
  <c r="I925" i="2"/>
  <c r="H925" i="2"/>
  <c r="G925" i="2"/>
  <c r="F925" i="2"/>
  <c r="E925" i="2"/>
  <c r="D925" i="2"/>
  <c r="C925" i="2"/>
  <c r="B925" i="2"/>
  <c r="A925" i="2"/>
  <c r="J924" i="2"/>
  <c r="I924" i="2"/>
  <c r="H924" i="2"/>
  <c r="G924" i="2"/>
  <c r="F924" i="2"/>
  <c r="E924" i="2"/>
  <c r="D924" i="2"/>
  <c r="C924" i="2"/>
  <c r="B924" i="2"/>
  <c r="A924" i="2"/>
  <c r="J923" i="2"/>
  <c r="I923" i="2"/>
  <c r="H923" i="2"/>
  <c r="G923" i="2"/>
  <c r="F923" i="2"/>
  <c r="E923" i="2"/>
  <c r="D923" i="2"/>
  <c r="C923" i="2"/>
  <c r="B923" i="2"/>
  <c r="A923" i="2"/>
  <c r="J922" i="2"/>
  <c r="I922" i="2"/>
  <c r="H922" i="2"/>
  <c r="G922" i="2"/>
  <c r="F922" i="2"/>
  <c r="E922" i="2"/>
  <c r="D922" i="2"/>
  <c r="C922" i="2"/>
  <c r="B922" i="2"/>
  <c r="A922" i="2"/>
  <c r="J921" i="2"/>
  <c r="I921" i="2"/>
  <c r="H921" i="2"/>
  <c r="G921" i="2"/>
  <c r="F921" i="2"/>
  <c r="E921" i="2"/>
  <c r="D921" i="2"/>
  <c r="C921" i="2"/>
  <c r="B921" i="2"/>
  <c r="A921" i="2"/>
  <c r="J920" i="2"/>
  <c r="I920" i="2"/>
  <c r="H920" i="2"/>
  <c r="G920" i="2"/>
  <c r="F920" i="2"/>
  <c r="E920" i="2"/>
  <c r="D920" i="2"/>
  <c r="C920" i="2"/>
  <c r="B920" i="2"/>
  <c r="A920" i="2"/>
  <c r="J919" i="2"/>
  <c r="I919" i="2"/>
  <c r="H919" i="2"/>
  <c r="G919" i="2"/>
  <c r="F919" i="2"/>
  <c r="E919" i="2"/>
  <c r="D919" i="2"/>
  <c r="C919" i="2"/>
  <c r="B919" i="2"/>
  <c r="A919" i="2"/>
  <c r="J918" i="2"/>
  <c r="I918" i="2"/>
  <c r="H918" i="2"/>
  <c r="G918" i="2"/>
  <c r="F918" i="2"/>
  <c r="E918" i="2"/>
  <c r="D918" i="2"/>
  <c r="C918" i="2"/>
  <c r="B918" i="2"/>
  <c r="A918" i="2"/>
  <c r="J917" i="2"/>
  <c r="I917" i="2"/>
  <c r="H917" i="2"/>
  <c r="G917" i="2"/>
  <c r="F917" i="2"/>
  <c r="E917" i="2"/>
  <c r="D917" i="2"/>
  <c r="C917" i="2"/>
  <c r="B917" i="2"/>
  <c r="A917" i="2"/>
  <c r="J916" i="2"/>
  <c r="I916" i="2"/>
  <c r="H916" i="2"/>
  <c r="G916" i="2"/>
  <c r="F916" i="2"/>
  <c r="E916" i="2"/>
  <c r="D916" i="2"/>
  <c r="C916" i="2"/>
  <c r="B916" i="2"/>
  <c r="A916" i="2"/>
  <c r="J915" i="2"/>
  <c r="I915" i="2"/>
  <c r="H915" i="2"/>
  <c r="G915" i="2"/>
  <c r="F915" i="2"/>
  <c r="E915" i="2"/>
  <c r="D915" i="2"/>
  <c r="C915" i="2"/>
  <c r="B915" i="2"/>
  <c r="A915" i="2"/>
  <c r="J914" i="2"/>
  <c r="I914" i="2"/>
  <c r="H914" i="2"/>
  <c r="G914" i="2"/>
  <c r="F914" i="2"/>
  <c r="E914" i="2"/>
  <c r="D914" i="2"/>
  <c r="C914" i="2"/>
  <c r="B914" i="2"/>
  <c r="A914" i="2"/>
  <c r="J913" i="2"/>
  <c r="I913" i="2"/>
  <c r="H913" i="2"/>
  <c r="G913" i="2"/>
  <c r="F913" i="2"/>
  <c r="E913" i="2"/>
  <c r="D913" i="2"/>
  <c r="C913" i="2"/>
  <c r="B913" i="2"/>
  <c r="A913" i="2"/>
  <c r="J912" i="2"/>
  <c r="I912" i="2"/>
  <c r="H912" i="2"/>
  <c r="G912" i="2"/>
  <c r="F912" i="2"/>
  <c r="E912" i="2"/>
  <c r="D912" i="2"/>
  <c r="C912" i="2"/>
  <c r="B912" i="2"/>
  <c r="A912" i="2"/>
  <c r="J911" i="2"/>
  <c r="I911" i="2"/>
  <c r="H911" i="2"/>
  <c r="G911" i="2"/>
  <c r="F911" i="2"/>
  <c r="E911" i="2"/>
  <c r="D911" i="2"/>
  <c r="C911" i="2"/>
  <c r="B911" i="2"/>
  <c r="A911" i="2"/>
  <c r="J910" i="2"/>
  <c r="I910" i="2"/>
  <c r="H910" i="2"/>
  <c r="G910" i="2"/>
  <c r="F910" i="2"/>
  <c r="E910" i="2"/>
  <c r="D910" i="2"/>
  <c r="C910" i="2"/>
  <c r="B910" i="2"/>
  <c r="A910" i="2"/>
  <c r="J909" i="2"/>
  <c r="I909" i="2"/>
  <c r="H909" i="2"/>
  <c r="G909" i="2"/>
  <c r="F909" i="2"/>
  <c r="E909" i="2"/>
  <c r="D909" i="2"/>
  <c r="C909" i="2"/>
  <c r="B909" i="2"/>
  <c r="A909" i="2"/>
  <c r="J908" i="2"/>
  <c r="I908" i="2"/>
  <c r="H908" i="2"/>
  <c r="G908" i="2"/>
  <c r="F908" i="2"/>
  <c r="E908" i="2"/>
  <c r="D908" i="2"/>
  <c r="C908" i="2"/>
  <c r="B908" i="2"/>
  <c r="A908" i="2"/>
  <c r="J907" i="2"/>
  <c r="I907" i="2"/>
  <c r="H907" i="2"/>
  <c r="G907" i="2"/>
  <c r="F907" i="2"/>
  <c r="E907" i="2"/>
  <c r="D907" i="2"/>
  <c r="C907" i="2"/>
  <c r="B907" i="2"/>
  <c r="A907" i="2"/>
  <c r="J906" i="2"/>
  <c r="I906" i="2"/>
  <c r="H906" i="2"/>
  <c r="G906" i="2"/>
  <c r="F906" i="2"/>
  <c r="E906" i="2"/>
  <c r="D906" i="2"/>
  <c r="C906" i="2"/>
  <c r="B906" i="2"/>
  <c r="A906" i="2"/>
  <c r="J905" i="2"/>
  <c r="I905" i="2"/>
  <c r="H905" i="2"/>
  <c r="G905" i="2"/>
  <c r="F905" i="2"/>
  <c r="E905" i="2"/>
  <c r="D905" i="2"/>
  <c r="C905" i="2"/>
  <c r="B905" i="2"/>
  <c r="A905" i="2"/>
  <c r="J904" i="2"/>
  <c r="I904" i="2"/>
  <c r="H904" i="2"/>
  <c r="G904" i="2"/>
  <c r="F904" i="2"/>
  <c r="E904" i="2"/>
  <c r="D904" i="2"/>
  <c r="C904" i="2"/>
  <c r="B904" i="2"/>
  <c r="A904" i="2"/>
  <c r="J903" i="2"/>
  <c r="I903" i="2"/>
  <c r="H903" i="2"/>
  <c r="G903" i="2"/>
  <c r="F903" i="2"/>
  <c r="E903" i="2"/>
  <c r="D903" i="2"/>
  <c r="C903" i="2"/>
  <c r="B903" i="2"/>
  <c r="A903" i="2"/>
  <c r="J902" i="2"/>
  <c r="I902" i="2"/>
  <c r="H902" i="2"/>
  <c r="G902" i="2"/>
  <c r="F902" i="2"/>
  <c r="E902" i="2"/>
  <c r="D902" i="2"/>
  <c r="C902" i="2"/>
  <c r="B902" i="2"/>
  <c r="A902" i="2"/>
  <c r="J901" i="2"/>
  <c r="I901" i="2"/>
  <c r="H901" i="2"/>
  <c r="G901" i="2"/>
  <c r="F901" i="2"/>
  <c r="E901" i="2"/>
  <c r="D901" i="2"/>
  <c r="C901" i="2"/>
  <c r="B901" i="2"/>
  <c r="A901" i="2"/>
  <c r="J900" i="2"/>
  <c r="I900" i="2"/>
  <c r="H900" i="2"/>
  <c r="G900" i="2"/>
  <c r="F900" i="2"/>
  <c r="E900" i="2"/>
  <c r="D900" i="2"/>
  <c r="C900" i="2"/>
  <c r="B900" i="2"/>
  <c r="A900" i="2"/>
  <c r="J899" i="2"/>
  <c r="I899" i="2"/>
  <c r="H899" i="2"/>
  <c r="G899" i="2"/>
  <c r="F899" i="2"/>
  <c r="E899" i="2"/>
  <c r="D899" i="2"/>
  <c r="C899" i="2"/>
  <c r="B899" i="2"/>
  <c r="A899" i="2"/>
  <c r="J898" i="2"/>
  <c r="I898" i="2"/>
  <c r="H898" i="2"/>
  <c r="G898" i="2"/>
  <c r="F898" i="2"/>
  <c r="E898" i="2"/>
  <c r="D898" i="2"/>
  <c r="C898" i="2"/>
  <c r="B898" i="2"/>
  <c r="A898" i="2"/>
  <c r="J897" i="2"/>
  <c r="I897" i="2"/>
  <c r="H897" i="2"/>
  <c r="G897" i="2"/>
  <c r="F897" i="2"/>
  <c r="E897" i="2"/>
  <c r="D897" i="2"/>
  <c r="C897" i="2"/>
  <c r="B897" i="2"/>
  <c r="A897" i="2"/>
  <c r="J896" i="2"/>
  <c r="I896" i="2"/>
  <c r="H896" i="2"/>
  <c r="G896" i="2"/>
  <c r="F896" i="2"/>
  <c r="E896" i="2"/>
  <c r="D896" i="2"/>
  <c r="C896" i="2"/>
  <c r="B896" i="2"/>
  <c r="A896" i="2"/>
  <c r="J895" i="2"/>
  <c r="I895" i="2"/>
  <c r="H895" i="2"/>
  <c r="G895" i="2"/>
  <c r="F895" i="2"/>
  <c r="E895" i="2"/>
  <c r="D895" i="2"/>
  <c r="C895" i="2"/>
  <c r="B895" i="2"/>
  <c r="A895" i="2"/>
  <c r="J894" i="2"/>
  <c r="I894" i="2"/>
  <c r="H894" i="2"/>
  <c r="G894" i="2"/>
  <c r="F894" i="2"/>
  <c r="E894" i="2"/>
  <c r="D894" i="2"/>
  <c r="C894" i="2"/>
  <c r="B894" i="2"/>
  <c r="A894" i="2"/>
  <c r="J893" i="2"/>
  <c r="I893" i="2"/>
  <c r="H893" i="2"/>
  <c r="G893" i="2"/>
  <c r="F893" i="2"/>
  <c r="E893" i="2"/>
  <c r="D893" i="2"/>
  <c r="C893" i="2"/>
  <c r="B893" i="2"/>
  <c r="A893" i="2"/>
  <c r="J892" i="2"/>
  <c r="I892" i="2"/>
  <c r="H892" i="2"/>
  <c r="G892" i="2"/>
  <c r="F892" i="2"/>
  <c r="E892" i="2"/>
  <c r="D892" i="2"/>
  <c r="C892" i="2"/>
  <c r="B892" i="2"/>
  <c r="A892" i="2"/>
  <c r="J891" i="2"/>
  <c r="I891" i="2"/>
  <c r="H891" i="2"/>
  <c r="G891" i="2"/>
  <c r="F891" i="2"/>
  <c r="E891" i="2"/>
  <c r="D891" i="2"/>
  <c r="C891" i="2"/>
  <c r="B891" i="2"/>
  <c r="A891" i="2"/>
  <c r="J890" i="2"/>
  <c r="I890" i="2"/>
  <c r="H890" i="2"/>
  <c r="G890" i="2"/>
  <c r="F890" i="2"/>
  <c r="E890" i="2"/>
  <c r="D890" i="2"/>
  <c r="C890" i="2"/>
  <c r="B890" i="2"/>
  <c r="A890" i="2"/>
  <c r="J889" i="2"/>
  <c r="I889" i="2"/>
  <c r="H889" i="2"/>
  <c r="G889" i="2"/>
  <c r="F889" i="2"/>
  <c r="E889" i="2"/>
  <c r="D889" i="2"/>
  <c r="C889" i="2"/>
  <c r="B889" i="2"/>
  <c r="A889" i="2"/>
  <c r="J888" i="2"/>
  <c r="I888" i="2"/>
  <c r="H888" i="2"/>
  <c r="G888" i="2"/>
  <c r="F888" i="2"/>
  <c r="E888" i="2"/>
  <c r="D888" i="2"/>
  <c r="C888" i="2"/>
  <c r="B888" i="2"/>
  <c r="A888" i="2"/>
  <c r="J887" i="2"/>
  <c r="I887" i="2"/>
  <c r="H887" i="2"/>
  <c r="G887" i="2"/>
  <c r="F887" i="2"/>
  <c r="E887" i="2"/>
  <c r="D887" i="2"/>
  <c r="C887" i="2"/>
  <c r="B887" i="2"/>
  <c r="A887" i="2"/>
  <c r="J886" i="2"/>
  <c r="I886" i="2"/>
  <c r="H886" i="2"/>
  <c r="G886" i="2"/>
  <c r="F886" i="2"/>
  <c r="E886" i="2"/>
  <c r="D886" i="2"/>
  <c r="C886" i="2"/>
  <c r="B886" i="2"/>
  <c r="A886" i="2"/>
  <c r="J885" i="2"/>
  <c r="I885" i="2"/>
  <c r="H885" i="2"/>
  <c r="G885" i="2"/>
  <c r="F885" i="2"/>
  <c r="E885" i="2"/>
  <c r="D885" i="2"/>
  <c r="C885" i="2"/>
  <c r="B885" i="2"/>
  <c r="A885" i="2"/>
  <c r="J884" i="2"/>
  <c r="I884" i="2"/>
  <c r="H884" i="2"/>
  <c r="G884" i="2"/>
  <c r="F884" i="2"/>
  <c r="E884" i="2"/>
  <c r="D884" i="2"/>
  <c r="C884" i="2"/>
  <c r="B884" i="2"/>
  <c r="A884" i="2"/>
  <c r="J883" i="2"/>
  <c r="I883" i="2"/>
  <c r="H883" i="2"/>
  <c r="G883" i="2"/>
  <c r="F883" i="2"/>
  <c r="E883" i="2"/>
  <c r="D883" i="2"/>
  <c r="C883" i="2"/>
  <c r="B883" i="2"/>
  <c r="A883" i="2"/>
  <c r="J882" i="2"/>
  <c r="I882" i="2"/>
  <c r="H882" i="2"/>
  <c r="G882" i="2"/>
  <c r="F882" i="2"/>
  <c r="E882" i="2"/>
  <c r="D882" i="2"/>
  <c r="C882" i="2"/>
  <c r="B882" i="2"/>
  <c r="A882" i="2"/>
  <c r="J881" i="2"/>
  <c r="I881" i="2"/>
  <c r="H881" i="2"/>
  <c r="G881" i="2"/>
  <c r="F881" i="2"/>
  <c r="E881" i="2"/>
  <c r="D881" i="2"/>
  <c r="C881" i="2"/>
  <c r="B881" i="2"/>
  <c r="A881" i="2"/>
  <c r="J880" i="2"/>
  <c r="I880" i="2"/>
  <c r="H880" i="2"/>
  <c r="G880" i="2"/>
  <c r="F880" i="2"/>
  <c r="E880" i="2"/>
  <c r="D880" i="2"/>
  <c r="C880" i="2"/>
  <c r="B880" i="2"/>
  <c r="A880" i="2"/>
  <c r="J879" i="2"/>
  <c r="I879" i="2"/>
  <c r="H879" i="2"/>
  <c r="G879" i="2"/>
  <c r="F879" i="2"/>
  <c r="E879" i="2"/>
  <c r="D879" i="2"/>
  <c r="C879" i="2"/>
  <c r="B879" i="2"/>
  <c r="A879" i="2"/>
  <c r="J878" i="2"/>
  <c r="I878" i="2"/>
  <c r="H878" i="2"/>
  <c r="G878" i="2"/>
  <c r="F878" i="2"/>
  <c r="E878" i="2"/>
  <c r="D878" i="2"/>
  <c r="C878" i="2"/>
  <c r="B878" i="2"/>
  <c r="A878" i="2"/>
  <c r="J877" i="2"/>
  <c r="I877" i="2"/>
  <c r="H877" i="2"/>
  <c r="G877" i="2"/>
  <c r="F877" i="2"/>
  <c r="E877" i="2"/>
  <c r="D877" i="2"/>
  <c r="C877" i="2"/>
  <c r="B877" i="2"/>
  <c r="A877" i="2"/>
  <c r="J876" i="2"/>
  <c r="I876" i="2"/>
  <c r="H876" i="2"/>
  <c r="G876" i="2"/>
  <c r="F876" i="2"/>
  <c r="E876" i="2"/>
  <c r="D876" i="2"/>
  <c r="C876" i="2"/>
  <c r="B876" i="2"/>
  <c r="A876" i="2"/>
  <c r="J875" i="2"/>
  <c r="I875" i="2"/>
  <c r="H875" i="2"/>
  <c r="G875" i="2"/>
  <c r="F875" i="2"/>
  <c r="E875" i="2"/>
  <c r="D875" i="2"/>
  <c r="C875" i="2"/>
  <c r="B875" i="2"/>
  <c r="A875" i="2"/>
  <c r="J874" i="2"/>
  <c r="I874" i="2"/>
  <c r="H874" i="2"/>
  <c r="G874" i="2"/>
  <c r="F874" i="2"/>
  <c r="E874" i="2"/>
  <c r="D874" i="2"/>
  <c r="C874" i="2"/>
  <c r="B874" i="2"/>
  <c r="A874" i="2"/>
  <c r="J873" i="2"/>
  <c r="I873" i="2"/>
  <c r="H873" i="2"/>
  <c r="G873" i="2"/>
  <c r="F873" i="2"/>
  <c r="E873" i="2"/>
  <c r="D873" i="2"/>
  <c r="C873" i="2"/>
  <c r="B873" i="2"/>
  <c r="A873" i="2"/>
  <c r="J872" i="2"/>
  <c r="I872" i="2"/>
  <c r="H872" i="2"/>
  <c r="G872" i="2"/>
  <c r="F872" i="2"/>
  <c r="E872" i="2"/>
  <c r="D872" i="2"/>
  <c r="C872" i="2"/>
  <c r="B872" i="2"/>
  <c r="A872" i="2"/>
  <c r="J871" i="2"/>
  <c r="I871" i="2"/>
  <c r="H871" i="2"/>
  <c r="G871" i="2"/>
  <c r="F871" i="2"/>
  <c r="E871" i="2"/>
  <c r="D871" i="2"/>
  <c r="C871" i="2"/>
  <c r="B871" i="2"/>
  <c r="A871" i="2"/>
  <c r="J870" i="2"/>
  <c r="I870" i="2"/>
  <c r="H870" i="2"/>
  <c r="G870" i="2"/>
  <c r="F870" i="2"/>
  <c r="E870" i="2"/>
  <c r="D870" i="2"/>
  <c r="C870" i="2"/>
  <c r="B870" i="2"/>
  <c r="A870" i="2"/>
  <c r="J869" i="2"/>
  <c r="I869" i="2"/>
  <c r="H869" i="2"/>
  <c r="G869" i="2"/>
  <c r="F869" i="2"/>
  <c r="E869" i="2"/>
  <c r="D869" i="2"/>
  <c r="C869" i="2"/>
  <c r="B869" i="2"/>
  <c r="A869" i="2"/>
  <c r="J868" i="2"/>
  <c r="I868" i="2"/>
  <c r="H868" i="2"/>
  <c r="G868" i="2"/>
  <c r="F868" i="2"/>
  <c r="E868" i="2"/>
  <c r="D868" i="2"/>
  <c r="C868" i="2"/>
  <c r="B868" i="2"/>
  <c r="A868" i="2"/>
  <c r="J867" i="2"/>
  <c r="I867" i="2"/>
  <c r="H867" i="2"/>
  <c r="G867" i="2"/>
  <c r="F867" i="2"/>
  <c r="E867" i="2"/>
  <c r="D867" i="2"/>
  <c r="C867" i="2"/>
  <c r="B867" i="2"/>
  <c r="A867" i="2"/>
  <c r="J866" i="2"/>
  <c r="I866" i="2"/>
  <c r="H866" i="2"/>
  <c r="G866" i="2"/>
  <c r="F866" i="2"/>
  <c r="E866" i="2"/>
  <c r="D866" i="2"/>
  <c r="C866" i="2"/>
  <c r="B866" i="2"/>
  <c r="A866" i="2"/>
  <c r="J865" i="2"/>
  <c r="I865" i="2"/>
  <c r="H865" i="2"/>
  <c r="G865" i="2"/>
  <c r="F865" i="2"/>
  <c r="E865" i="2"/>
  <c r="D865" i="2"/>
  <c r="C865" i="2"/>
  <c r="B865" i="2"/>
  <c r="A865" i="2"/>
  <c r="J864" i="2"/>
  <c r="I864" i="2"/>
  <c r="H864" i="2"/>
  <c r="G864" i="2"/>
  <c r="F864" i="2"/>
  <c r="E864" i="2"/>
  <c r="D864" i="2"/>
  <c r="C864" i="2"/>
  <c r="B864" i="2"/>
  <c r="A864" i="2"/>
  <c r="J863" i="2"/>
  <c r="I863" i="2"/>
  <c r="H863" i="2"/>
  <c r="G863" i="2"/>
  <c r="F863" i="2"/>
  <c r="E863" i="2"/>
  <c r="D863" i="2"/>
  <c r="C863" i="2"/>
  <c r="B863" i="2"/>
  <c r="A863" i="2"/>
  <c r="J862" i="2"/>
  <c r="I862" i="2"/>
  <c r="H862" i="2"/>
  <c r="G862" i="2"/>
  <c r="F862" i="2"/>
  <c r="E862" i="2"/>
  <c r="D862" i="2"/>
  <c r="C862" i="2"/>
  <c r="B862" i="2"/>
  <c r="A862" i="2"/>
  <c r="J861" i="2"/>
  <c r="I861" i="2"/>
  <c r="H861" i="2"/>
  <c r="G861" i="2"/>
  <c r="F861" i="2"/>
  <c r="E861" i="2"/>
  <c r="D861" i="2"/>
  <c r="C861" i="2"/>
  <c r="B861" i="2"/>
  <c r="A861" i="2"/>
  <c r="J860" i="2"/>
  <c r="I860" i="2"/>
  <c r="H860" i="2"/>
  <c r="G860" i="2"/>
  <c r="F860" i="2"/>
  <c r="E860" i="2"/>
  <c r="D860" i="2"/>
  <c r="C860" i="2"/>
  <c r="B860" i="2"/>
  <c r="A860" i="2"/>
  <c r="J859" i="2"/>
  <c r="I859" i="2"/>
  <c r="H859" i="2"/>
  <c r="G859" i="2"/>
  <c r="F859" i="2"/>
  <c r="E859" i="2"/>
  <c r="D859" i="2"/>
  <c r="C859" i="2"/>
  <c r="B859" i="2"/>
  <c r="A859" i="2"/>
  <c r="J858" i="2"/>
  <c r="I858" i="2"/>
  <c r="H858" i="2"/>
  <c r="G858" i="2"/>
  <c r="F858" i="2"/>
  <c r="E858" i="2"/>
  <c r="D858" i="2"/>
  <c r="C858" i="2"/>
  <c r="B858" i="2"/>
  <c r="A858" i="2"/>
  <c r="J857" i="2"/>
  <c r="I857" i="2"/>
  <c r="H857" i="2"/>
  <c r="G857" i="2"/>
  <c r="F857" i="2"/>
  <c r="E857" i="2"/>
  <c r="D857" i="2"/>
  <c r="C857" i="2"/>
  <c r="B857" i="2"/>
  <c r="A857" i="2"/>
  <c r="J856" i="2"/>
  <c r="I856" i="2"/>
  <c r="H856" i="2"/>
  <c r="G856" i="2"/>
  <c r="F856" i="2"/>
  <c r="E856" i="2"/>
  <c r="D856" i="2"/>
  <c r="C856" i="2"/>
  <c r="B856" i="2"/>
  <c r="A856" i="2"/>
  <c r="J855" i="2"/>
  <c r="I855" i="2"/>
  <c r="H855" i="2"/>
  <c r="G855" i="2"/>
  <c r="F855" i="2"/>
  <c r="E855" i="2"/>
  <c r="D855" i="2"/>
  <c r="C855" i="2"/>
  <c r="B855" i="2"/>
  <c r="A855" i="2"/>
  <c r="J854" i="2"/>
  <c r="I854" i="2"/>
  <c r="H854" i="2"/>
  <c r="G854" i="2"/>
  <c r="F854" i="2"/>
  <c r="E854" i="2"/>
  <c r="D854" i="2"/>
  <c r="C854" i="2"/>
  <c r="B854" i="2"/>
  <c r="A854" i="2"/>
  <c r="J853" i="2"/>
  <c r="I853" i="2"/>
  <c r="H853" i="2"/>
  <c r="G853" i="2"/>
  <c r="F853" i="2"/>
  <c r="E853" i="2"/>
  <c r="D853" i="2"/>
  <c r="C853" i="2"/>
  <c r="B853" i="2"/>
  <c r="A853" i="2"/>
  <c r="J852" i="2"/>
  <c r="I852" i="2"/>
  <c r="H852" i="2"/>
  <c r="G852" i="2"/>
  <c r="F852" i="2"/>
  <c r="E852" i="2"/>
  <c r="D852" i="2"/>
  <c r="C852" i="2"/>
  <c r="B852" i="2"/>
  <c r="A852" i="2"/>
  <c r="J851" i="2"/>
  <c r="I851" i="2"/>
  <c r="H851" i="2"/>
  <c r="G851" i="2"/>
  <c r="F851" i="2"/>
  <c r="E851" i="2"/>
  <c r="D851" i="2"/>
  <c r="C851" i="2"/>
  <c r="B851" i="2"/>
  <c r="A851" i="2"/>
  <c r="J850" i="2"/>
  <c r="I850" i="2"/>
  <c r="H850" i="2"/>
  <c r="G850" i="2"/>
  <c r="F850" i="2"/>
  <c r="E850" i="2"/>
  <c r="D850" i="2"/>
  <c r="C850" i="2"/>
  <c r="B850" i="2"/>
  <c r="A850" i="2"/>
  <c r="J849" i="2"/>
  <c r="I849" i="2"/>
  <c r="H849" i="2"/>
  <c r="G849" i="2"/>
  <c r="F849" i="2"/>
  <c r="E849" i="2"/>
  <c r="D849" i="2"/>
  <c r="C849" i="2"/>
  <c r="B849" i="2"/>
  <c r="A849" i="2"/>
  <c r="J848" i="2"/>
  <c r="I848" i="2"/>
  <c r="H848" i="2"/>
  <c r="G848" i="2"/>
  <c r="F848" i="2"/>
  <c r="E848" i="2"/>
  <c r="D848" i="2"/>
  <c r="C848" i="2"/>
  <c r="B848" i="2"/>
  <c r="A848" i="2"/>
  <c r="J847" i="2"/>
  <c r="I847" i="2"/>
  <c r="H847" i="2"/>
  <c r="G847" i="2"/>
  <c r="F847" i="2"/>
  <c r="E847" i="2"/>
  <c r="D847" i="2"/>
  <c r="C847" i="2"/>
  <c r="B847" i="2"/>
  <c r="A847" i="2"/>
  <c r="J846" i="2"/>
  <c r="I846" i="2"/>
  <c r="H846" i="2"/>
  <c r="G846" i="2"/>
  <c r="F846" i="2"/>
  <c r="E846" i="2"/>
  <c r="D846" i="2"/>
  <c r="C846" i="2"/>
  <c r="B846" i="2"/>
  <c r="A846" i="2"/>
  <c r="J845" i="2"/>
  <c r="I845" i="2"/>
  <c r="H845" i="2"/>
  <c r="G845" i="2"/>
  <c r="F845" i="2"/>
  <c r="E845" i="2"/>
  <c r="D845" i="2"/>
  <c r="C845" i="2"/>
  <c r="B845" i="2"/>
  <c r="A845" i="2"/>
  <c r="J844" i="2"/>
  <c r="I844" i="2"/>
  <c r="H844" i="2"/>
  <c r="G844" i="2"/>
  <c r="F844" i="2"/>
  <c r="E844" i="2"/>
  <c r="D844" i="2"/>
  <c r="C844" i="2"/>
  <c r="B844" i="2"/>
  <c r="A844" i="2"/>
  <c r="J843" i="2"/>
  <c r="I843" i="2"/>
  <c r="H843" i="2"/>
  <c r="G843" i="2"/>
  <c r="F843" i="2"/>
  <c r="E843" i="2"/>
  <c r="D843" i="2"/>
  <c r="C843" i="2"/>
  <c r="B843" i="2"/>
  <c r="A843" i="2"/>
  <c r="J842" i="2"/>
  <c r="I842" i="2"/>
  <c r="H842" i="2"/>
  <c r="G842" i="2"/>
  <c r="F842" i="2"/>
  <c r="E842" i="2"/>
  <c r="D842" i="2"/>
  <c r="C842" i="2"/>
  <c r="B842" i="2"/>
  <c r="A842" i="2"/>
  <c r="J841" i="2"/>
  <c r="I841" i="2"/>
  <c r="H841" i="2"/>
  <c r="G841" i="2"/>
  <c r="F841" i="2"/>
  <c r="E841" i="2"/>
  <c r="D841" i="2"/>
  <c r="C841" i="2"/>
  <c r="B841" i="2"/>
  <c r="A841" i="2"/>
  <c r="J840" i="2"/>
  <c r="I840" i="2"/>
  <c r="H840" i="2"/>
  <c r="G840" i="2"/>
  <c r="F840" i="2"/>
  <c r="E840" i="2"/>
  <c r="D840" i="2"/>
  <c r="C840" i="2"/>
  <c r="B840" i="2"/>
  <c r="A840" i="2"/>
  <c r="J839" i="2"/>
  <c r="I839" i="2"/>
  <c r="H839" i="2"/>
  <c r="G839" i="2"/>
  <c r="F839" i="2"/>
  <c r="E839" i="2"/>
  <c r="D839" i="2"/>
  <c r="C839" i="2"/>
  <c r="B839" i="2"/>
  <c r="A839" i="2"/>
  <c r="J838" i="2"/>
  <c r="I838" i="2"/>
  <c r="H838" i="2"/>
  <c r="G838" i="2"/>
  <c r="F838" i="2"/>
  <c r="E838" i="2"/>
  <c r="D838" i="2"/>
  <c r="C838" i="2"/>
  <c r="B838" i="2"/>
  <c r="A838" i="2"/>
  <c r="J837" i="2"/>
  <c r="I837" i="2"/>
  <c r="H837" i="2"/>
  <c r="G837" i="2"/>
  <c r="F837" i="2"/>
  <c r="E837" i="2"/>
  <c r="D837" i="2"/>
  <c r="C837" i="2"/>
  <c r="B837" i="2"/>
  <c r="A837" i="2"/>
  <c r="J836" i="2"/>
  <c r="I836" i="2"/>
  <c r="H836" i="2"/>
  <c r="G836" i="2"/>
  <c r="F836" i="2"/>
  <c r="E836" i="2"/>
  <c r="D836" i="2"/>
  <c r="C836" i="2"/>
  <c r="B836" i="2"/>
  <c r="A836" i="2"/>
  <c r="J835" i="2"/>
  <c r="I835" i="2"/>
  <c r="H835" i="2"/>
  <c r="G835" i="2"/>
  <c r="F835" i="2"/>
  <c r="E835" i="2"/>
  <c r="D835" i="2"/>
  <c r="C835" i="2"/>
  <c r="B835" i="2"/>
  <c r="A835" i="2"/>
  <c r="J834" i="2"/>
  <c r="I834" i="2"/>
  <c r="H834" i="2"/>
  <c r="G834" i="2"/>
  <c r="F834" i="2"/>
  <c r="E834" i="2"/>
  <c r="D834" i="2"/>
  <c r="C834" i="2"/>
  <c r="B834" i="2"/>
  <c r="A834" i="2"/>
  <c r="J833" i="2"/>
  <c r="I833" i="2"/>
  <c r="H833" i="2"/>
  <c r="G833" i="2"/>
  <c r="F833" i="2"/>
  <c r="E833" i="2"/>
  <c r="D833" i="2"/>
  <c r="C833" i="2"/>
  <c r="B833" i="2"/>
  <c r="A833" i="2"/>
  <c r="J832" i="2"/>
  <c r="I832" i="2"/>
  <c r="H832" i="2"/>
  <c r="G832" i="2"/>
  <c r="F832" i="2"/>
  <c r="E832" i="2"/>
  <c r="D832" i="2"/>
  <c r="C832" i="2"/>
  <c r="B832" i="2"/>
  <c r="A832" i="2"/>
  <c r="J831" i="2"/>
  <c r="I831" i="2"/>
  <c r="H831" i="2"/>
  <c r="G831" i="2"/>
  <c r="F831" i="2"/>
  <c r="E831" i="2"/>
  <c r="D831" i="2"/>
  <c r="C831" i="2"/>
  <c r="B831" i="2"/>
  <c r="A831" i="2"/>
  <c r="J830" i="2"/>
  <c r="I830" i="2"/>
  <c r="H830" i="2"/>
  <c r="G830" i="2"/>
  <c r="F830" i="2"/>
  <c r="E830" i="2"/>
  <c r="D830" i="2"/>
  <c r="C830" i="2"/>
  <c r="B830" i="2"/>
  <c r="A830" i="2"/>
  <c r="J829" i="2"/>
  <c r="I829" i="2"/>
  <c r="H829" i="2"/>
  <c r="G829" i="2"/>
  <c r="F829" i="2"/>
  <c r="E829" i="2"/>
  <c r="D829" i="2"/>
  <c r="C829" i="2"/>
  <c r="B829" i="2"/>
  <c r="A829" i="2"/>
  <c r="J828" i="2"/>
  <c r="I828" i="2"/>
  <c r="H828" i="2"/>
  <c r="G828" i="2"/>
  <c r="F828" i="2"/>
  <c r="E828" i="2"/>
  <c r="D828" i="2"/>
  <c r="C828" i="2"/>
  <c r="B828" i="2"/>
  <c r="A828" i="2"/>
  <c r="J827" i="2"/>
  <c r="I827" i="2"/>
  <c r="H827" i="2"/>
  <c r="G827" i="2"/>
  <c r="F827" i="2"/>
  <c r="E827" i="2"/>
  <c r="D827" i="2"/>
  <c r="C827" i="2"/>
  <c r="B827" i="2"/>
  <c r="A827" i="2"/>
  <c r="J826" i="2"/>
  <c r="I826" i="2"/>
  <c r="H826" i="2"/>
  <c r="G826" i="2"/>
  <c r="F826" i="2"/>
  <c r="E826" i="2"/>
  <c r="D826" i="2"/>
  <c r="C826" i="2"/>
  <c r="B826" i="2"/>
  <c r="A826" i="2"/>
  <c r="J825" i="2"/>
  <c r="I825" i="2"/>
  <c r="H825" i="2"/>
  <c r="G825" i="2"/>
  <c r="F825" i="2"/>
  <c r="E825" i="2"/>
  <c r="D825" i="2"/>
  <c r="C825" i="2"/>
  <c r="B825" i="2"/>
  <c r="A825" i="2"/>
  <c r="J824" i="2"/>
  <c r="I824" i="2"/>
  <c r="H824" i="2"/>
  <c r="G824" i="2"/>
  <c r="F824" i="2"/>
  <c r="E824" i="2"/>
  <c r="D824" i="2"/>
  <c r="C824" i="2"/>
  <c r="B824" i="2"/>
  <c r="A824" i="2"/>
  <c r="J823" i="2"/>
  <c r="I823" i="2"/>
  <c r="H823" i="2"/>
  <c r="G823" i="2"/>
  <c r="F823" i="2"/>
  <c r="E823" i="2"/>
  <c r="D823" i="2"/>
  <c r="C823" i="2"/>
  <c r="B823" i="2"/>
  <c r="A823" i="2"/>
  <c r="J822" i="2"/>
  <c r="I822" i="2"/>
  <c r="H822" i="2"/>
  <c r="G822" i="2"/>
  <c r="F822" i="2"/>
  <c r="E822" i="2"/>
  <c r="D822" i="2"/>
  <c r="C822" i="2"/>
  <c r="B822" i="2"/>
  <c r="A822" i="2"/>
  <c r="J821" i="2"/>
  <c r="I821" i="2"/>
  <c r="H821" i="2"/>
  <c r="G821" i="2"/>
  <c r="F821" i="2"/>
  <c r="E821" i="2"/>
  <c r="D821" i="2"/>
  <c r="C821" i="2"/>
  <c r="B821" i="2"/>
  <c r="A821" i="2"/>
  <c r="J820" i="2"/>
  <c r="I820" i="2"/>
  <c r="H820" i="2"/>
  <c r="G820" i="2"/>
  <c r="F820" i="2"/>
  <c r="E820" i="2"/>
  <c r="D820" i="2"/>
  <c r="C820" i="2"/>
  <c r="B820" i="2"/>
  <c r="A820" i="2"/>
  <c r="J819" i="2"/>
  <c r="I819" i="2"/>
  <c r="H819" i="2"/>
  <c r="G819" i="2"/>
  <c r="F819" i="2"/>
  <c r="E819" i="2"/>
  <c r="D819" i="2"/>
  <c r="C819" i="2"/>
  <c r="B819" i="2"/>
  <c r="A819" i="2"/>
  <c r="J818" i="2"/>
  <c r="I818" i="2"/>
  <c r="H818" i="2"/>
  <c r="G818" i="2"/>
  <c r="F818" i="2"/>
  <c r="E818" i="2"/>
  <c r="D818" i="2"/>
  <c r="C818" i="2"/>
  <c r="B818" i="2"/>
  <c r="A818" i="2"/>
  <c r="J817" i="2"/>
  <c r="I817" i="2"/>
  <c r="H817" i="2"/>
  <c r="G817" i="2"/>
  <c r="F817" i="2"/>
  <c r="E817" i="2"/>
  <c r="D817" i="2"/>
  <c r="C817" i="2"/>
  <c r="B817" i="2"/>
  <c r="A817" i="2"/>
  <c r="J816" i="2"/>
  <c r="I816" i="2"/>
  <c r="H816" i="2"/>
  <c r="G816" i="2"/>
  <c r="F816" i="2"/>
  <c r="E816" i="2"/>
  <c r="D816" i="2"/>
  <c r="C816" i="2"/>
  <c r="B816" i="2"/>
  <c r="A816" i="2"/>
  <c r="J815" i="2"/>
  <c r="I815" i="2"/>
  <c r="H815" i="2"/>
  <c r="G815" i="2"/>
  <c r="F815" i="2"/>
  <c r="E815" i="2"/>
  <c r="D815" i="2"/>
  <c r="C815" i="2"/>
  <c r="B815" i="2"/>
  <c r="A815" i="2"/>
  <c r="J814" i="2"/>
  <c r="I814" i="2"/>
  <c r="H814" i="2"/>
  <c r="G814" i="2"/>
  <c r="F814" i="2"/>
  <c r="E814" i="2"/>
  <c r="D814" i="2"/>
  <c r="C814" i="2"/>
  <c r="B814" i="2"/>
  <c r="A814" i="2"/>
  <c r="J813" i="2"/>
  <c r="I813" i="2"/>
  <c r="H813" i="2"/>
  <c r="G813" i="2"/>
  <c r="F813" i="2"/>
  <c r="E813" i="2"/>
  <c r="D813" i="2"/>
  <c r="C813" i="2"/>
  <c r="B813" i="2"/>
  <c r="A813" i="2"/>
  <c r="J812" i="2"/>
  <c r="I812" i="2"/>
  <c r="H812" i="2"/>
  <c r="G812" i="2"/>
  <c r="F812" i="2"/>
  <c r="E812" i="2"/>
  <c r="D812" i="2"/>
  <c r="C812" i="2"/>
  <c r="B812" i="2"/>
  <c r="A812" i="2"/>
  <c r="J811" i="2"/>
  <c r="I811" i="2"/>
  <c r="H811" i="2"/>
  <c r="G811" i="2"/>
  <c r="F811" i="2"/>
  <c r="E811" i="2"/>
  <c r="D811" i="2"/>
  <c r="C811" i="2"/>
  <c r="B811" i="2"/>
  <c r="A811" i="2"/>
  <c r="J810" i="2"/>
  <c r="I810" i="2"/>
  <c r="H810" i="2"/>
  <c r="G810" i="2"/>
  <c r="F810" i="2"/>
  <c r="E810" i="2"/>
  <c r="D810" i="2"/>
  <c r="C810" i="2"/>
  <c r="B810" i="2"/>
  <c r="A810" i="2"/>
  <c r="J809" i="2"/>
  <c r="I809" i="2"/>
  <c r="H809" i="2"/>
  <c r="G809" i="2"/>
  <c r="F809" i="2"/>
  <c r="E809" i="2"/>
  <c r="D809" i="2"/>
  <c r="C809" i="2"/>
  <c r="B809" i="2"/>
  <c r="A809" i="2"/>
  <c r="J808" i="2"/>
  <c r="I808" i="2"/>
  <c r="H808" i="2"/>
  <c r="G808" i="2"/>
  <c r="F808" i="2"/>
  <c r="E808" i="2"/>
  <c r="D808" i="2"/>
  <c r="C808" i="2"/>
  <c r="B808" i="2"/>
  <c r="A808" i="2"/>
  <c r="J807" i="2"/>
  <c r="I807" i="2"/>
  <c r="H807" i="2"/>
  <c r="G807" i="2"/>
  <c r="F807" i="2"/>
  <c r="E807" i="2"/>
  <c r="D807" i="2"/>
  <c r="C807" i="2"/>
  <c r="B807" i="2"/>
  <c r="A807" i="2"/>
  <c r="J806" i="2"/>
  <c r="I806" i="2"/>
  <c r="H806" i="2"/>
  <c r="G806" i="2"/>
  <c r="F806" i="2"/>
  <c r="E806" i="2"/>
  <c r="D806" i="2"/>
  <c r="C806" i="2"/>
  <c r="B806" i="2"/>
  <c r="A806" i="2"/>
  <c r="J805" i="2"/>
  <c r="I805" i="2"/>
  <c r="H805" i="2"/>
  <c r="G805" i="2"/>
  <c r="F805" i="2"/>
  <c r="E805" i="2"/>
  <c r="D805" i="2"/>
  <c r="C805" i="2"/>
  <c r="B805" i="2"/>
  <c r="A805" i="2"/>
  <c r="J804" i="2"/>
  <c r="I804" i="2"/>
  <c r="H804" i="2"/>
  <c r="G804" i="2"/>
  <c r="F804" i="2"/>
  <c r="E804" i="2"/>
  <c r="D804" i="2"/>
  <c r="C804" i="2"/>
  <c r="B804" i="2"/>
  <c r="A804" i="2"/>
  <c r="J803" i="2"/>
  <c r="I803" i="2"/>
  <c r="H803" i="2"/>
  <c r="G803" i="2"/>
  <c r="F803" i="2"/>
  <c r="E803" i="2"/>
  <c r="D803" i="2"/>
  <c r="C803" i="2"/>
  <c r="B803" i="2"/>
  <c r="A803" i="2"/>
  <c r="J802" i="2"/>
  <c r="I802" i="2"/>
  <c r="H802" i="2"/>
  <c r="G802" i="2"/>
  <c r="F802" i="2"/>
  <c r="E802" i="2"/>
  <c r="D802" i="2"/>
  <c r="C802" i="2"/>
  <c r="B802" i="2"/>
  <c r="A802" i="2"/>
  <c r="J801" i="2"/>
  <c r="I801" i="2"/>
  <c r="H801" i="2"/>
  <c r="G801" i="2"/>
  <c r="F801" i="2"/>
  <c r="E801" i="2"/>
  <c r="D801" i="2"/>
  <c r="C801" i="2"/>
  <c r="B801" i="2"/>
  <c r="A801" i="2"/>
  <c r="J800" i="2"/>
  <c r="I800" i="2"/>
  <c r="H800" i="2"/>
  <c r="G800" i="2"/>
  <c r="F800" i="2"/>
  <c r="E800" i="2"/>
  <c r="D800" i="2"/>
  <c r="C800" i="2"/>
  <c r="B800" i="2"/>
  <c r="A800" i="2"/>
  <c r="J799" i="2"/>
  <c r="I799" i="2"/>
  <c r="H799" i="2"/>
  <c r="G799" i="2"/>
  <c r="F799" i="2"/>
  <c r="E799" i="2"/>
  <c r="D799" i="2"/>
  <c r="C799" i="2"/>
  <c r="B799" i="2"/>
  <c r="A799" i="2"/>
  <c r="J798" i="2"/>
  <c r="I798" i="2"/>
  <c r="H798" i="2"/>
  <c r="G798" i="2"/>
  <c r="F798" i="2"/>
  <c r="E798" i="2"/>
  <c r="D798" i="2"/>
  <c r="C798" i="2"/>
  <c r="B798" i="2"/>
  <c r="A798" i="2"/>
  <c r="J797" i="2"/>
  <c r="I797" i="2"/>
  <c r="H797" i="2"/>
  <c r="G797" i="2"/>
  <c r="F797" i="2"/>
  <c r="E797" i="2"/>
  <c r="D797" i="2"/>
  <c r="C797" i="2"/>
  <c r="B797" i="2"/>
  <c r="A797" i="2"/>
  <c r="J796" i="2"/>
  <c r="I796" i="2"/>
  <c r="H796" i="2"/>
  <c r="G796" i="2"/>
  <c r="F796" i="2"/>
  <c r="E796" i="2"/>
  <c r="D796" i="2"/>
  <c r="C796" i="2"/>
  <c r="B796" i="2"/>
  <c r="A796" i="2"/>
  <c r="J795" i="2"/>
  <c r="I795" i="2"/>
  <c r="H795" i="2"/>
  <c r="G795" i="2"/>
  <c r="F795" i="2"/>
  <c r="E795" i="2"/>
  <c r="D795" i="2"/>
  <c r="C795" i="2"/>
  <c r="B795" i="2"/>
  <c r="A795" i="2"/>
  <c r="J794" i="2"/>
  <c r="I794" i="2"/>
  <c r="H794" i="2"/>
  <c r="G794" i="2"/>
  <c r="F794" i="2"/>
  <c r="E794" i="2"/>
  <c r="D794" i="2"/>
  <c r="C794" i="2"/>
  <c r="B794" i="2"/>
  <c r="A794" i="2"/>
  <c r="J793" i="2"/>
  <c r="I793" i="2"/>
  <c r="H793" i="2"/>
  <c r="G793" i="2"/>
  <c r="F793" i="2"/>
  <c r="E793" i="2"/>
  <c r="D793" i="2"/>
  <c r="C793" i="2"/>
  <c r="B793" i="2"/>
  <c r="A793" i="2"/>
  <c r="J792" i="2"/>
  <c r="I792" i="2"/>
  <c r="H792" i="2"/>
  <c r="G792" i="2"/>
  <c r="F792" i="2"/>
  <c r="E792" i="2"/>
  <c r="D792" i="2"/>
  <c r="C792" i="2"/>
  <c r="B792" i="2"/>
  <c r="A792" i="2"/>
  <c r="J791" i="2"/>
  <c r="I791" i="2"/>
  <c r="H791" i="2"/>
  <c r="G791" i="2"/>
  <c r="F791" i="2"/>
  <c r="E791" i="2"/>
  <c r="D791" i="2"/>
  <c r="C791" i="2"/>
  <c r="B791" i="2"/>
  <c r="A791" i="2"/>
  <c r="J790" i="2"/>
  <c r="I790" i="2"/>
  <c r="H790" i="2"/>
  <c r="G790" i="2"/>
  <c r="F790" i="2"/>
  <c r="E790" i="2"/>
  <c r="D790" i="2"/>
  <c r="C790" i="2"/>
  <c r="B790" i="2"/>
  <c r="A790" i="2"/>
  <c r="J789" i="2"/>
  <c r="I789" i="2"/>
  <c r="H789" i="2"/>
  <c r="G789" i="2"/>
  <c r="F789" i="2"/>
  <c r="E789" i="2"/>
  <c r="D789" i="2"/>
  <c r="C789" i="2"/>
  <c r="B789" i="2"/>
  <c r="A789" i="2"/>
  <c r="J788" i="2"/>
  <c r="I788" i="2"/>
  <c r="H788" i="2"/>
  <c r="G788" i="2"/>
  <c r="F788" i="2"/>
  <c r="E788" i="2"/>
  <c r="D788" i="2"/>
  <c r="C788" i="2"/>
  <c r="B788" i="2"/>
  <c r="A788" i="2"/>
  <c r="J787" i="2"/>
  <c r="I787" i="2"/>
  <c r="H787" i="2"/>
  <c r="G787" i="2"/>
  <c r="F787" i="2"/>
  <c r="E787" i="2"/>
  <c r="D787" i="2"/>
  <c r="C787" i="2"/>
  <c r="B787" i="2"/>
  <c r="A787" i="2"/>
  <c r="J786" i="2"/>
  <c r="I786" i="2"/>
  <c r="H786" i="2"/>
  <c r="G786" i="2"/>
  <c r="F786" i="2"/>
  <c r="E786" i="2"/>
  <c r="D786" i="2"/>
  <c r="C786" i="2"/>
  <c r="B786" i="2"/>
  <c r="A786" i="2"/>
  <c r="J785" i="2"/>
  <c r="I785" i="2"/>
  <c r="H785" i="2"/>
  <c r="G785" i="2"/>
  <c r="F785" i="2"/>
  <c r="E785" i="2"/>
  <c r="D785" i="2"/>
  <c r="C785" i="2"/>
  <c r="B785" i="2"/>
  <c r="A785" i="2"/>
  <c r="J784" i="2"/>
  <c r="I784" i="2"/>
  <c r="H784" i="2"/>
  <c r="G784" i="2"/>
  <c r="F784" i="2"/>
  <c r="E784" i="2"/>
  <c r="D784" i="2"/>
  <c r="C784" i="2"/>
  <c r="B784" i="2"/>
  <c r="A784" i="2"/>
  <c r="J783" i="2"/>
  <c r="I783" i="2"/>
  <c r="H783" i="2"/>
  <c r="G783" i="2"/>
  <c r="F783" i="2"/>
  <c r="E783" i="2"/>
  <c r="D783" i="2"/>
  <c r="C783" i="2"/>
  <c r="B783" i="2"/>
  <c r="A783" i="2"/>
  <c r="J782" i="2"/>
  <c r="I782" i="2"/>
  <c r="H782" i="2"/>
  <c r="G782" i="2"/>
  <c r="F782" i="2"/>
  <c r="E782" i="2"/>
  <c r="D782" i="2"/>
  <c r="C782" i="2"/>
  <c r="B782" i="2"/>
  <c r="A782" i="2"/>
  <c r="J781" i="2"/>
  <c r="I781" i="2"/>
  <c r="H781" i="2"/>
  <c r="G781" i="2"/>
  <c r="F781" i="2"/>
  <c r="E781" i="2"/>
  <c r="D781" i="2"/>
  <c r="C781" i="2"/>
  <c r="B781" i="2"/>
  <c r="A781" i="2"/>
  <c r="J780" i="2"/>
  <c r="I780" i="2"/>
  <c r="H780" i="2"/>
  <c r="G780" i="2"/>
  <c r="F780" i="2"/>
  <c r="E780" i="2"/>
  <c r="D780" i="2"/>
  <c r="C780" i="2"/>
  <c r="B780" i="2"/>
  <c r="A780" i="2"/>
  <c r="J779" i="2"/>
  <c r="I779" i="2"/>
  <c r="H779" i="2"/>
  <c r="G779" i="2"/>
  <c r="F779" i="2"/>
  <c r="E779" i="2"/>
  <c r="D779" i="2"/>
  <c r="C779" i="2"/>
  <c r="B779" i="2"/>
  <c r="A779" i="2"/>
  <c r="J778" i="2"/>
  <c r="I778" i="2"/>
  <c r="H778" i="2"/>
  <c r="G778" i="2"/>
  <c r="F778" i="2"/>
  <c r="E778" i="2"/>
  <c r="D778" i="2"/>
  <c r="C778" i="2"/>
  <c r="B778" i="2"/>
  <c r="A778" i="2"/>
  <c r="J777" i="2"/>
  <c r="I777" i="2"/>
  <c r="H777" i="2"/>
  <c r="G777" i="2"/>
  <c r="F777" i="2"/>
  <c r="E777" i="2"/>
  <c r="D777" i="2"/>
  <c r="C777" i="2"/>
  <c r="B777" i="2"/>
  <c r="A777" i="2"/>
  <c r="J776" i="2"/>
  <c r="I776" i="2"/>
  <c r="H776" i="2"/>
  <c r="G776" i="2"/>
  <c r="F776" i="2"/>
  <c r="E776" i="2"/>
  <c r="D776" i="2"/>
  <c r="C776" i="2"/>
  <c r="B776" i="2"/>
  <c r="A776" i="2"/>
  <c r="J775" i="2"/>
  <c r="I775" i="2"/>
  <c r="H775" i="2"/>
  <c r="G775" i="2"/>
  <c r="F775" i="2"/>
  <c r="E775" i="2"/>
  <c r="D775" i="2"/>
  <c r="C775" i="2"/>
  <c r="B775" i="2"/>
  <c r="A775" i="2"/>
  <c r="J774" i="2"/>
  <c r="I774" i="2"/>
  <c r="H774" i="2"/>
  <c r="G774" i="2"/>
  <c r="F774" i="2"/>
  <c r="E774" i="2"/>
  <c r="D774" i="2"/>
  <c r="C774" i="2"/>
  <c r="B774" i="2"/>
  <c r="A774" i="2"/>
  <c r="J773" i="2"/>
  <c r="I773" i="2"/>
  <c r="H773" i="2"/>
  <c r="G773" i="2"/>
  <c r="F773" i="2"/>
  <c r="E773" i="2"/>
  <c r="D773" i="2"/>
  <c r="C773" i="2"/>
  <c r="B773" i="2"/>
  <c r="A773" i="2"/>
  <c r="J772" i="2"/>
  <c r="I772" i="2"/>
  <c r="H772" i="2"/>
  <c r="G772" i="2"/>
  <c r="F772" i="2"/>
  <c r="E772" i="2"/>
  <c r="D772" i="2"/>
  <c r="C772" i="2"/>
  <c r="B772" i="2"/>
  <c r="A772" i="2"/>
  <c r="J771" i="2"/>
  <c r="I771" i="2"/>
  <c r="H771" i="2"/>
  <c r="G771" i="2"/>
  <c r="F771" i="2"/>
  <c r="E771" i="2"/>
  <c r="D771" i="2"/>
  <c r="C771" i="2"/>
  <c r="B771" i="2"/>
  <c r="A771" i="2"/>
  <c r="J770" i="2"/>
  <c r="I770" i="2"/>
  <c r="H770" i="2"/>
  <c r="G770" i="2"/>
  <c r="F770" i="2"/>
  <c r="E770" i="2"/>
  <c r="D770" i="2"/>
  <c r="C770" i="2"/>
  <c r="B770" i="2"/>
  <c r="A770" i="2"/>
  <c r="J769" i="2"/>
  <c r="I769" i="2"/>
  <c r="H769" i="2"/>
  <c r="G769" i="2"/>
  <c r="F769" i="2"/>
  <c r="E769" i="2"/>
  <c r="D769" i="2"/>
  <c r="C769" i="2"/>
  <c r="B769" i="2"/>
  <c r="A769" i="2"/>
  <c r="J768" i="2"/>
  <c r="I768" i="2"/>
  <c r="H768" i="2"/>
  <c r="G768" i="2"/>
  <c r="F768" i="2"/>
  <c r="E768" i="2"/>
  <c r="D768" i="2"/>
  <c r="C768" i="2"/>
  <c r="B768" i="2"/>
  <c r="A768" i="2"/>
  <c r="J767" i="2"/>
  <c r="I767" i="2"/>
  <c r="H767" i="2"/>
  <c r="G767" i="2"/>
  <c r="F767" i="2"/>
  <c r="E767" i="2"/>
  <c r="D767" i="2"/>
  <c r="C767" i="2"/>
  <c r="B767" i="2"/>
  <c r="A767" i="2"/>
  <c r="J766" i="2"/>
  <c r="I766" i="2"/>
  <c r="H766" i="2"/>
  <c r="G766" i="2"/>
  <c r="F766" i="2"/>
  <c r="E766" i="2"/>
  <c r="D766" i="2"/>
  <c r="C766" i="2"/>
  <c r="B766" i="2"/>
  <c r="A766" i="2"/>
  <c r="J765" i="2"/>
  <c r="I765" i="2"/>
  <c r="H765" i="2"/>
  <c r="G765" i="2"/>
  <c r="F765" i="2"/>
  <c r="E765" i="2"/>
  <c r="D765" i="2"/>
  <c r="C765" i="2"/>
  <c r="B765" i="2"/>
  <c r="A765" i="2"/>
  <c r="J764" i="2"/>
  <c r="I764" i="2"/>
  <c r="H764" i="2"/>
  <c r="G764" i="2"/>
  <c r="F764" i="2"/>
  <c r="E764" i="2"/>
  <c r="D764" i="2"/>
  <c r="C764" i="2"/>
  <c r="B764" i="2"/>
  <c r="A764" i="2"/>
  <c r="J763" i="2"/>
  <c r="I763" i="2"/>
  <c r="H763" i="2"/>
  <c r="G763" i="2"/>
  <c r="F763" i="2"/>
  <c r="E763" i="2"/>
  <c r="D763" i="2"/>
  <c r="C763" i="2"/>
  <c r="B763" i="2"/>
  <c r="A763" i="2"/>
  <c r="J762" i="2"/>
  <c r="I762" i="2"/>
  <c r="H762" i="2"/>
  <c r="G762" i="2"/>
  <c r="F762" i="2"/>
  <c r="E762" i="2"/>
  <c r="D762" i="2"/>
  <c r="C762" i="2"/>
  <c r="B762" i="2"/>
  <c r="A762" i="2"/>
  <c r="J761" i="2"/>
  <c r="I761" i="2"/>
  <c r="H761" i="2"/>
  <c r="G761" i="2"/>
  <c r="F761" i="2"/>
  <c r="E761" i="2"/>
  <c r="D761" i="2"/>
  <c r="C761" i="2"/>
  <c r="B761" i="2"/>
  <c r="A761" i="2"/>
  <c r="J760" i="2"/>
  <c r="I760" i="2"/>
  <c r="H760" i="2"/>
  <c r="G760" i="2"/>
  <c r="F760" i="2"/>
  <c r="E760" i="2"/>
  <c r="D760" i="2"/>
  <c r="C760" i="2"/>
  <c r="B760" i="2"/>
  <c r="A760" i="2"/>
  <c r="J759" i="2"/>
  <c r="I759" i="2"/>
  <c r="H759" i="2"/>
  <c r="G759" i="2"/>
  <c r="F759" i="2"/>
  <c r="E759" i="2"/>
  <c r="D759" i="2"/>
  <c r="C759" i="2"/>
  <c r="B759" i="2"/>
  <c r="A759" i="2"/>
  <c r="J758" i="2"/>
  <c r="I758" i="2"/>
  <c r="H758" i="2"/>
  <c r="G758" i="2"/>
  <c r="F758" i="2"/>
  <c r="E758" i="2"/>
  <c r="D758" i="2"/>
  <c r="C758" i="2"/>
  <c r="B758" i="2"/>
  <c r="A758" i="2"/>
  <c r="J757" i="2"/>
  <c r="I757" i="2"/>
  <c r="H757" i="2"/>
  <c r="G757" i="2"/>
  <c r="F757" i="2"/>
  <c r="E757" i="2"/>
  <c r="D757" i="2"/>
  <c r="C757" i="2"/>
  <c r="B757" i="2"/>
  <c r="A757" i="2"/>
  <c r="J756" i="2"/>
  <c r="I756" i="2"/>
  <c r="H756" i="2"/>
  <c r="G756" i="2"/>
  <c r="F756" i="2"/>
  <c r="E756" i="2"/>
  <c r="D756" i="2"/>
  <c r="C756" i="2"/>
  <c r="B756" i="2"/>
  <c r="A756" i="2"/>
  <c r="J755" i="2"/>
  <c r="I755" i="2"/>
  <c r="H755" i="2"/>
  <c r="G755" i="2"/>
  <c r="F755" i="2"/>
  <c r="E755" i="2"/>
  <c r="D755" i="2"/>
  <c r="C755" i="2"/>
  <c r="B755" i="2"/>
  <c r="A755" i="2"/>
  <c r="J754" i="2"/>
  <c r="I754" i="2"/>
  <c r="H754" i="2"/>
  <c r="G754" i="2"/>
  <c r="F754" i="2"/>
  <c r="E754" i="2"/>
  <c r="D754" i="2"/>
  <c r="C754" i="2"/>
  <c r="B754" i="2"/>
  <c r="A754" i="2"/>
  <c r="J753" i="2"/>
  <c r="I753" i="2"/>
  <c r="H753" i="2"/>
  <c r="G753" i="2"/>
  <c r="F753" i="2"/>
  <c r="E753" i="2"/>
  <c r="D753" i="2"/>
  <c r="C753" i="2"/>
  <c r="B753" i="2"/>
  <c r="A753" i="2"/>
  <c r="J752" i="2"/>
  <c r="I752" i="2"/>
  <c r="H752" i="2"/>
  <c r="G752" i="2"/>
  <c r="F752" i="2"/>
  <c r="E752" i="2"/>
  <c r="D752" i="2"/>
  <c r="C752" i="2"/>
  <c r="B752" i="2"/>
  <c r="A752" i="2"/>
  <c r="J751" i="2"/>
  <c r="I751" i="2"/>
  <c r="H751" i="2"/>
  <c r="G751" i="2"/>
  <c r="F751" i="2"/>
  <c r="E751" i="2"/>
  <c r="D751" i="2"/>
  <c r="C751" i="2"/>
  <c r="B751" i="2"/>
  <c r="A751" i="2"/>
  <c r="J750" i="2"/>
  <c r="I750" i="2"/>
  <c r="H750" i="2"/>
  <c r="G750" i="2"/>
  <c r="F750" i="2"/>
  <c r="E750" i="2"/>
  <c r="D750" i="2"/>
  <c r="C750" i="2"/>
  <c r="B750" i="2"/>
  <c r="A750" i="2"/>
  <c r="J749" i="2"/>
  <c r="I749" i="2"/>
  <c r="H749" i="2"/>
  <c r="G749" i="2"/>
  <c r="F749" i="2"/>
  <c r="E749" i="2"/>
  <c r="D749" i="2"/>
  <c r="C749" i="2"/>
  <c r="B749" i="2"/>
  <c r="A749" i="2"/>
  <c r="J748" i="2"/>
  <c r="I748" i="2"/>
  <c r="H748" i="2"/>
  <c r="G748" i="2"/>
  <c r="F748" i="2"/>
  <c r="E748" i="2"/>
  <c r="D748" i="2"/>
  <c r="C748" i="2"/>
  <c r="B748" i="2"/>
  <c r="A748" i="2"/>
  <c r="J747" i="2"/>
  <c r="I747" i="2"/>
  <c r="H747" i="2"/>
  <c r="G747" i="2"/>
  <c r="F747" i="2"/>
  <c r="E747" i="2"/>
  <c r="D747" i="2"/>
  <c r="C747" i="2"/>
  <c r="B747" i="2"/>
  <c r="A747" i="2"/>
  <c r="J746" i="2"/>
  <c r="I746" i="2"/>
  <c r="H746" i="2"/>
  <c r="G746" i="2"/>
  <c r="F746" i="2"/>
  <c r="E746" i="2"/>
  <c r="D746" i="2"/>
  <c r="C746" i="2"/>
  <c r="B746" i="2"/>
  <c r="A746" i="2"/>
  <c r="J745" i="2"/>
  <c r="I745" i="2"/>
  <c r="H745" i="2"/>
  <c r="G745" i="2"/>
  <c r="F745" i="2"/>
  <c r="E745" i="2"/>
  <c r="D745" i="2"/>
  <c r="C745" i="2"/>
  <c r="B745" i="2"/>
  <c r="A745" i="2"/>
  <c r="J744" i="2"/>
  <c r="I744" i="2"/>
  <c r="H744" i="2"/>
  <c r="G744" i="2"/>
  <c r="F744" i="2"/>
  <c r="E744" i="2"/>
  <c r="D744" i="2"/>
  <c r="C744" i="2"/>
  <c r="B744" i="2"/>
  <c r="A744" i="2"/>
  <c r="J743" i="2"/>
  <c r="I743" i="2"/>
  <c r="H743" i="2"/>
  <c r="G743" i="2"/>
  <c r="F743" i="2"/>
  <c r="E743" i="2"/>
  <c r="D743" i="2"/>
  <c r="C743" i="2"/>
  <c r="B743" i="2"/>
  <c r="A743" i="2"/>
  <c r="J742" i="2"/>
  <c r="I742" i="2"/>
  <c r="H742" i="2"/>
  <c r="G742" i="2"/>
  <c r="F742" i="2"/>
  <c r="E742" i="2"/>
  <c r="D742" i="2"/>
  <c r="C742" i="2"/>
  <c r="B742" i="2"/>
  <c r="A742" i="2"/>
  <c r="J741" i="2"/>
  <c r="I741" i="2"/>
  <c r="H741" i="2"/>
  <c r="G741" i="2"/>
  <c r="F741" i="2"/>
  <c r="E741" i="2"/>
  <c r="D741" i="2"/>
  <c r="C741" i="2"/>
  <c r="B741" i="2"/>
  <c r="A741" i="2"/>
  <c r="J740" i="2"/>
  <c r="I740" i="2"/>
  <c r="H740" i="2"/>
  <c r="G740" i="2"/>
  <c r="F740" i="2"/>
  <c r="E740" i="2"/>
  <c r="D740" i="2"/>
  <c r="C740" i="2"/>
  <c r="B740" i="2"/>
  <c r="A740" i="2"/>
  <c r="J739" i="2"/>
  <c r="I739" i="2"/>
  <c r="H739" i="2"/>
  <c r="G739" i="2"/>
  <c r="F739" i="2"/>
  <c r="E739" i="2"/>
  <c r="D739" i="2"/>
  <c r="C739" i="2"/>
  <c r="B739" i="2"/>
  <c r="A739" i="2"/>
  <c r="J738" i="2"/>
  <c r="I738" i="2"/>
  <c r="H738" i="2"/>
  <c r="G738" i="2"/>
  <c r="F738" i="2"/>
  <c r="E738" i="2"/>
  <c r="D738" i="2"/>
  <c r="C738" i="2"/>
  <c r="B738" i="2"/>
  <c r="A738" i="2"/>
  <c r="J737" i="2"/>
  <c r="I737" i="2"/>
  <c r="H737" i="2"/>
  <c r="G737" i="2"/>
  <c r="F737" i="2"/>
  <c r="E737" i="2"/>
  <c r="D737" i="2"/>
  <c r="C737" i="2"/>
  <c r="B737" i="2"/>
  <c r="A737" i="2"/>
  <c r="J736" i="2"/>
  <c r="I736" i="2"/>
  <c r="H736" i="2"/>
  <c r="G736" i="2"/>
  <c r="F736" i="2"/>
  <c r="E736" i="2"/>
  <c r="D736" i="2"/>
  <c r="C736" i="2"/>
  <c r="B736" i="2"/>
  <c r="A736" i="2"/>
  <c r="J735" i="2"/>
  <c r="I735" i="2"/>
  <c r="H735" i="2"/>
  <c r="G735" i="2"/>
  <c r="F735" i="2"/>
  <c r="E735" i="2"/>
  <c r="D735" i="2"/>
  <c r="C735" i="2"/>
  <c r="B735" i="2"/>
  <c r="A735" i="2"/>
  <c r="J734" i="2"/>
  <c r="I734" i="2"/>
  <c r="H734" i="2"/>
  <c r="G734" i="2"/>
  <c r="F734" i="2"/>
  <c r="E734" i="2"/>
  <c r="D734" i="2"/>
  <c r="C734" i="2"/>
  <c r="B734" i="2"/>
  <c r="A734" i="2"/>
  <c r="J733" i="2"/>
  <c r="I733" i="2"/>
  <c r="H733" i="2"/>
  <c r="G733" i="2"/>
  <c r="F733" i="2"/>
  <c r="E733" i="2"/>
  <c r="D733" i="2"/>
  <c r="C733" i="2"/>
  <c r="B733" i="2"/>
  <c r="A733" i="2"/>
  <c r="J732" i="2"/>
  <c r="I732" i="2"/>
  <c r="H732" i="2"/>
  <c r="G732" i="2"/>
  <c r="F732" i="2"/>
  <c r="E732" i="2"/>
  <c r="D732" i="2"/>
  <c r="C732" i="2"/>
  <c r="B732" i="2"/>
  <c r="A732" i="2"/>
  <c r="J731" i="2"/>
  <c r="I731" i="2"/>
  <c r="H731" i="2"/>
  <c r="G731" i="2"/>
  <c r="F731" i="2"/>
  <c r="E731" i="2"/>
  <c r="D731" i="2"/>
  <c r="C731" i="2"/>
  <c r="B731" i="2"/>
  <c r="A731" i="2"/>
  <c r="J730" i="2"/>
  <c r="I730" i="2"/>
  <c r="H730" i="2"/>
  <c r="G730" i="2"/>
  <c r="F730" i="2"/>
  <c r="E730" i="2"/>
  <c r="D730" i="2"/>
  <c r="C730" i="2"/>
  <c r="B730" i="2"/>
  <c r="A730" i="2"/>
  <c r="J729" i="2"/>
  <c r="I729" i="2"/>
  <c r="H729" i="2"/>
  <c r="G729" i="2"/>
  <c r="F729" i="2"/>
  <c r="E729" i="2"/>
  <c r="D729" i="2"/>
  <c r="C729" i="2"/>
  <c r="B729" i="2"/>
  <c r="A729" i="2"/>
  <c r="J728" i="2"/>
  <c r="I728" i="2"/>
  <c r="H728" i="2"/>
  <c r="G728" i="2"/>
  <c r="F728" i="2"/>
  <c r="E728" i="2"/>
  <c r="D728" i="2"/>
  <c r="C728" i="2"/>
  <c r="B728" i="2"/>
  <c r="A728" i="2"/>
  <c r="J727" i="2"/>
  <c r="I727" i="2"/>
  <c r="H727" i="2"/>
  <c r="G727" i="2"/>
  <c r="F727" i="2"/>
  <c r="E727" i="2"/>
  <c r="D727" i="2"/>
  <c r="C727" i="2"/>
  <c r="B727" i="2"/>
  <c r="A727" i="2"/>
  <c r="J726" i="2"/>
  <c r="I726" i="2"/>
  <c r="H726" i="2"/>
  <c r="G726" i="2"/>
  <c r="F726" i="2"/>
  <c r="E726" i="2"/>
  <c r="D726" i="2"/>
  <c r="C726" i="2"/>
  <c r="B726" i="2"/>
  <c r="A726" i="2"/>
  <c r="J725" i="2"/>
  <c r="I725" i="2"/>
  <c r="H725" i="2"/>
  <c r="G725" i="2"/>
  <c r="F725" i="2"/>
  <c r="E725" i="2"/>
  <c r="D725" i="2"/>
  <c r="C725" i="2"/>
  <c r="B725" i="2"/>
  <c r="A725" i="2"/>
  <c r="J724" i="2"/>
  <c r="I724" i="2"/>
  <c r="H724" i="2"/>
  <c r="G724" i="2"/>
  <c r="F724" i="2"/>
  <c r="E724" i="2"/>
  <c r="D724" i="2"/>
  <c r="C724" i="2"/>
  <c r="B724" i="2"/>
  <c r="A724" i="2"/>
  <c r="J723" i="2"/>
  <c r="I723" i="2"/>
  <c r="H723" i="2"/>
  <c r="G723" i="2"/>
  <c r="F723" i="2"/>
  <c r="E723" i="2"/>
  <c r="D723" i="2"/>
  <c r="C723" i="2"/>
  <c r="B723" i="2"/>
  <c r="A723" i="2"/>
  <c r="J722" i="2"/>
  <c r="I722" i="2"/>
  <c r="H722" i="2"/>
  <c r="G722" i="2"/>
  <c r="F722" i="2"/>
  <c r="E722" i="2"/>
  <c r="D722" i="2"/>
  <c r="C722" i="2"/>
  <c r="B722" i="2"/>
  <c r="A722" i="2"/>
  <c r="J721" i="2"/>
  <c r="I721" i="2"/>
  <c r="H721" i="2"/>
  <c r="G721" i="2"/>
  <c r="F721" i="2"/>
  <c r="E721" i="2"/>
  <c r="D721" i="2"/>
  <c r="C721" i="2"/>
  <c r="B721" i="2"/>
  <c r="A721" i="2"/>
  <c r="J720" i="2"/>
  <c r="I720" i="2"/>
  <c r="H720" i="2"/>
  <c r="G720" i="2"/>
  <c r="F720" i="2"/>
  <c r="E720" i="2"/>
  <c r="D720" i="2"/>
  <c r="C720" i="2"/>
  <c r="B720" i="2"/>
  <c r="A720" i="2"/>
  <c r="J719" i="2"/>
  <c r="I719" i="2"/>
  <c r="H719" i="2"/>
  <c r="G719" i="2"/>
  <c r="F719" i="2"/>
  <c r="E719" i="2"/>
  <c r="D719" i="2"/>
  <c r="C719" i="2"/>
  <c r="B719" i="2"/>
  <c r="A719" i="2"/>
  <c r="J718" i="2"/>
  <c r="I718" i="2"/>
  <c r="H718" i="2"/>
  <c r="G718" i="2"/>
  <c r="F718" i="2"/>
  <c r="E718" i="2"/>
  <c r="D718" i="2"/>
  <c r="C718" i="2"/>
  <c r="B718" i="2"/>
  <c r="A718" i="2"/>
  <c r="J717" i="2"/>
  <c r="I717" i="2"/>
  <c r="H717" i="2"/>
  <c r="G717" i="2"/>
  <c r="F717" i="2"/>
  <c r="E717" i="2"/>
  <c r="D717" i="2"/>
  <c r="C717" i="2"/>
  <c r="B717" i="2"/>
  <c r="A717" i="2"/>
  <c r="J716" i="2"/>
  <c r="I716" i="2"/>
  <c r="H716" i="2"/>
  <c r="G716" i="2"/>
  <c r="F716" i="2"/>
  <c r="E716" i="2"/>
  <c r="D716" i="2"/>
  <c r="C716" i="2"/>
  <c r="B716" i="2"/>
  <c r="A716" i="2"/>
  <c r="J715" i="2"/>
  <c r="I715" i="2"/>
  <c r="H715" i="2"/>
  <c r="G715" i="2"/>
  <c r="F715" i="2"/>
  <c r="E715" i="2"/>
  <c r="D715" i="2"/>
  <c r="C715" i="2"/>
  <c r="B715" i="2"/>
  <c r="A715" i="2"/>
  <c r="J714" i="2"/>
  <c r="I714" i="2"/>
  <c r="H714" i="2"/>
  <c r="G714" i="2"/>
  <c r="F714" i="2"/>
  <c r="E714" i="2"/>
  <c r="D714" i="2"/>
  <c r="C714" i="2"/>
  <c r="B714" i="2"/>
  <c r="A714" i="2"/>
  <c r="J713" i="2"/>
  <c r="I713" i="2"/>
  <c r="H713" i="2"/>
  <c r="G713" i="2"/>
  <c r="F713" i="2"/>
  <c r="E713" i="2"/>
  <c r="D713" i="2"/>
  <c r="C713" i="2"/>
  <c r="B713" i="2"/>
  <c r="A713" i="2"/>
  <c r="J712" i="2"/>
  <c r="I712" i="2"/>
  <c r="H712" i="2"/>
  <c r="G712" i="2"/>
  <c r="F712" i="2"/>
  <c r="E712" i="2"/>
  <c r="D712" i="2"/>
  <c r="C712" i="2"/>
  <c r="B712" i="2"/>
  <c r="A712" i="2"/>
  <c r="J711" i="2"/>
  <c r="I711" i="2"/>
  <c r="H711" i="2"/>
  <c r="G711" i="2"/>
  <c r="F711" i="2"/>
  <c r="E711" i="2"/>
  <c r="D711" i="2"/>
  <c r="C711" i="2"/>
  <c r="B711" i="2"/>
  <c r="A711" i="2"/>
  <c r="J710" i="2"/>
  <c r="I710" i="2"/>
  <c r="H710" i="2"/>
  <c r="G710" i="2"/>
  <c r="F710" i="2"/>
  <c r="E710" i="2"/>
  <c r="D710" i="2"/>
  <c r="C710" i="2"/>
  <c r="B710" i="2"/>
  <c r="A710" i="2"/>
  <c r="J709" i="2"/>
  <c r="I709" i="2"/>
  <c r="H709" i="2"/>
  <c r="G709" i="2"/>
  <c r="F709" i="2"/>
  <c r="E709" i="2"/>
  <c r="D709" i="2"/>
  <c r="C709" i="2"/>
  <c r="B709" i="2"/>
  <c r="A709" i="2"/>
  <c r="J708" i="2"/>
  <c r="I708" i="2"/>
  <c r="H708" i="2"/>
  <c r="G708" i="2"/>
  <c r="F708" i="2"/>
  <c r="E708" i="2"/>
  <c r="D708" i="2"/>
  <c r="C708" i="2"/>
  <c r="B708" i="2"/>
  <c r="A708" i="2"/>
  <c r="J707" i="2"/>
  <c r="I707" i="2"/>
  <c r="H707" i="2"/>
  <c r="G707" i="2"/>
  <c r="F707" i="2"/>
  <c r="E707" i="2"/>
  <c r="D707" i="2"/>
  <c r="C707" i="2"/>
  <c r="B707" i="2"/>
  <c r="A707" i="2"/>
  <c r="J706" i="2"/>
  <c r="I706" i="2"/>
  <c r="H706" i="2"/>
  <c r="G706" i="2"/>
  <c r="F706" i="2"/>
  <c r="E706" i="2"/>
  <c r="D706" i="2"/>
  <c r="C706" i="2"/>
  <c r="B706" i="2"/>
  <c r="A706" i="2"/>
  <c r="J705" i="2"/>
  <c r="I705" i="2"/>
  <c r="H705" i="2"/>
  <c r="G705" i="2"/>
  <c r="F705" i="2"/>
  <c r="E705" i="2"/>
  <c r="D705" i="2"/>
  <c r="C705" i="2"/>
  <c r="B705" i="2"/>
  <c r="A705" i="2"/>
  <c r="J704" i="2"/>
  <c r="I704" i="2"/>
  <c r="H704" i="2"/>
  <c r="G704" i="2"/>
  <c r="F704" i="2"/>
  <c r="E704" i="2"/>
  <c r="D704" i="2"/>
  <c r="C704" i="2"/>
  <c r="B704" i="2"/>
  <c r="A704" i="2"/>
  <c r="J703" i="2"/>
  <c r="I703" i="2"/>
  <c r="H703" i="2"/>
  <c r="G703" i="2"/>
  <c r="F703" i="2"/>
  <c r="E703" i="2"/>
  <c r="D703" i="2"/>
  <c r="C703" i="2"/>
  <c r="B703" i="2"/>
  <c r="A703" i="2"/>
  <c r="J702" i="2"/>
  <c r="I702" i="2"/>
  <c r="H702" i="2"/>
  <c r="G702" i="2"/>
  <c r="F702" i="2"/>
  <c r="E702" i="2"/>
  <c r="D702" i="2"/>
  <c r="C702" i="2"/>
  <c r="B702" i="2"/>
  <c r="A702" i="2"/>
  <c r="J701" i="2"/>
  <c r="I701" i="2"/>
  <c r="H701" i="2"/>
  <c r="G701" i="2"/>
  <c r="F701" i="2"/>
  <c r="E701" i="2"/>
  <c r="D701" i="2"/>
  <c r="C701" i="2"/>
  <c r="B701" i="2"/>
  <c r="A701" i="2"/>
  <c r="J700" i="2"/>
  <c r="I700" i="2"/>
  <c r="H700" i="2"/>
  <c r="G700" i="2"/>
  <c r="F700" i="2"/>
  <c r="E700" i="2"/>
  <c r="D700" i="2"/>
  <c r="C700" i="2"/>
  <c r="B700" i="2"/>
  <c r="A700" i="2"/>
  <c r="J699" i="2"/>
  <c r="I699" i="2"/>
  <c r="H699" i="2"/>
  <c r="G699" i="2"/>
  <c r="F699" i="2"/>
  <c r="E699" i="2"/>
  <c r="D699" i="2"/>
  <c r="C699" i="2"/>
  <c r="B699" i="2"/>
  <c r="A699" i="2"/>
  <c r="J698" i="2"/>
  <c r="I698" i="2"/>
  <c r="H698" i="2"/>
  <c r="G698" i="2"/>
  <c r="F698" i="2"/>
  <c r="E698" i="2"/>
  <c r="D698" i="2"/>
  <c r="C698" i="2"/>
  <c r="B698" i="2"/>
  <c r="A698" i="2"/>
  <c r="J697" i="2"/>
  <c r="I697" i="2"/>
  <c r="H697" i="2"/>
  <c r="G697" i="2"/>
  <c r="F697" i="2"/>
  <c r="E697" i="2"/>
  <c r="D697" i="2"/>
  <c r="C697" i="2"/>
  <c r="B697" i="2"/>
  <c r="A697" i="2"/>
  <c r="J696" i="2"/>
  <c r="I696" i="2"/>
  <c r="H696" i="2"/>
  <c r="G696" i="2"/>
  <c r="F696" i="2"/>
  <c r="E696" i="2"/>
  <c r="D696" i="2"/>
  <c r="C696" i="2"/>
  <c r="B696" i="2"/>
  <c r="A696" i="2"/>
  <c r="J695" i="2"/>
  <c r="I695" i="2"/>
  <c r="H695" i="2"/>
  <c r="G695" i="2"/>
  <c r="F695" i="2"/>
  <c r="E695" i="2"/>
  <c r="D695" i="2"/>
  <c r="C695" i="2"/>
  <c r="B695" i="2"/>
  <c r="A695" i="2"/>
  <c r="J694" i="2"/>
  <c r="I694" i="2"/>
  <c r="H694" i="2"/>
  <c r="G694" i="2"/>
  <c r="F694" i="2"/>
  <c r="E694" i="2"/>
  <c r="D694" i="2"/>
  <c r="C694" i="2"/>
  <c r="B694" i="2"/>
  <c r="A694" i="2"/>
  <c r="J693" i="2"/>
  <c r="I693" i="2"/>
  <c r="H693" i="2"/>
  <c r="G693" i="2"/>
  <c r="F693" i="2"/>
  <c r="E693" i="2"/>
  <c r="D693" i="2"/>
  <c r="C693" i="2"/>
  <c r="B693" i="2"/>
  <c r="A693" i="2"/>
  <c r="J692" i="2"/>
  <c r="I692" i="2"/>
  <c r="H692" i="2"/>
  <c r="G692" i="2"/>
  <c r="F692" i="2"/>
  <c r="E692" i="2"/>
  <c r="D692" i="2"/>
  <c r="C692" i="2"/>
  <c r="B692" i="2"/>
  <c r="A692" i="2"/>
  <c r="J691" i="2"/>
  <c r="I691" i="2"/>
  <c r="H691" i="2"/>
  <c r="G691" i="2"/>
  <c r="F691" i="2"/>
  <c r="E691" i="2"/>
  <c r="D691" i="2"/>
  <c r="C691" i="2"/>
  <c r="B691" i="2"/>
  <c r="A691" i="2"/>
  <c r="J690" i="2"/>
  <c r="I690" i="2"/>
  <c r="H690" i="2"/>
  <c r="G690" i="2"/>
  <c r="F690" i="2"/>
  <c r="E690" i="2"/>
  <c r="D690" i="2"/>
  <c r="C690" i="2"/>
  <c r="B690" i="2"/>
  <c r="A690" i="2"/>
  <c r="J689" i="2"/>
  <c r="I689" i="2"/>
  <c r="H689" i="2"/>
  <c r="G689" i="2"/>
  <c r="F689" i="2"/>
  <c r="E689" i="2"/>
  <c r="D689" i="2"/>
  <c r="C689" i="2"/>
  <c r="B689" i="2"/>
  <c r="A689" i="2"/>
  <c r="J688" i="2"/>
  <c r="I688" i="2"/>
  <c r="H688" i="2"/>
  <c r="G688" i="2"/>
  <c r="F688" i="2"/>
  <c r="E688" i="2"/>
  <c r="D688" i="2"/>
  <c r="C688" i="2"/>
  <c r="B688" i="2"/>
  <c r="A688" i="2"/>
  <c r="J687" i="2"/>
  <c r="I687" i="2"/>
  <c r="H687" i="2"/>
  <c r="G687" i="2"/>
  <c r="F687" i="2"/>
  <c r="E687" i="2"/>
  <c r="D687" i="2"/>
  <c r="C687" i="2"/>
  <c r="B687" i="2"/>
  <c r="A687" i="2"/>
  <c r="J686" i="2"/>
  <c r="I686" i="2"/>
  <c r="H686" i="2"/>
  <c r="G686" i="2"/>
  <c r="F686" i="2"/>
  <c r="E686" i="2"/>
  <c r="D686" i="2"/>
  <c r="C686" i="2"/>
  <c r="B686" i="2"/>
  <c r="A686" i="2"/>
  <c r="J685" i="2"/>
  <c r="I685" i="2"/>
  <c r="H685" i="2"/>
  <c r="G685" i="2"/>
  <c r="F685" i="2"/>
  <c r="E685" i="2"/>
  <c r="D685" i="2"/>
  <c r="C685" i="2"/>
  <c r="B685" i="2"/>
  <c r="A685" i="2"/>
  <c r="J684" i="2"/>
  <c r="I684" i="2"/>
  <c r="H684" i="2"/>
  <c r="G684" i="2"/>
  <c r="F684" i="2"/>
  <c r="E684" i="2"/>
  <c r="D684" i="2"/>
  <c r="C684" i="2"/>
  <c r="B684" i="2"/>
  <c r="A684" i="2"/>
  <c r="J683" i="2"/>
  <c r="I683" i="2"/>
  <c r="H683" i="2"/>
  <c r="G683" i="2"/>
  <c r="F683" i="2"/>
  <c r="E683" i="2"/>
  <c r="D683" i="2"/>
  <c r="C683" i="2"/>
  <c r="B683" i="2"/>
  <c r="A683" i="2"/>
  <c r="J682" i="2"/>
  <c r="I682" i="2"/>
  <c r="H682" i="2"/>
  <c r="G682" i="2"/>
  <c r="F682" i="2"/>
  <c r="E682" i="2"/>
  <c r="D682" i="2"/>
  <c r="C682" i="2"/>
  <c r="B682" i="2"/>
  <c r="A682" i="2"/>
  <c r="J681" i="2"/>
  <c r="I681" i="2"/>
  <c r="H681" i="2"/>
  <c r="G681" i="2"/>
  <c r="F681" i="2"/>
  <c r="E681" i="2"/>
  <c r="D681" i="2"/>
  <c r="C681" i="2"/>
  <c r="B681" i="2"/>
  <c r="A681" i="2"/>
  <c r="J680" i="2"/>
  <c r="I680" i="2"/>
  <c r="H680" i="2"/>
  <c r="G680" i="2"/>
  <c r="F680" i="2"/>
  <c r="E680" i="2"/>
  <c r="D680" i="2"/>
  <c r="C680" i="2"/>
  <c r="B680" i="2"/>
  <c r="A680" i="2"/>
  <c r="J679" i="2"/>
  <c r="I679" i="2"/>
  <c r="H679" i="2"/>
  <c r="G679" i="2"/>
  <c r="F679" i="2"/>
  <c r="E679" i="2"/>
  <c r="D679" i="2"/>
  <c r="C679" i="2"/>
  <c r="B679" i="2"/>
  <c r="A679" i="2"/>
  <c r="J678" i="2"/>
  <c r="I678" i="2"/>
  <c r="H678" i="2"/>
  <c r="G678" i="2"/>
  <c r="F678" i="2"/>
  <c r="E678" i="2"/>
  <c r="D678" i="2"/>
  <c r="C678" i="2"/>
  <c r="B678" i="2"/>
  <c r="A678" i="2"/>
  <c r="J677" i="2"/>
  <c r="I677" i="2"/>
  <c r="H677" i="2"/>
  <c r="G677" i="2"/>
  <c r="F677" i="2"/>
  <c r="E677" i="2"/>
  <c r="D677" i="2"/>
  <c r="C677" i="2"/>
  <c r="B677" i="2"/>
  <c r="A677" i="2"/>
  <c r="J676" i="2"/>
  <c r="I676" i="2"/>
  <c r="H676" i="2"/>
  <c r="G676" i="2"/>
  <c r="F676" i="2"/>
  <c r="E676" i="2"/>
  <c r="D676" i="2"/>
  <c r="C676" i="2"/>
  <c r="B676" i="2"/>
  <c r="A676" i="2"/>
  <c r="J675" i="2"/>
  <c r="I675" i="2"/>
  <c r="H675" i="2"/>
  <c r="G675" i="2"/>
  <c r="F675" i="2"/>
  <c r="E675" i="2"/>
  <c r="D675" i="2"/>
  <c r="C675" i="2"/>
  <c r="B675" i="2"/>
  <c r="A675" i="2"/>
  <c r="J674" i="2"/>
  <c r="I674" i="2"/>
  <c r="H674" i="2"/>
  <c r="G674" i="2"/>
  <c r="F674" i="2"/>
  <c r="E674" i="2"/>
  <c r="D674" i="2"/>
  <c r="C674" i="2"/>
  <c r="B674" i="2"/>
  <c r="A674" i="2"/>
  <c r="J673" i="2"/>
  <c r="I673" i="2"/>
  <c r="H673" i="2"/>
  <c r="G673" i="2"/>
  <c r="F673" i="2"/>
  <c r="E673" i="2"/>
  <c r="D673" i="2"/>
  <c r="C673" i="2"/>
  <c r="B673" i="2"/>
  <c r="A673" i="2"/>
  <c r="J672" i="2"/>
  <c r="I672" i="2"/>
  <c r="H672" i="2"/>
  <c r="G672" i="2"/>
  <c r="F672" i="2"/>
  <c r="E672" i="2"/>
  <c r="D672" i="2"/>
  <c r="C672" i="2"/>
  <c r="B672" i="2"/>
  <c r="A672" i="2"/>
  <c r="J671" i="2"/>
  <c r="I671" i="2"/>
  <c r="H671" i="2"/>
  <c r="G671" i="2"/>
  <c r="F671" i="2"/>
  <c r="E671" i="2"/>
  <c r="D671" i="2"/>
  <c r="C671" i="2"/>
  <c r="B671" i="2"/>
  <c r="A671" i="2"/>
  <c r="J670" i="2"/>
  <c r="I670" i="2"/>
  <c r="H670" i="2"/>
  <c r="G670" i="2"/>
  <c r="F670" i="2"/>
  <c r="E670" i="2"/>
  <c r="D670" i="2"/>
  <c r="C670" i="2"/>
  <c r="B670" i="2"/>
  <c r="A670" i="2"/>
  <c r="J669" i="2"/>
  <c r="I669" i="2"/>
  <c r="H669" i="2"/>
  <c r="G669" i="2"/>
  <c r="F669" i="2"/>
  <c r="E669" i="2"/>
  <c r="D669" i="2"/>
  <c r="C669" i="2"/>
  <c r="B669" i="2"/>
  <c r="A669" i="2"/>
  <c r="J668" i="2"/>
  <c r="I668" i="2"/>
  <c r="H668" i="2"/>
  <c r="G668" i="2"/>
  <c r="F668" i="2"/>
  <c r="E668" i="2"/>
  <c r="D668" i="2"/>
  <c r="C668" i="2"/>
  <c r="B668" i="2"/>
  <c r="A668" i="2"/>
  <c r="J667" i="2"/>
  <c r="I667" i="2"/>
  <c r="H667" i="2"/>
  <c r="G667" i="2"/>
  <c r="F667" i="2"/>
  <c r="E667" i="2"/>
  <c r="D667" i="2"/>
  <c r="C667" i="2"/>
  <c r="B667" i="2"/>
  <c r="A667" i="2"/>
  <c r="J666" i="2"/>
  <c r="I666" i="2"/>
  <c r="H666" i="2"/>
  <c r="G666" i="2"/>
  <c r="F666" i="2"/>
  <c r="E666" i="2"/>
  <c r="D666" i="2"/>
  <c r="C666" i="2"/>
  <c r="B666" i="2"/>
  <c r="A666" i="2"/>
  <c r="J665" i="2"/>
  <c r="I665" i="2"/>
  <c r="H665" i="2"/>
  <c r="G665" i="2"/>
  <c r="F665" i="2"/>
  <c r="E665" i="2"/>
  <c r="D665" i="2"/>
  <c r="C665" i="2"/>
  <c r="B665" i="2"/>
  <c r="A665" i="2"/>
  <c r="J664" i="2"/>
  <c r="I664" i="2"/>
  <c r="H664" i="2"/>
  <c r="G664" i="2"/>
  <c r="F664" i="2"/>
  <c r="E664" i="2"/>
  <c r="D664" i="2"/>
  <c r="C664" i="2"/>
  <c r="B664" i="2"/>
  <c r="A664" i="2"/>
  <c r="J663" i="2"/>
  <c r="I663" i="2"/>
  <c r="H663" i="2"/>
  <c r="G663" i="2"/>
  <c r="F663" i="2"/>
  <c r="E663" i="2"/>
  <c r="D663" i="2"/>
  <c r="C663" i="2"/>
  <c r="B663" i="2"/>
  <c r="A663" i="2"/>
  <c r="J662" i="2"/>
  <c r="I662" i="2"/>
  <c r="H662" i="2"/>
  <c r="G662" i="2"/>
  <c r="F662" i="2"/>
  <c r="E662" i="2"/>
  <c r="D662" i="2"/>
  <c r="C662" i="2"/>
  <c r="B662" i="2"/>
  <c r="A662" i="2"/>
  <c r="J661" i="2"/>
  <c r="I661" i="2"/>
  <c r="H661" i="2"/>
  <c r="G661" i="2"/>
  <c r="F661" i="2"/>
  <c r="E661" i="2"/>
  <c r="D661" i="2"/>
  <c r="C661" i="2"/>
  <c r="B661" i="2"/>
  <c r="A661" i="2"/>
  <c r="J660" i="2"/>
  <c r="I660" i="2"/>
  <c r="H660" i="2"/>
  <c r="G660" i="2"/>
  <c r="F660" i="2"/>
  <c r="E660" i="2"/>
  <c r="D660" i="2"/>
  <c r="C660" i="2"/>
  <c r="B660" i="2"/>
  <c r="A660" i="2"/>
  <c r="J659" i="2"/>
  <c r="I659" i="2"/>
  <c r="H659" i="2"/>
  <c r="G659" i="2"/>
  <c r="F659" i="2"/>
  <c r="E659" i="2"/>
  <c r="D659" i="2"/>
  <c r="C659" i="2"/>
  <c r="B659" i="2"/>
  <c r="A659" i="2"/>
  <c r="J658" i="2"/>
  <c r="I658" i="2"/>
  <c r="H658" i="2"/>
  <c r="G658" i="2"/>
  <c r="F658" i="2"/>
  <c r="E658" i="2"/>
  <c r="D658" i="2"/>
  <c r="C658" i="2"/>
  <c r="B658" i="2"/>
  <c r="A658" i="2"/>
  <c r="J657" i="2"/>
  <c r="I657" i="2"/>
  <c r="H657" i="2"/>
  <c r="G657" i="2"/>
  <c r="F657" i="2"/>
  <c r="E657" i="2"/>
  <c r="D657" i="2"/>
  <c r="C657" i="2"/>
  <c r="B657" i="2"/>
  <c r="A657" i="2"/>
  <c r="J656" i="2"/>
  <c r="I656" i="2"/>
  <c r="H656" i="2"/>
  <c r="G656" i="2"/>
  <c r="F656" i="2"/>
  <c r="E656" i="2"/>
  <c r="D656" i="2"/>
  <c r="C656" i="2"/>
  <c r="B656" i="2"/>
  <c r="A656" i="2"/>
  <c r="J655" i="2"/>
  <c r="I655" i="2"/>
  <c r="H655" i="2"/>
  <c r="G655" i="2"/>
  <c r="F655" i="2"/>
  <c r="E655" i="2"/>
  <c r="D655" i="2"/>
  <c r="C655" i="2"/>
  <c r="B655" i="2"/>
  <c r="A655" i="2"/>
  <c r="J654" i="2"/>
  <c r="I654" i="2"/>
  <c r="H654" i="2"/>
  <c r="G654" i="2"/>
  <c r="F654" i="2"/>
  <c r="E654" i="2"/>
  <c r="D654" i="2"/>
  <c r="C654" i="2"/>
  <c r="B654" i="2"/>
  <c r="A654" i="2"/>
  <c r="J653" i="2"/>
  <c r="I653" i="2"/>
  <c r="H653" i="2"/>
  <c r="G653" i="2"/>
  <c r="F653" i="2"/>
  <c r="E653" i="2"/>
  <c r="D653" i="2"/>
  <c r="C653" i="2"/>
  <c r="B653" i="2"/>
  <c r="A653" i="2"/>
  <c r="J652" i="2"/>
  <c r="I652" i="2"/>
  <c r="H652" i="2"/>
  <c r="G652" i="2"/>
  <c r="F652" i="2"/>
  <c r="E652" i="2"/>
  <c r="D652" i="2"/>
  <c r="C652" i="2"/>
  <c r="B652" i="2"/>
  <c r="A652" i="2"/>
  <c r="J651" i="2"/>
  <c r="I651" i="2"/>
  <c r="H651" i="2"/>
  <c r="G651" i="2"/>
  <c r="F651" i="2"/>
  <c r="E651" i="2"/>
  <c r="D651" i="2"/>
  <c r="C651" i="2"/>
  <c r="B651" i="2"/>
  <c r="A651" i="2"/>
  <c r="J650" i="2"/>
  <c r="I650" i="2"/>
  <c r="H650" i="2"/>
  <c r="G650" i="2"/>
  <c r="F650" i="2"/>
  <c r="E650" i="2"/>
  <c r="D650" i="2"/>
  <c r="C650" i="2"/>
  <c r="B650" i="2"/>
  <c r="A650" i="2"/>
  <c r="J649" i="2"/>
  <c r="I649" i="2"/>
  <c r="H649" i="2"/>
  <c r="G649" i="2"/>
  <c r="F649" i="2"/>
  <c r="E649" i="2"/>
  <c r="D649" i="2"/>
  <c r="C649" i="2"/>
  <c r="B649" i="2"/>
  <c r="A649" i="2"/>
  <c r="J648" i="2"/>
  <c r="I648" i="2"/>
  <c r="H648" i="2"/>
  <c r="G648" i="2"/>
  <c r="F648" i="2"/>
  <c r="E648" i="2"/>
  <c r="D648" i="2"/>
  <c r="C648" i="2"/>
  <c r="B648" i="2"/>
  <c r="A648" i="2"/>
  <c r="J647" i="2"/>
  <c r="I647" i="2"/>
  <c r="H647" i="2"/>
  <c r="G647" i="2"/>
  <c r="F647" i="2"/>
  <c r="E647" i="2"/>
  <c r="D647" i="2"/>
  <c r="C647" i="2"/>
  <c r="B647" i="2"/>
  <c r="A647" i="2"/>
  <c r="J646" i="2"/>
  <c r="I646" i="2"/>
  <c r="H646" i="2"/>
  <c r="G646" i="2"/>
  <c r="F646" i="2"/>
  <c r="E646" i="2"/>
  <c r="D646" i="2"/>
  <c r="C646" i="2"/>
  <c r="B646" i="2"/>
  <c r="A646" i="2"/>
  <c r="J645" i="2"/>
  <c r="I645" i="2"/>
  <c r="H645" i="2"/>
  <c r="G645" i="2"/>
  <c r="F645" i="2"/>
  <c r="E645" i="2"/>
  <c r="D645" i="2"/>
  <c r="C645" i="2"/>
  <c r="B645" i="2"/>
  <c r="A645" i="2"/>
  <c r="J644" i="2"/>
  <c r="I644" i="2"/>
  <c r="H644" i="2"/>
  <c r="G644" i="2"/>
  <c r="F644" i="2"/>
  <c r="E644" i="2"/>
  <c r="D644" i="2"/>
  <c r="C644" i="2"/>
  <c r="B644" i="2"/>
  <c r="A644" i="2"/>
  <c r="J643" i="2"/>
  <c r="I643" i="2"/>
  <c r="H643" i="2"/>
  <c r="G643" i="2"/>
  <c r="F643" i="2"/>
  <c r="E643" i="2"/>
  <c r="D643" i="2"/>
  <c r="C643" i="2"/>
  <c r="B643" i="2"/>
  <c r="A643" i="2"/>
  <c r="J642" i="2"/>
  <c r="I642" i="2"/>
  <c r="H642" i="2"/>
  <c r="G642" i="2"/>
  <c r="F642" i="2"/>
  <c r="E642" i="2"/>
  <c r="D642" i="2"/>
  <c r="C642" i="2"/>
  <c r="B642" i="2"/>
  <c r="A642" i="2"/>
  <c r="J641" i="2"/>
  <c r="I641" i="2"/>
  <c r="H641" i="2"/>
  <c r="G641" i="2"/>
  <c r="F641" i="2"/>
  <c r="E641" i="2"/>
  <c r="D641" i="2"/>
  <c r="C641" i="2"/>
  <c r="B641" i="2"/>
  <c r="A641" i="2"/>
  <c r="J640" i="2"/>
  <c r="I640" i="2"/>
  <c r="H640" i="2"/>
  <c r="G640" i="2"/>
  <c r="F640" i="2"/>
  <c r="E640" i="2"/>
  <c r="D640" i="2"/>
  <c r="C640" i="2"/>
  <c r="B640" i="2"/>
  <c r="A640" i="2"/>
  <c r="J639" i="2"/>
  <c r="I639" i="2"/>
  <c r="H639" i="2"/>
  <c r="G639" i="2"/>
  <c r="F639" i="2"/>
  <c r="E639" i="2"/>
  <c r="D639" i="2"/>
  <c r="C639" i="2"/>
  <c r="B639" i="2"/>
  <c r="A639" i="2"/>
  <c r="J638" i="2"/>
  <c r="I638" i="2"/>
  <c r="H638" i="2"/>
  <c r="G638" i="2"/>
  <c r="F638" i="2"/>
  <c r="E638" i="2"/>
  <c r="D638" i="2"/>
  <c r="C638" i="2"/>
  <c r="B638" i="2"/>
  <c r="A638" i="2"/>
  <c r="J637" i="2"/>
  <c r="I637" i="2"/>
  <c r="H637" i="2"/>
  <c r="G637" i="2"/>
  <c r="F637" i="2"/>
  <c r="E637" i="2"/>
  <c r="D637" i="2"/>
  <c r="C637" i="2"/>
  <c r="B637" i="2"/>
  <c r="A637" i="2"/>
  <c r="J636" i="2"/>
  <c r="I636" i="2"/>
  <c r="H636" i="2"/>
  <c r="G636" i="2"/>
  <c r="F636" i="2"/>
  <c r="E636" i="2"/>
  <c r="D636" i="2"/>
  <c r="C636" i="2"/>
  <c r="B636" i="2"/>
  <c r="A636" i="2"/>
  <c r="J635" i="2"/>
  <c r="I635" i="2"/>
  <c r="H635" i="2"/>
  <c r="G635" i="2"/>
  <c r="F635" i="2"/>
  <c r="E635" i="2"/>
  <c r="D635" i="2"/>
  <c r="C635" i="2"/>
  <c r="B635" i="2"/>
  <c r="A635" i="2"/>
  <c r="J634" i="2"/>
  <c r="I634" i="2"/>
  <c r="H634" i="2"/>
  <c r="G634" i="2"/>
  <c r="F634" i="2"/>
  <c r="E634" i="2"/>
  <c r="D634" i="2"/>
  <c r="C634" i="2"/>
  <c r="B634" i="2"/>
  <c r="A634" i="2"/>
  <c r="J633" i="2"/>
  <c r="I633" i="2"/>
  <c r="H633" i="2"/>
  <c r="G633" i="2"/>
  <c r="F633" i="2"/>
  <c r="E633" i="2"/>
  <c r="D633" i="2"/>
  <c r="C633" i="2"/>
  <c r="B633" i="2"/>
  <c r="A633" i="2"/>
  <c r="J632" i="2"/>
  <c r="I632" i="2"/>
  <c r="H632" i="2"/>
  <c r="G632" i="2"/>
  <c r="F632" i="2"/>
  <c r="E632" i="2"/>
  <c r="D632" i="2"/>
  <c r="C632" i="2"/>
  <c r="B632" i="2"/>
  <c r="A632" i="2"/>
  <c r="J631" i="2"/>
  <c r="I631" i="2"/>
  <c r="H631" i="2"/>
  <c r="G631" i="2"/>
  <c r="F631" i="2"/>
  <c r="E631" i="2"/>
  <c r="D631" i="2"/>
  <c r="C631" i="2"/>
  <c r="B631" i="2"/>
  <c r="A631" i="2"/>
  <c r="J630" i="2"/>
  <c r="I630" i="2"/>
  <c r="H630" i="2"/>
  <c r="G630" i="2"/>
  <c r="F630" i="2"/>
  <c r="E630" i="2"/>
  <c r="D630" i="2"/>
  <c r="C630" i="2"/>
  <c r="B630" i="2"/>
  <c r="A630" i="2"/>
  <c r="J629" i="2"/>
  <c r="I629" i="2"/>
  <c r="H629" i="2"/>
  <c r="G629" i="2"/>
  <c r="F629" i="2"/>
  <c r="E629" i="2"/>
  <c r="D629" i="2"/>
  <c r="C629" i="2"/>
  <c r="B629" i="2"/>
  <c r="A629" i="2"/>
  <c r="J628" i="2"/>
  <c r="I628" i="2"/>
  <c r="H628" i="2"/>
  <c r="G628" i="2"/>
  <c r="F628" i="2"/>
  <c r="E628" i="2"/>
  <c r="D628" i="2"/>
  <c r="C628" i="2"/>
  <c r="B628" i="2"/>
  <c r="A628" i="2"/>
  <c r="J627" i="2"/>
  <c r="I627" i="2"/>
  <c r="H627" i="2"/>
  <c r="G627" i="2"/>
  <c r="F627" i="2"/>
  <c r="E627" i="2"/>
  <c r="D627" i="2"/>
  <c r="C627" i="2"/>
  <c r="B627" i="2"/>
  <c r="A627" i="2"/>
  <c r="J626" i="2"/>
  <c r="I626" i="2"/>
  <c r="H626" i="2"/>
  <c r="G626" i="2"/>
  <c r="F626" i="2"/>
  <c r="E626" i="2"/>
  <c r="D626" i="2"/>
  <c r="C626" i="2"/>
  <c r="B626" i="2"/>
  <c r="A626" i="2"/>
  <c r="J625" i="2"/>
  <c r="I625" i="2"/>
  <c r="H625" i="2"/>
  <c r="G625" i="2"/>
  <c r="F625" i="2"/>
  <c r="E625" i="2"/>
  <c r="D625" i="2"/>
  <c r="C625" i="2"/>
  <c r="B625" i="2"/>
  <c r="A625" i="2"/>
  <c r="J624" i="2"/>
  <c r="I624" i="2"/>
  <c r="H624" i="2"/>
  <c r="G624" i="2"/>
  <c r="F624" i="2"/>
  <c r="E624" i="2"/>
  <c r="D624" i="2"/>
  <c r="C624" i="2"/>
  <c r="B624" i="2"/>
  <c r="A624" i="2"/>
  <c r="J623" i="2"/>
  <c r="I623" i="2"/>
  <c r="H623" i="2"/>
  <c r="G623" i="2"/>
  <c r="F623" i="2"/>
  <c r="E623" i="2"/>
  <c r="D623" i="2"/>
  <c r="C623" i="2"/>
  <c r="B623" i="2"/>
  <c r="A623" i="2"/>
  <c r="J622" i="2"/>
  <c r="I622" i="2"/>
  <c r="H622" i="2"/>
  <c r="G622" i="2"/>
  <c r="F622" i="2"/>
  <c r="E622" i="2"/>
  <c r="D622" i="2"/>
  <c r="C622" i="2"/>
  <c r="B622" i="2"/>
  <c r="A622" i="2"/>
  <c r="J621" i="2"/>
  <c r="I621" i="2"/>
  <c r="H621" i="2"/>
  <c r="G621" i="2"/>
  <c r="F621" i="2"/>
  <c r="E621" i="2"/>
  <c r="D621" i="2"/>
  <c r="C621" i="2"/>
  <c r="B621" i="2"/>
  <c r="A621" i="2"/>
  <c r="J620" i="2"/>
  <c r="I620" i="2"/>
  <c r="H620" i="2"/>
  <c r="G620" i="2"/>
  <c r="F620" i="2"/>
  <c r="E620" i="2"/>
  <c r="D620" i="2"/>
  <c r="C620" i="2"/>
  <c r="B620" i="2"/>
  <c r="A620" i="2"/>
  <c r="J619" i="2"/>
  <c r="I619" i="2"/>
  <c r="H619" i="2"/>
  <c r="G619" i="2"/>
  <c r="F619" i="2"/>
  <c r="E619" i="2"/>
  <c r="D619" i="2"/>
  <c r="C619" i="2"/>
  <c r="B619" i="2"/>
  <c r="A619" i="2"/>
  <c r="J618" i="2"/>
  <c r="I618" i="2"/>
  <c r="H618" i="2"/>
  <c r="G618" i="2"/>
  <c r="F618" i="2"/>
  <c r="E618" i="2"/>
  <c r="D618" i="2"/>
  <c r="C618" i="2"/>
  <c r="B618" i="2"/>
  <c r="A618" i="2"/>
  <c r="J617" i="2"/>
  <c r="I617" i="2"/>
  <c r="H617" i="2"/>
  <c r="G617" i="2"/>
  <c r="F617" i="2"/>
  <c r="E617" i="2"/>
  <c r="D617" i="2"/>
  <c r="C617" i="2"/>
  <c r="B617" i="2"/>
  <c r="A617" i="2"/>
  <c r="J616" i="2"/>
  <c r="I616" i="2"/>
  <c r="H616" i="2"/>
  <c r="G616" i="2"/>
  <c r="F616" i="2"/>
  <c r="E616" i="2"/>
  <c r="D616" i="2"/>
  <c r="C616" i="2"/>
  <c r="B616" i="2"/>
  <c r="A616" i="2"/>
  <c r="J615" i="2"/>
  <c r="I615" i="2"/>
  <c r="H615" i="2"/>
  <c r="G615" i="2"/>
  <c r="F615" i="2"/>
  <c r="E615" i="2"/>
  <c r="D615" i="2"/>
  <c r="C615" i="2"/>
  <c r="B615" i="2"/>
  <c r="A615" i="2"/>
  <c r="J614" i="2"/>
  <c r="I614" i="2"/>
  <c r="H614" i="2"/>
  <c r="G614" i="2"/>
  <c r="F614" i="2"/>
  <c r="E614" i="2"/>
  <c r="D614" i="2"/>
  <c r="C614" i="2"/>
  <c r="B614" i="2"/>
  <c r="A614" i="2"/>
  <c r="J613" i="2"/>
  <c r="I613" i="2"/>
  <c r="H613" i="2"/>
  <c r="G613" i="2"/>
  <c r="F613" i="2"/>
  <c r="E613" i="2"/>
  <c r="D613" i="2"/>
  <c r="C613" i="2"/>
  <c r="B613" i="2"/>
  <c r="A613" i="2"/>
  <c r="J612" i="2"/>
  <c r="I612" i="2"/>
  <c r="H612" i="2"/>
  <c r="G612" i="2"/>
  <c r="F612" i="2"/>
  <c r="E612" i="2"/>
  <c r="D612" i="2"/>
  <c r="C612" i="2"/>
  <c r="B612" i="2"/>
  <c r="A612" i="2"/>
  <c r="J611" i="2"/>
  <c r="I611" i="2"/>
  <c r="H611" i="2"/>
  <c r="G611" i="2"/>
  <c r="F611" i="2"/>
  <c r="E611" i="2"/>
  <c r="D611" i="2"/>
  <c r="C611" i="2"/>
  <c r="B611" i="2"/>
  <c r="A611" i="2"/>
  <c r="J610" i="2"/>
  <c r="I610" i="2"/>
  <c r="H610" i="2"/>
  <c r="G610" i="2"/>
  <c r="F610" i="2"/>
  <c r="E610" i="2"/>
  <c r="D610" i="2"/>
  <c r="C610" i="2"/>
  <c r="B610" i="2"/>
  <c r="A610" i="2"/>
  <c r="J609" i="2"/>
  <c r="I609" i="2"/>
  <c r="H609" i="2"/>
  <c r="G609" i="2"/>
  <c r="F609" i="2"/>
  <c r="E609" i="2"/>
  <c r="D609" i="2"/>
  <c r="C609" i="2"/>
  <c r="B609" i="2"/>
  <c r="A609" i="2"/>
  <c r="J608" i="2"/>
  <c r="I608" i="2"/>
  <c r="H608" i="2"/>
  <c r="G608" i="2"/>
  <c r="F608" i="2"/>
  <c r="E608" i="2"/>
  <c r="D608" i="2"/>
  <c r="C608" i="2"/>
  <c r="B608" i="2"/>
  <c r="A608" i="2"/>
  <c r="J607" i="2"/>
  <c r="I607" i="2"/>
  <c r="H607" i="2"/>
  <c r="G607" i="2"/>
  <c r="F607" i="2"/>
  <c r="E607" i="2"/>
  <c r="D607" i="2"/>
  <c r="C607" i="2"/>
  <c r="B607" i="2"/>
  <c r="A607" i="2"/>
  <c r="J606" i="2"/>
  <c r="I606" i="2"/>
  <c r="H606" i="2"/>
  <c r="G606" i="2"/>
  <c r="F606" i="2"/>
  <c r="E606" i="2"/>
  <c r="D606" i="2"/>
  <c r="C606" i="2"/>
  <c r="B606" i="2"/>
  <c r="A606" i="2"/>
  <c r="J605" i="2"/>
  <c r="I605" i="2"/>
  <c r="H605" i="2"/>
  <c r="G605" i="2"/>
  <c r="F605" i="2"/>
  <c r="E605" i="2"/>
  <c r="D605" i="2"/>
  <c r="C605" i="2"/>
  <c r="B605" i="2"/>
  <c r="A605" i="2"/>
  <c r="J604" i="2"/>
  <c r="I604" i="2"/>
  <c r="H604" i="2"/>
  <c r="G604" i="2"/>
  <c r="F604" i="2"/>
  <c r="E604" i="2"/>
  <c r="D604" i="2"/>
  <c r="C604" i="2"/>
  <c r="B604" i="2"/>
  <c r="A604" i="2"/>
  <c r="J603" i="2"/>
  <c r="I603" i="2"/>
  <c r="H603" i="2"/>
  <c r="G603" i="2"/>
  <c r="F603" i="2"/>
  <c r="E603" i="2"/>
  <c r="D603" i="2"/>
  <c r="C603" i="2"/>
  <c r="B603" i="2"/>
  <c r="A603" i="2"/>
  <c r="J602" i="2"/>
  <c r="I602" i="2"/>
  <c r="H602" i="2"/>
  <c r="G602" i="2"/>
  <c r="F602" i="2"/>
  <c r="E602" i="2"/>
  <c r="D602" i="2"/>
  <c r="C602" i="2"/>
  <c r="B602" i="2"/>
  <c r="A602" i="2"/>
  <c r="J601" i="2"/>
  <c r="I601" i="2"/>
  <c r="H601" i="2"/>
  <c r="G601" i="2"/>
  <c r="F601" i="2"/>
  <c r="E601" i="2"/>
  <c r="D601" i="2"/>
  <c r="C601" i="2"/>
  <c r="B601" i="2"/>
  <c r="A601" i="2"/>
  <c r="J600" i="2"/>
  <c r="I600" i="2"/>
  <c r="H600" i="2"/>
  <c r="G600" i="2"/>
  <c r="F600" i="2"/>
  <c r="E600" i="2"/>
  <c r="D600" i="2"/>
  <c r="C600" i="2"/>
  <c r="B600" i="2"/>
  <c r="A600" i="2"/>
  <c r="J599" i="2"/>
  <c r="I599" i="2"/>
  <c r="H599" i="2"/>
  <c r="G599" i="2"/>
  <c r="F599" i="2"/>
  <c r="E599" i="2"/>
  <c r="D599" i="2"/>
  <c r="C599" i="2"/>
  <c r="B599" i="2"/>
  <c r="A599" i="2"/>
  <c r="J598" i="2"/>
  <c r="I598" i="2"/>
  <c r="H598" i="2"/>
  <c r="G598" i="2"/>
  <c r="F598" i="2"/>
  <c r="E598" i="2"/>
  <c r="D598" i="2"/>
  <c r="C598" i="2"/>
  <c r="B598" i="2"/>
  <c r="A598" i="2"/>
  <c r="J597" i="2"/>
  <c r="I597" i="2"/>
  <c r="H597" i="2"/>
  <c r="G597" i="2"/>
  <c r="F597" i="2"/>
  <c r="E597" i="2"/>
  <c r="D597" i="2"/>
  <c r="C597" i="2"/>
  <c r="B597" i="2"/>
  <c r="A597" i="2"/>
  <c r="J596" i="2"/>
  <c r="I596" i="2"/>
  <c r="H596" i="2"/>
  <c r="G596" i="2"/>
  <c r="F596" i="2"/>
  <c r="E596" i="2"/>
  <c r="D596" i="2"/>
  <c r="C596" i="2"/>
  <c r="B596" i="2"/>
  <c r="A596" i="2"/>
  <c r="J595" i="2"/>
  <c r="I595" i="2"/>
  <c r="H595" i="2"/>
  <c r="G595" i="2"/>
  <c r="F595" i="2"/>
  <c r="E595" i="2"/>
  <c r="D595" i="2"/>
  <c r="C595" i="2"/>
  <c r="B595" i="2"/>
  <c r="A595" i="2"/>
  <c r="J594" i="2"/>
  <c r="I594" i="2"/>
  <c r="H594" i="2"/>
  <c r="G594" i="2"/>
  <c r="F594" i="2"/>
  <c r="E594" i="2"/>
  <c r="D594" i="2"/>
  <c r="C594" i="2"/>
  <c r="B594" i="2"/>
  <c r="A594" i="2"/>
  <c r="J593" i="2"/>
  <c r="I593" i="2"/>
  <c r="H593" i="2"/>
  <c r="G593" i="2"/>
  <c r="F593" i="2"/>
  <c r="E593" i="2"/>
  <c r="D593" i="2"/>
  <c r="C593" i="2"/>
  <c r="B593" i="2"/>
  <c r="A593" i="2"/>
  <c r="J592" i="2"/>
  <c r="I592" i="2"/>
  <c r="H592" i="2"/>
  <c r="G592" i="2"/>
  <c r="F592" i="2"/>
  <c r="E592" i="2"/>
  <c r="D592" i="2"/>
  <c r="C592" i="2"/>
  <c r="B592" i="2"/>
  <c r="A592" i="2"/>
  <c r="J591" i="2"/>
  <c r="I591" i="2"/>
  <c r="H591" i="2"/>
  <c r="G591" i="2"/>
  <c r="F591" i="2"/>
  <c r="E591" i="2"/>
  <c r="D591" i="2"/>
  <c r="C591" i="2"/>
  <c r="B591" i="2"/>
  <c r="A591" i="2"/>
  <c r="J590" i="2"/>
  <c r="I590" i="2"/>
  <c r="H590" i="2"/>
  <c r="G590" i="2"/>
  <c r="F590" i="2"/>
  <c r="E590" i="2"/>
  <c r="D590" i="2"/>
  <c r="C590" i="2"/>
  <c r="B590" i="2"/>
  <c r="A590" i="2"/>
  <c r="J589" i="2"/>
  <c r="I589" i="2"/>
  <c r="H589" i="2"/>
  <c r="G589" i="2"/>
  <c r="F589" i="2"/>
  <c r="E589" i="2"/>
  <c r="D589" i="2"/>
  <c r="C589" i="2"/>
  <c r="B589" i="2"/>
  <c r="A589" i="2"/>
  <c r="J588" i="2"/>
  <c r="I588" i="2"/>
  <c r="H588" i="2"/>
  <c r="G588" i="2"/>
  <c r="F588" i="2"/>
  <c r="E588" i="2"/>
  <c r="D588" i="2"/>
  <c r="C588" i="2"/>
  <c r="B588" i="2"/>
  <c r="A588" i="2"/>
  <c r="J587" i="2"/>
  <c r="I587" i="2"/>
  <c r="H587" i="2"/>
  <c r="G587" i="2"/>
  <c r="F587" i="2"/>
  <c r="E587" i="2"/>
  <c r="D587" i="2"/>
  <c r="C587" i="2"/>
  <c r="B587" i="2"/>
  <c r="A587" i="2"/>
  <c r="J586" i="2"/>
  <c r="I586" i="2"/>
  <c r="H586" i="2"/>
  <c r="G586" i="2"/>
  <c r="F586" i="2"/>
  <c r="E586" i="2"/>
  <c r="D586" i="2"/>
  <c r="C586" i="2"/>
  <c r="B586" i="2"/>
  <c r="A586" i="2"/>
  <c r="J585" i="2"/>
  <c r="I585" i="2"/>
  <c r="H585" i="2"/>
  <c r="G585" i="2"/>
  <c r="F585" i="2"/>
  <c r="E585" i="2"/>
  <c r="D585" i="2"/>
  <c r="C585" i="2"/>
  <c r="B585" i="2"/>
  <c r="A585" i="2"/>
  <c r="J584" i="2"/>
  <c r="I584" i="2"/>
  <c r="H584" i="2"/>
  <c r="G584" i="2"/>
  <c r="F584" i="2"/>
  <c r="E584" i="2"/>
  <c r="D584" i="2"/>
  <c r="C584" i="2"/>
  <c r="B584" i="2"/>
  <c r="A584" i="2"/>
  <c r="J583" i="2"/>
  <c r="I583" i="2"/>
  <c r="H583" i="2"/>
  <c r="G583" i="2"/>
  <c r="F583" i="2"/>
  <c r="E583" i="2"/>
  <c r="D583" i="2"/>
  <c r="C583" i="2"/>
  <c r="B583" i="2"/>
  <c r="A583" i="2"/>
  <c r="J582" i="2"/>
  <c r="I582" i="2"/>
  <c r="H582" i="2"/>
  <c r="G582" i="2"/>
  <c r="F582" i="2"/>
  <c r="E582" i="2"/>
  <c r="D582" i="2"/>
  <c r="C582" i="2"/>
  <c r="B582" i="2"/>
  <c r="A582" i="2"/>
  <c r="J581" i="2"/>
  <c r="I581" i="2"/>
  <c r="H581" i="2"/>
  <c r="G581" i="2"/>
  <c r="F581" i="2"/>
  <c r="E581" i="2"/>
  <c r="D581" i="2"/>
  <c r="C581" i="2"/>
  <c r="B581" i="2"/>
  <c r="A581" i="2"/>
  <c r="J580" i="2"/>
  <c r="I580" i="2"/>
  <c r="H580" i="2"/>
  <c r="G580" i="2"/>
  <c r="F580" i="2"/>
  <c r="E580" i="2"/>
  <c r="D580" i="2"/>
  <c r="C580" i="2"/>
  <c r="B580" i="2"/>
  <c r="A580" i="2"/>
  <c r="J579" i="2"/>
  <c r="I579" i="2"/>
  <c r="H579" i="2"/>
  <c r="G579" i="2"/>
  <c r="F579" i="2"/>
  <c r="E579" i="2"/>
  <c r="D579" i="2"/>
  <c r="C579" i="2"/>
  <c r="B579" i="2"/>
  <c r="A579" i="2"/>
  <c r="J578" i="2"/>
  <c r="I578" i="2"/>
  <c r="H578" i="2"/>
  <c r="G578" i="2"/>
  <c r="F578" i="2"/>
  <c r="E578" i="2"/>
  <c r="D578" i="2"/>
  <c r="C578" i="2"/>
  <c r="B578" i="2"/>
  <c r="A578" i="2"/>
  <c r="J577" i="2"/>
  <c r="I577" i="2"/>
  <c r="H577" i="2"/>
  <c r="G577" i="2"/>
  <c r="F577" i="2"/>
  <c r="E577" i="2"/>
  <c r="D577" i="2"/>
  <c r="C577" i="2"/>
  <c r="B577" i="2"/>
  <c r="A577" i="2"/>
  <c r="J576" i="2"/>
  <c r="I576" i="2"/>
  <c r="H576" i="2"/>
  <c r="G576" i="2"/>
  <c r="F576" i="2"/>
  <c r="E576" i="2"/>
  <c r="D576" i="2"/>
  <c r="C576" i="2"/>
  <c r="B576" i="2"/>
  <c r="A576" i="2"/>
  <c r="J575" i="2"/>
  <c r="I575" i="2"/>
  <c r="H575" i="2"/>
  <c r="G575" i="2"/>
  <c r="F575" i="2"/>
  <c r="E575" i="2"/>
  <c r="D575" i="2"/>
  <c r="C575" i="2"/>
  <c r="B575" i="2"/>
  <c r="A575" i="2"/>
  <c r="J574" i="2"/>
  <c r="I574" i="2"/>
  <c r="H574" i="2"/>
  <c r="G574" i="2"/>
  <c r="F574" i="2"/>
  <c r="E574" i="2"/>
  <c r="D574" i="2"/>
  <c r="C574" i="2"/>
  <c r="B574" i="2"/>
  <c r="A574" i="2"/>
  <c r="J573" i="2"/>
  <c r="I573" i="2"/>
  <c r="H573" i="2"/>
  <c r="G573" i="2"/>
  <c r="F573" i="2"/>
  <c r="E573" i="2"/>
  <c r="D573" i="2"/>
  <c r="C573" i="2"/>
  <c r="B573" i="2"/>
  <c r="A573" i="2"/>
  <c r="J572" i="2"/>
  <c r="I572" i="2"/>
  <c r="H572" i="2"/>
  <c r="G572" i="2"/>
  <c r="F572" i="2"/>
  <c r="E572" i="2"/>
  <c r="D572" i="2"/>
  <c r="C572" i="2"/>
  <c r="B572" i="2"/>
  <c r="A572" i="2"/>
  <c r="J571" i="2"/>
  <c r="I571" i="2"/>
  <c r="H571" i="2"/>
  <c r="G571" i="2"/>
  <c r="F571" i="2"/>
  <c r="E571" i="2"/>
  <c r="D571" i="2"/>
  <c r="C571" i="2"/>
  <c r="B571" i="2"/>
  <c r="A571" i="2"/>
  <c r="J570" i="2"/>
  <c r="I570" i="2"/>
  <c r="H570" i="2"/>
  <c r="G570" i="2"/>
  <c r="F570" i="2"/>
  <c r="E570" i="2"/>
  <c r="D570" i="2"/>
  <c r="C570" i="2"/>
  <c r="B570" i="2"/>
  <c r="A570" i="2"/>
  <c r="J569" i="2"/>
  <c r="I569" i="2"/>
  <c r="H569" i="2"/>
  <c r="G569" i="2"/>
  <c r="F569" i="2"/>
  <c r="E569" i="2"/>
  <c r="D569" i="2"/>
  <c r="C569" i="2"/>
  <c r="B569" i="2"/>
  <c r="A569" i="2"/>
  <c r="J568" i="2"/>
  <c r="I568" i="2"/>
  <c r="H568" i="2"/>
  <c r="G568" i="2"/>
  <c r="F568" i="2"/>
  <c r="E568" i="2"/>
  <c r="D568" i="2"/>
  <c r="C568" i="2"/>
  <c r="B568" i="2"/>
  <c r="A568" i="2"/>
  <c r="J567" i="2"/>
  <c r="I567" i="2"/>
  <c r="H567" i="2"/>
  <c r="G567" i="2"/>
  <c r="F567" i="2"/>
  <c r="E567" i="2"/>
  <c r="D567" i="2"/>
  <c r="C567" i="2"/>
  <c r="B567" i="2"/>
  <c r="A567" i="2"/>
  <c r="J566" i="2"/>
  <c r="I566" i="2"/>
  <c r="H566" i="2"/>
  <c r="G566" i="2"/>
  <c r="F566" i="2"/>
  <c r="E566" i="2"/>
  <c r="D566" i="2"/>
  <c r="C566" i="2"/>
  <c r="B566" i="2"/>
  <c r="A566" i="2"/>
  <c r="J565" i="2"/>
  <c r="I565" i="2"/>
  <c r="H565" i="2"/>
  <c r="G565" i="2"/>
  <c r="F565" i="2"/>
  <c r="E565" i="2"/>
  <c r="D565" i="2"/>
  <c r="C565" i="2"/>
  <c r="B565" i="2"/>
  <c r="A565" i="2"/>
  <c r="J564" i="2"/>
  <c r="I564" i="2"/>
  <c r="H564" i="2"/>
  <c r="G564" i="2"/>
  <c r="F564" i="2"/>
  <c r="E564" i="2"/>
  <c r="D564" i="2"/>
  <c r="C564" i="2"/>
  <c r="B564" i="2"/>
  <c r="A564" i="2"/>
  <c r="J563" i="2"/>
  <c r="I563" i="2"/>
  <c r="H563" i="2"/>
  <c r="G563" i="2"/>
  <c r="F563" i="2"/>
  <c r="E563" i="2"/>
  <c r="D563" i="2"/>
  <c r="C563" i="2"/>
  <c r="B563" i="2"/>
  <c r="A563" i="2"/>
  <c r="J562" i="2"/>
  <c r="I562" i="2"/>
  <c r="H562" i="2"/>
  <c r="G562" i="2"/>
  <c r="F562" i="2"/>
  <c r="E562" i="2"/>
  <c r="D562" i="2"/>
  <c r="C562" i="2"/>
  <c r="B562" i="2"/>
  <c r="A562" i="2"/>
  <c r="J561" i="2"/>
  <c r="I561" i="2"/>
  <c r="H561" i="2"/>
  <c r="G561" i="2"/>
  <c r="F561" i="2"/>
  <c r="E561" i="2"/>
  <c r="D561" i="2"/>
  <c r="C561" i="2"/>
  <c r="B561" i="2"/>
  <c r="A561" i="2"/>
  <c r="J560" i="2"/>
  <c r="I560" i="2"/>
  <c r="H560" i="2"/>
  <c r="G560" i="2"/>
  <c r="F560" i="2"/>
  <c r="E560" i="2"/>
  <c r="D560" i="2"/>
  <c r="C560" i="2"/>
  <c r="B560" i="2"/>
  <c r="A560" i="2"/>
  <c r="J559" i="2"/>
  <c r="I559" i="2"/>
  <c r="H559" i="2"/>
  <c r="G559" i="2"/>
  <c r="F559" i="2"/>
  <c r="E559" i="2"/>
  <c r="D559" i="2"/>
  <c r="C559" i="2"/>
  <c r="B559" i="2"/>
  <c r="A559" i="2"/>
  <c r="J558" i="2"/>
  <c r="I558" i="2"/>
  <c r="H558" i="2"/>
  <c r="G558" i="2"/>
  <c r="F558" i="2"/>
  <c r="E558" i="2"/>
  <c r="D558" i="2"/>
  <c r="C558" i="2"/>
  <c r="B558" i="2"/>
  <c r="A558" i="2"/>
  <c r="J557" i="2"/>
  <c r="I557" i="2"/>
  <c r="H557" i="2"/>
  <c r="G557" i="2"/>
  <c r="F557" i="2"/>
  <c r="E557" i="2"/>
  <c r="D557" i="2"/>
  <c r="C557" i="2"/>
  <c r="B557" i="2"/>
  <c r="A557" i="2"/>
  <c r="J556" i="2"/>
  <c r="I556" i="2"/>
  <c r="H556" i="2"/>
  <c r="G556" i="2"/>
  <c r="F556" i="2"/>
  <c r="E556" i="2"/>
  <c r="D556" i="2"/>
  <c r="C556" i="2"/>
  <c r="B556" i="2"/>
  <c r="A556" i="2"/>
  <c r="J555" i="2"/>
  <c r="I555" i="2"/>
  <c r="H555" i="2"/>
  <c r="G555" i="2"/>
  <c r="F555" i="2"/>
  <c r="E555" i="2"/>
  <c r="D555" i="2"/>
  <c r="C555" i="2"/>
  <c r="B555" i="2"/>
  <c r="A555" i="2"/>
  <c r="J554" i="2"/>
  <c r="I554" i="2"/>
  <c r="H554" i="2"/>
  <c r="G554" i="2"/>
  <c r="F554" i="2"/>
  <c r="E554" i="2"/>
  <c r="D554" i="2"/>
  <c r="C554" i="2"/>
  <c r="B554" i="2"/>
  <c r="A554" i="2"/>
  <c r="J553" i="2"/>
  <c r="I553" i="2"/>
  <c r="H553" i="2"/>
  <c r="G553" i="2"/>
  <c r="F553" i="2"/>
  <c r="E553" i="2"/>
  <c r="D553" i="2"/>
  <c r="C553" i="2"/>
  <c r="B553" i="2"/>
  <c r="A553" i="2"/>
  <c r="J552" i="2"/>
  <c r="I552" i="2"/>
  <c r="H552" i="2"/>
  <c r="G552" i="2"/>
  <c r="F552" i="2"/>
  <c r="E552" i="2"/>
  <c r="D552" i="2"/>
  <c r="C552" i="2"/>
  <c r="B552" i="2"/>
  <c r="A552" i="2"/>
  <c r="J551" i="2"/>
  <c r="I551" i="2"/>
  <c r="H551" i="2"/>
  <c r="G551" i="2"/>
  <c r="F551" i="2"/>
  <c r="E551" i="2"/>
  <c r="D551" i="2"/>
  <c r="C551" i="2"/>
  <c r="B551" i="2"/>
  <c r="A551" i="2"/>
  <c r="J550" i="2"/>
  <c r="I550" i="2"/>
  <c r="H550" i="2"/>
  <c r="G550" i="2"/>
  <c r="F550" i="2"/>
  <c r="E550" i="2"/>
  <c r="D550" i="2"/>
  <c r="C550" i="2"/>
  <c r="B550" i="2"/>
  <c r="A550" i="2"/>
  <c r="J549" i="2"/>
  <c r="I549" i="2"/>
  <c r="H549" i="2"/>
  <c r="G549" i="2"/>
  <c r="F549" i="2"/>
  <c r="E549" i="2"/>
  <c r="D549" i="2"/>
  <c r="C549" i="2"/>
  <c r="B549" i="2"/>
  <c r="A549" i="2"/>
  <c r="J548" i="2"/>
  <c r="I548" i="2"/>
  <c r="H548" i="2"/>
  <c r="G548" i="2"/>
  <c r="F548" i="2"/>
  <c r="E548" i="2"/>
  <c r="D548" i="2"/>
  <c r="C548" i="2"/>
  <c r="B548" i="2"/>
  <c r="A548" i="2"/>
  <c r="J547" i="2"/>
  <c r="I547" i="2"/>
  <c r="H547" i="2"/>
  <c r="G547" i="2"/>
  <c r="F547" i="2"/>
  <c r="E547" i="2"/>
  <c r="D547" i="2"/>
  <c r="C547" i="2"/>
  <c r="B547" i="2"/>
  <c r="A547" i="2"/>
  <c r="J546" i="2"/>
  <c r="I546" i="2"/>
  <c r="H546" i="2"/>
  <c r="G546" i="2"/>
  <c r="F546" i="2"/>
  <c r="E546" i="2"/>
  <c r="D546" i="2"/>
  <c r="C546" i="2"/>
  <c r="B546" i="2"/>
  <c r="A546" i="2"/>
  <c r="J545" i="2"/>
  <c r="I545" i="2"/>
  <c r="H545" i="2"/>
  <c r="G545" i="2"/>
  <c r="F545" i="2"/>
  <c r="E545" i="2"/>
  <c r="D545" i="2"/>
  <c r="C545" i="2"/>
  <c r="B545" i="2"/>
  <c r="A545" i="2"/>
  <c r="J544" i="2"/>
  <c r="I544" i="2"/>
  <c r="H544" i="2"/>
  <c r="G544" i="2"/>
  <c r="F544" i="2"/>
  <c r="E544" i="2"/>
  <c r="D544" i="2"/>
  <c r="C544" i="2"/>
  <c r="B544" i="2"/>
  <c r="A544" i="2"/>
  <c r="J543" i="2"/>
  <c r="I543" i="2"/>
  <c r="H543" i="2"/>
  <c r="G543" i="2"/>
  <c r="F543" i="2"/>
  <c r="E543" i="2"/>
  <c r="D543" i="2"/>
  <c r="C543" i="2"/>
  <c r="B543" i="2"/>
  <c r="A543" i="2"/>
  <c r="J542" i="2"/>
  <c r="I542" i="2"/>
  <c r="H542" i="2"/>
  <c r="G542" i="2"/>
  <c r="F542" i="2"/>
  <c r="E542" i="2"/>
  <c r="D542" i="2"/>
  <c r="C542" i="2"/>
  <c r="B542" i="2"/>
  <c r="A542" i="2"/>
  <c r="J541" i="2"/>
  <c r="I541" i="2"/>
  <c r="H541" i="2"/>
  <c r="G541" i="2"/>
  <c r="F541" i="2"/>
  <c r="E541" i="2"/>
  <c r="D541" i="2"/>
  <c r="C541" i="2"/>
  <c r="B541" i="2"/>
  <c r="A541" i="2"/>
  <c r="J540" i="2"/>
  <c r="I540" i="2"/>
  <c r="H540" i="2"/>
  <c r="G540" i="2"/>
  <c r="F540" i="2"/>
  <c r="E540" i="2"/>
  <c r="D540" i="2"/>
  <c r="C540" i="2"/>
  <c r="B540" i="2"/>
  <c r="A540" i="2"/>
  <c r="J539" i="2"/>
  <c r="I539" i="2"/>
  <c r="H539" i="2"/>
  <c r="G539" i="2"/>
  <c r="F539" i="2"/>
  <c r="E539" i="2"/>
  <c r="D539" i="2"/>
  <c r="C539" i="2"/>
  <c r="B539" i="2"/>
  <c r="A539" i="2"/>
  <c r="J538" i="2"/>
  <c r="I538" i="2"/>
  <c r="H538" i="2"/>
  <c r="G538" i="2"/>
  <c r="F538" i="2"/>
  <c r="E538" i="2"/>
  <c r="D538" i="2"/>
  <c r="C538" i="2"/>
  <c r="B538" i="2"/>
  <c r="A538" i="2"/>
  <c r="J537" i="2"/>
  <c r="I537" i="2"/>
  <c r="H537" i="2"/>
  <c r="G537" i="2"/>
  <c r="F537" i="2"/>
  <c r="E537" i="2"/>
  <c r="D537" i="2"/>
  <c r="C537" i="2"/>
  <c r="B537" i="2"/>
  <c r="A537" i="2"/>
  <c r="J536" i="2"/>
  <c r="I536" i="2"/>
  <c r="H536" i="2"/>
  <c r="G536" i="2"/>
  <c r="F536" i="2"/>
  <c r="E536" i="2"/>
  <c r="D536" i="2"/>
  <c r="C536" i="2"/>
  <c r="B536" i="2"/>
  <c r="A536" i="2"/>
  <c r="J535" i="2"/>
  <c r="I535" i="2"/>
  <c r="H535" i="2"/>
  <c r="G535" i="2"/>
  <c r="F535" i="2"/>
  <c r="E535" i="2"/>
  <c r="D535" i="2"/>
  <c r="C535" i="2"/>
  <c r="B535" i="2"/>
  <c r="A535" i="2"/>
  <c r="J534" i="2"/>
  <c r="I534" i="2"/>
  <c r="H534" i="2"/>
  <c r="G534" i="2"/>
  <c r="F534" i="2"/>
  <c r="E534" i="2"/>
  <c r="D534" i="2"/>
  <c r="C534" i="2"/>
  <c r="B534" i="2"/>
  <c r="A534" i="2"/>
  <c r="J533" i="2"/>
  <c r="I533" i="2"/>
  <c r="H533" i="2"/>
  <c r="G533" i="2"/>
  <c r="F533" i="2"/>
  <c r="E533" i="2"/>
  <c r="D533" i="2"/>
  <c r="C533" i="2"/>
  <c r="B533" i="2"/>
  <c r="A533" i="2"/>
  <c r="J532" i="2"/>
  <c r="I532" i="2"/>
  <c r="H532" i="2"/>
  <c r="G532" i="2"/>
  <c r="F532" i="2"/>
  <c r="E532" i="2"/>
  <c r="D532" i="2"/>
  <c r="C532" i="2"/>
  <c r="B532" i="2"/>
  <c r="A532" i="2"/>
  <c r="J531" i="2"/>
  <c r="I531" i="2"/>
  <c r="H531" i="2"/>
  <c r="G531" i="2"/>
  <c r="F531" i="2"/>
  <c r="E531" i="2"/>
  <c r="D531" i="2"/>
  <c r="C531" i="2"/>
  <c r="B531" i="2"/>
  <c r="A531" i="2"/>
  <c r="J530" i="2"/>
  <c r="I530" i="2"/>
  <c r="H530" i="2"/>
  <c r="G530" i="2"/>
  <c r="F530" i="2"/>
  <c r="E530" i="2"/>
  <c r="D530" i="2"/>
  <c r="C530" i="2"/>
  <c r="B530" i="2"/>
  <c r="A530" i="2"/>
  <c r="J529" i="2"/>
  <c r="I529" i="2"/>
  <c r="H529" i="2"/>
  <c r="G529" i="2"/>
  <c r="F529" i="2"/>
  <c r="E529" i="2"/>
  <c r="D529" i="2"/>
  <c r="C529" i="2"/>
  <c r="B529" i="2"/>
  <c r="A529" i="2"/>
  <c r="J528" i="2"/>
  <c r="I528" i="2"/>
  <c r="H528" i="2"/>
  <c r="G528" i="2"/>
  <c r="F528" i="2"/>
  <c r="E528" i="2"/>
  <c r="D528" i="2"/>
  <c r="C528" i="2"/>
  <c r="B528" i="2"/>
  <c r="A528" i="2"/>
  <c r="J527" i="2"/>
  <c r="I527" i="2"/>
  <c r="H527" i="2"/>
  <c r="G527" i="2"/>
  <c r="F527" i="2"/>
  <c r="E527" i="2"/>
  <c r="D527" i="2"/>
  <c r="C527" i="2"/>
  <c r="B527" i="2"/>
  <c r="A527" i="2"/>
  <c r="J526" i="2"/>
  <c r="I526" i="2"/>
  <c r="H526" i="2"/>
  <c r="G526" i="2"/>
  <c r="F526" i="2"/>
  <c r="E526" i="2"/>
  <c r="D526" i="2"/>
  <c r="C526" i="2"/>
  <c r="B526" i="2"/>
  <c r="A526" i="2"/>
  <c r="J525" i="2"/>
  <c r="I525" i="2"/>
  <c r="H525" i="2"/>
  <c r="G525" i="2"/>
  <c r="F525" i="2"/>
  <c r="E525" i="2"/>
  <c r="D525" i="2"/>
  <c r="C525" i="2"/>
  <c r="B525" i="2"/>
  <c r="A525" i="2"/>
  <c r="J524" i="2"/>
  <c r="I524" i="2"/>
  <c r="H524" i="2"/>
  <c r="G524" i="2"/>
  <c r="F524" i="2"/>
  <c r="E524" i="2"/>
  <c r="D524" i="2"/>
  <c r="C524" i="2"/>
  <c r="B524" i="2"/>
  <c r="A524" i="2"/>
  <c r="J523" i="2"/>
  <c r="I523" i="2"/>
  <c r="H523" i="2"/>
  <c r="G523" i="2"/>
  <c r="F523" i="2"/>
  <c r="E523" i="2"/>
  <c r="D523" i="2"/>
  <c r="C523" i="2"/>
  <c r="B523" i="2"/>
  <c r="A523" i="2"/>
  <c r="J522" i="2"/>
  <c r="I522" i="2"/>
  <c r="H522" i="2"/>
  <c r="G522" i="2"/>
  <c r="F522" i="2"/>
  <c r="E522" i="2"/>
  <c r="D522" i="2"/>
  <c r="C522" i="2"/>
  <c r="B522" i="2"/>
  <c r="A522" i="2"/>
  <c r="J521" i="2"/>
  <c r="I521" i="2"/>
  <c r="H521" i="2"/>
  <c r="G521" i="2"/>
  <c r="F521" i="2"/>
  <c r="E521" i="2"/>
  <c r="D521" i="2"/>
  <c r="C521" i="2"/>
  <c r="B521" i="2"/>
  <c r="A521" i="2"/>
  <c r="J520" i="2"/>
  <c r="I520" i="2"/>
  <c r="H520" i="2"/>
  <c r="G520" i="2"/>
  <c r="F520" i="2"/>
  <c r="E520" i="2"/>
  <c r="D520" i="2"/>
  <c r="C520" i="2"/>
  <c r="B520" i="2"/>
  <c r="A520" i="2"/>
  <c r="J519" i="2"/>
  <c r="I519" i="2"/>
  <c r="H519" i="2"/>
  <c r="G519" i="2"/>
  <c r="F519" i="2"/>
  <c r="E519" i="2"/>
  <c r="D519" i="2"/>
  <c r="C519" i="2"/>
  <c r="B519" i="2"/>
  <c r="A519" i="2"/>
  <c r="J518" i="2"/>
  <c r="I518" i="2"/>
  <c r="H518" i="2"/>
  <c r="G518" i="2"/>
  <c r="F518" i="2"/>
  <c r="E518" i="2"/>
  <c r="D518" i="2"/>
  <c r="C518" i="2"/>
  <c r="B518" i="2"/>
  <c r="A518" i="2"/>
  <c r="J517" i="2"/>
  <c r="I517" i="2"/>
  <c r="H517" i="2"/>
  <c r="G517" i="2"/>
  <c r="F517" i="2"/>
  <c r="E517" i="2"/>
  <c r="D517" i="2"/>
  <c r="C517" i="2"/>
  <c r="B517" i="2"/>
  <c r="A517" i="2"/>
  <c r="J516" i="2"/>
  <c r="I516" i="2"/>
  <c r="H516" i="2"/>
  <c r="G516" i="2"/>
  <c r="F516" i="2"/>
  <c r="E516" i="2"/>
  <c r="D516" i="2"/>
  <c r="C516" i="2"/>
  <c r="B516" i="2"/>
  <c r="A516" i="2"/>
  <c r="J515" i="2"/>
  <c r="I515" i="2"/>
  <c r="H515" i="2"/>
  <c r="G515" i="2"/>
  <c r="F515" i="2"/>
  <c r="E515" i="2"/>
  <c r="D515" i="2"/>
  <c r="C515" i="2"/>
  <c r="B515" i="2"/>
  <c r="A515" i="2"/>
  <c r="J514" i="2"/>
  <c r="I514" i="2"/>
  <c r="H514" i="2"/>
  <c r="G514" i="2"/>
  <c r="F514" i="2"/>
  <c r="E514" i="2"/>
  <c r="D514" i="2"/>
  <c r="C514" i="2"/>
  <c r="B514" i="2"/>
  <c r="A514" i="2"/>
  <c r="J513" i="2"/>
  <c r="I513" i="2"/>
  <c r="H513" i="2"/>
  <c r="G513" i="2"/>
  <c r="F513" i="2"/>
  <c r="E513" i="2"/>
  <c r="D513" i="2"/>
  <c r="C513" i="2"/>
  <c r="B513" i="2"/>
  <c r="A513" i="2"/>
  <c r="J512" i="2"/>
  <c r="I512" i="2"/>
  <c r="H512" i="2"/>
  <c r="G512" i="2"/>
  <c r="F512" i="2"/>
  <c r="E512" i="2"/>
  <c r="D512" i="2"/>
  <c r="C512" i="2"/>
  <c r="B512" i="2"/>
  <c r="A512" i="2"/>
  <c r="J511" i="2"/>
  <c r="I511" i="2"/>
  <c r="H511" i="2"/>
  <c r="G511" i="2"/>
  <c r="F511" i="2"/>
  <c r="E511" i="2"/>
  <c r="D511" i="2"/>
  <c r="C511" i="2"/>
  <c r="B511" i="2"/>
  <c r="A511" i="2"/>
  <c r="J510" i="2"/>
  <c r="I510" i="2"/>
  <c r="H510" i="2"/>
  <c r="G510" i="2"/>
  <c r="F510" i="2"/>
  <c r="E510" i="2"/>
  <c r="D510" i="2"/>
  <c r="C510" i="2"/>
  <c r="B510" i="2"/>
  <c r="A510" i="2"/>
  <c r="J509" i="2"/>
  <c r="I509" i="2"/>
  <c r="H509" i="2"/>
  <c r="G509" i="2"/>
  <c r="F509" i="2"/>
  <c r="E509" i="2"/>
  <c r="D509" i="2"/>
  <c r="C509" i="2"/>
  <c r="B509" i="2"/>
  <c r="A509" i="2"/>
  <c r="J508" i="2"/>
  <c r="I508" i="2"/>
  <c r="H508" i="2"/>
  <c r="G508" i="2"/>
  <c r="F508" i="2"/>
  <c r="E508" i="2"/>
  <c r="D508" i="2"/>
  <c r="C508" i="2"/>
  <c r="B508" i="2"/>
  <c r="A508" i="2"/>
  <c r="J507" i="2"/>
  <c r="I507" i="2"/>
  <c r="H507" i="2"/>
  <c r="G507" i="2"/>
  <c r="F507" i="2"/>
  <c r="E507" i="2"/>
  <c r="D507" i="2"/>
  <c r="C507" i="2"/>
  <c r="B507" i="2"/>
  <c r="A507" i="2"/>
  <c r="J506" i="2"/>
  <c r="I506" i="2"/>
  <c r="H506" i="2"/>
  <c r="G506" i="2"/>
  <c r="F506" i="2"/>
  <c r="E506" i="2"/>
  <c r="D506" i="2"/>
  <c r="C506" i="2"/>
  <c r="B506" i="2"/>
  <c r="A506" i="2"/>
  <c r="J505" i="2"/>
  <c r="I505" i="2"/>
  <c r="H505" i="2"/>
  <c r="G505" i="2"/>
  <c r="F505" i="2"/>
  <c r="E505" i="2"/>
  <c r="D505" i="2"/>
  <c r="C505" i="2"/>
  <c r="B505" i="2"/>
  <c r="A505" i="2"/>
  <c r="J504" i="2"/>
  <c r="I504" i="2"/>
  <c r="H504" i="2"/>
  <c r="G504" i="2"/>
  <c r="F504" i="2"/>
  <c r="E504" i="2"/>
  <c r="D504" i="2"/>
  <c r="C504" i="2"/>
  <c r="B504" i="2"/>
  <c r="A504" i="2"/>
  <c r="J503" i="2"/>
  <c r="I503" i="2"/>
  <c r="H503" i="2"/>
  <c r="G503" i="2"/>
  <c r="F503" i="2"/>
  <c r="E503" i="2"/>
  <c r="D503" i="2"/>
  <c r="C503" i="2"/>
  <c r="B503" i="2"/>
  <c r="A503" i="2"/>
  <c r="J502" i="2"/>
  <c r="I502" i="2"/>
  <c r="H502" i="2"/>
  <c r="G502" i="2"/>
  <c r="F502" i="2"/>
  <c r="E502" i="2"/>
  <c r="D502" i="2"/>
  <c r="C502" i="2"/>
  <c r="B502" i="2"/>
  <c r="A502" i="2"/>
  <c r="J501" i="2"/>
  <c r="I501" i="2"/>
  <c r="H501" i="2"/>
  <c r="G501" i="2"/>
  <c r="F501" i="2"/>
  <c r="E501" i="2"/>
  <c r="D501" i="2"/>
  <c r="C501" i="2"/>
  <c r="B501" i="2"/>
  <c r="A501" i="2"/>
  <c r="J500" i="2"/>
  <c r="I500" i="2"/>
  <c r="H500" i="2"/>
  <c r="G500" i="2"/>
  <c r="F500" i="2"/>
  <c r="E500" i="2"/>
  <c r="D500" i="2"/>
  <c r="C500" i="2"/>
  <c r="B500" i="2"/>
  <c r="A500" i="2"/>
  <c r="J499" i="2"/>
  <c r="I499" i="2"/>
  <c r="H499" i="2"/>
  <c r="G499" i="2"/>
  <c r="F499" i="2"/>
  <c r="E499" i="2"/>
  <c r="D499" i="2"/>
  <c r="C499" i="2"/>
  <c r="B499" i="2"/>
  <c r="A499" i="2"/>
  <c r="J498" i="2"/>
  <c r="I498" i="2"/>
  <c r="H498" i="2"/>
  <c r="G498" i="2"/>
  <c r="F498" i="2"/>
  <c r="E498" i="2"/>
  <c r="D498" i="2"/>
  <c r="C498" i="2"/>
  <c r="B498" i="2"/>
  <c r="A498" i="2"/>
  <c r="J497" i="2"/>
  <c r="I497" i="2"/>
  <c r="H497" i="2"/>
  <c r="G497" i="2"/>
  <c r="F497" i="2"/>
  <c r="E497" i="2"/>
  <c r="D497" i="2"/>
  <c r="C497" i="2"/>
  <c r="B497" i="2"/>
  <c r="A497" i="2"/>
  <c r="J496" i="2"/>
  <c r="I496" i="2"/>
  <c r="H496" i="2"/>
  <c r="G496" i="2"/>
  <c r="F496" i="2"/>
  <c r="E496" i="2"/>
  <c r="D496" i="2"/>
  <c r="C496" i="2"/>
  <c r="B496" i="2"/>
  <c r="A496" i="2"/>
  <c r="J495" i="2"/>
  <c r="I495" i="2"/>
  <c r="H495" i="2"/>
  <c r="G495" i="2"/>
  <c r="F495" i="2"/>
  <c r="E495" i="2"/>
  <c r="D495" i="2"/>
  <c r="C495" i="2"/>
  <c r="B495" i="2"/>
  <c r="A495" i="2"/>
  <c r="J494" i="2"/>
  <c r="I494" i="2"/>
  <c r="H494" i="2"/>
  <c r="G494" i="2"/>
  <c r="F494" i="2"/>
  <c r="E494" i="2"/>
  <c r="D494" i="2"/>
  <c r="C494" i="2"/>
  <c r="B494" i="2"/>
  <c r="A494" i="2"/>
  <c r="J493" i="2"/>
  <c r="I493" i="2"/>
  <c r="H493" i="2"/>
  <c r="G493" i="2"/>
  <c r="F493" i="2"/>
  <c r="E493" i="2"/>
  <c r="D493" i="2"/>
  <c r="C493" i="2"/>
  <c r="B493" i="2"/>
  <c r="A493" i="2"/>
  <c r="J492" i="2"/>
  <c r="I492" i="2"/>
  <c r="H492" i="2"/>
  <c r="G492" i="2"/>
  <c r="F492" i="2"/>
  <c r="E492" i="2"/>
  <c r="D492" i="2"/>
  <c r="C492" i="2"/>
  <c r="B492" i="2"/>
  <c r="A492" i="2"/>
  <c r="J491" i="2"/>
  <c r="I491" i="2"/>
  <c r="H491" i="2"/>
  <c r="G491" i="2"/>
  <c r="F491" i="2"/>
  <c r="E491" i="2"/>
  <c r="D491" i="2"/>
  <c r="C491" i="2"/>
  <c r="B491" i="2"/>
  <c r="A491" i="2"/>
  <c r="J490" i="2"/>
  <c r="I490" i="2"/>
  <c r="H490" i="2"/>
  <c r="G490" i="2"/>
  <c r="F490" i="2"/>
  <c r="E490" i="2"/>
  <c r="D490" i="2"/>
  <c r="C490" i="2"/>
  <c r="B490" i="2"/>
  <c r="A490" i="2"/>
  <c r="J489" i="2"/>
  <c r="I489" i="2"/>
  <c r="H489" i="2"/>
  <c r="G489" i="2"/>
  <c r="F489" i="2"/>
  <c r="E489" i="2"/>
  <c r="D489" i="2"/>
  <c r="C489" i="2"/>
  <c r="B489" i="2"/>
  <c r="A489" i="2"/>
  <c r="J488" i="2"/>
  <c r="I488" i="2"/>
  <c r="H488" i="2"/>
  <c r="G488" i="2"/>
  <c r="F488" i="2"/>
  <c r="E488" i="2"/>
  <c r="D488" i="2"/>
  <c r="C488" i="2"/>
  <c r="B488" i="2"/>
  <c r="A488" i="2"/>
  <c r="J487" i="2"/>
  <c r="I487" i="2"/>
  <c r="H487" i="2"/>
  <c r="G487" i="2"/>
  <c r="F487" i="2"/>
  <c r="E487" i="2"/>
  <c r="D487" i="2"/>
  <c r="C487" i="2"/>
  <c r="B487" i="2"/>
  <c r="A487" i="2"/>
  <c r="J486" i="2"/>
  <c r="I486" i="2"/>
  <c r="H486" i="2"/>
  <c r="G486" i="2"/>
  <c r="F486" i="2"/>
  <c r="E486" i="2"/>
  <c r="D486" i="2"/>
  <c r="C486" i="2"/>
  <c r="B486" i="2"/>
  <c r="A486" i="2"/>
  <c r="J485" i="2"/>
  <c r="I485" i="2"/>
  <c r="H485" i="2"/>
  <c r="G485" i="2"/>
  <c r="F485" i="2"/>
  <c r="E485" i="2"/>
  <c r="D485" i="2"/>
  <c r="C485" i="2"/>
  <c r="B485" i="2"/>
  <c r="A485" i="2"/>
  <c r="J484" i="2"/>
  <c r="I484" i="2"/>
  <c r="H484" i="2"/>
  <c r="G484" i="2"/>
  <c r="F484" i="2"/>
  <c r="E484" i="2"/>
  <c r="D484" i="2"/>
  <c r="C484" i="2"/>
  <c r="B484" i="2"/>
  <c r="A484" i="2"/>
  <c r="J483" i="2"/>
  <c r="I483" i="2"/>
  <c r="H483" i="2"/>
  <c r="G483" i="2"/>
  <c r="F483" i="2"/>
  <c r="E483" i="2"/>
  <c r="D483" i="2"/>
  <c r="C483" i="2"/>
  <c r="B483" i="2"/>
  <c r="A483" i="2"/>
  <c r="J482" i="2"/>
  <c r="I482" i="2"/>
  <c r="H482" i="2"/>
  <c r="G482" i="2"/>
  <c r="F482" i="2"/>
  <c r="E482" i="2"/>
  <c r="D482" i="2"/>
  <c r="C482" i="2"/>
  <c r="B482" i="2"/>
  <c r="A482" i="2"/>
  <c r="J481" i="2"/>
  <c r="I481" i="2"/>
  <c r="H481" i="2"/>
  <c r="G481" i="2"/>
  <c r="F481" i="2"/>
  <c r="E481" i="2"/>
  <c r="D481" i="2"/>
  <c r="C481" i="2"/>
  <c r="B481" i="2"/>
  <c r="A481" i="2"/>
  <c r="J480" i="2"/>
  <c r="I480" i="2"/>
  <c r="H480" i="2"/>
  <c r="G480" i="2"/>
  <c r="F480" i="2"/>
  <c r="E480" i="2"/>
  <c r="D480" i="2"/>
  <c r="C480" i="2"/>
  <c r="B480" i="2"/>
  <c r="A480" i="2"/>
  <c r="J479" i="2"/>
  <c r="I479" i="2"/>
  <c r="H479" i="2"/>
  <c r="G479" i="2"/>
  <c r="F479" i="2"/>
  <c r="E479" i="2"/>
  <c r="D479" i="2"/>
  <c r="C479" i="2"/>
  <c r="B479" i="2"/>
  <c r="A479" i="2"/>
  <c r="J478" i="2"/>
  <c r="I478" i="2"/>
  <c r="H478" i="2"/>
  <c r="G478" i="2"/>
  <c r="F478" i="2"/>
  <c r="E478" i="2"/>
  <c r="D478" i="2"/>
  <c r="C478" i="2"/>
  <c r="B478" i="2"/>
  <c r="A478" i="2"/>
  <c r="J477" i="2"/>
  <c r="I477" i="2"/>
  <c r="H477" i="2"/>
  <c r="G477" i="2"/>
  <c r="F477" i="2"/>
  <c r="E477" i="2"/>
  <c r="D477" i="2"/>
  <c r="C477" i="2"/>
  <c r="B477" i="2"/>
  <c r="A477" i="2"/>
  <c r="J476" i="2"/>
  <c r="I476" i="2"/>
  <c r="H476" i="2"/>
  <c r="G476" i="2"/>
  <c r="F476" i="2"/>
  <c r="E476" i="2"/>
  <c r="D476" i="2"/>
  <c r="C476" i="2"/>
  <c r="B476" i="2"/>
  <c r="A476" i="2"/>
  <c r="J475" i="2"/>
  <c r="I475" i="2"/>
  <c r="H475" i="2"/>
  <c r="G475" i="2"/>
  <c r="F475" i="2"/>
  <c r="E475" i="2"/>
  <c r="D475" i="2"/>
  <c r="C475" i="2"/>
  <c r="B475" i="2"/>
  <c r="A475" i="2"/>
  <c r="J474" i="2"/>
  <c r="I474" i="2"/>
  <c r="H474" i="2"/>
  <c r="G474" i="2"/>
  <c r="F474" i="2"/>
  <c r="E474" i="2"/>
  <c r="D474" i="2"/>
  <c r="C474" i="2"/>
  <c r="B474" i="2"/>
  <c r="A474" i="2"/>
  <c r="J473" i="2"/>
  <c r="I473" i="2"/>
  <c r="H473" i="2"/>
  <c r="G473" i="2"/>
  <c r="F473" i="2"/>
  <c r="E473" i="2"/>
  <c r="D473" i="2"/>
  <c r="C473" i="2"/>
  <c r="B473" i="2"/>
  <c r="A473" i="2"/>
  <c r="J472" i="2"/>
  <c r="I472" i="2"/>
  <c r="H472" i="2"/>
  <c r="G472" i="2"/>
  <c r="F472" i="2"/>
  <c r="E472" i="2"/>
  <c r="D472" i="2"/>
  <c r="C472" i="2"/>
  <c r="B472" i="2"/>
  <c r="A472" i="2"/>
  <c r="J471" i="2"/>
  <c r="I471" i="2"/>
  <c r="H471" i="2"/>
  <c r="G471" i="2"/>
  <c r="F471" i="2"/>
  <c r="E471" i="2"/>
  <c r="D471" i="2"/>
  <c r="C471" i="2"/>
  <c r="B471" i="2"/>
  <c r="A471" i="2"/>
  <c r="J470" i="2"/>
  <c r="I470" i="2"/>
  <c r="H470" i="2"/>
  <c r="G470" i="2"/>
  <c r="F470" i="2"/>
  <c r="E470" i="2"/>
  <c r="D470" i="2"/>
  <c r="C470" i="2"/>
  <c r="B470" i="2"/>
  <c r="A470" i="2"/>
  <c r="J469" i="2"/>
  <c r="I469" i="2"/>
  <c r="H469" i="2"/>
  <c r="G469" i="2"/>
  <c r="F469" i="2"/>
  <c r="E469" i="2"/>
  <c r="D469" i="2"/>
  <c r="C469" i="2"/>
  <c r="B469" i="2"/>
  <c r="A469" i="2"/>
  <c r="J468" i="2"/>
  <c r="I468" i="2"/>
  <c r="H468" i="2"/>
  <c r="G468" i="2"/>
  <c r="F468" i="2"/>
  <c r="E468" i="2"/>
  <c r="D468" i="2"/>
  <c r="C468" i="2"/>
  <c r="B468" i="2"/>
  <c r="A468" i="2"/>
  <c r="J467" i="2"/>
  <c r="I467" i="2"/>
  <c r="H467" i="2"/>
  <c r="G467" i="2"/>
  <c r="F467" i="2"/>
  <c r="E467" i="2"/>
  <c r="D467" i="2"/>
  <c r="C467" i="2"/>
  <c r="B467" i="2"/>
  <c r="A467" i="2"/>
  <c r="J466" i="2"/>
  <c r="I466" i="2"/>
  <c r="H466" i="2"/>
  <c r="G466" i="2"/>
  <c r="F466" i="2"/>
  <c r="E466" i="2"/>
  <c r="D466" i="2"/>
  <c r="C466" i="2"/>
  <c r="B466" i="2"/>
  <c r="A466" i="2"/>
  <c r="J465" i="2"/>
  <c r="I465" i="2"/>
  <c r="H465" i="2"/>
  <c r="G465" i="2"/>
  <c r="F465" i="2"/>
  <c r="E465" i="2"/>
  <c r="D465" i="2"/>
  <c r="C465" i="2"/>
  <c r="B465" i="2"/>
  <c r="A465" i="2"/>
  <c r="J464" i="2"/>
  <c r="I464" i="2"/>
  <c r="H464" i="2"/>
  <c r="G464" i="2"/>
  <c r="F464" i="2"/>
  <c r="E464" i="2"/>
  <c r="D464" i="2"/>
  <c r="C464" i="2"/>
  <c r="B464" i="2"/>
  <c r="A464" i="2"/>
  <c r="J463" i="2"/>
  <c r="I463" i="2"/>
  <c r="H463" i="2"/>
  <c r="G463" i="2"/>
  <c r="F463" i="2"/>
  <c r="E463" i="2"/>
  <c r="D463" i="2"/>
  <c r="C463" i="2"/>
  <c r="B463" i="2"/>
  <c r="A463" i="2"/>
  <c r="J462" i="2"/>
  <c r="I462" i="2"/>
  <c r="H462" i="2"/>
  <c r="G462" i="2"/>
  <c r="F462" i="2"/>
  <c r="E462" i="2"/>
  <c r="D462" i="2"/>
  <c r="C462" i="2"/>
  <c r="B462" i="2"/>
  <c r="A462" i="2"/>
  <c r="J461" i="2"/>
  <c r="I461" i="2"/>
  <c r="H461" i="2"/>
  <c r="G461" i="2"/>
  <c r="F461" i="2"/>
  <c r="E461" i="2"/>
  <c r="D461" i="2"/>
  <c r="C461" i="2"/>
  <c r="B461" i="2"/>
  <c r="A461" i="2"/>
  <c r="J460" i="2"/>
  <c r="I460" i="2"/>
  <c r="H460" i="2"/>
  <c r="G460" i="2"/>
  <c r="F460" i="2"/>
  <c r="E460" i="2"/>
  <c r="D460" i="2"/>
  <c r="C460" i="2"/>
  <c r="B460" i="2"/>
  <c r="A460" i="2"/>
  <c r="J459" i="2"/>
  <c r="I459" i="2"/>
  <c r="H459" i="2"/>
  <c r="G459" i="2"/>
  <c r="F459" i="2"/>
  <c r="E459" i="2"/>
  <c r="D459" i="2"/>
  <c r="C459" i="2"/>
  <c r="B459" i="2"/>
  <c r="A459" i="2"/>
  <c r="J458" i="2"/>
  <c r="I458" i="2"/>
  <c r="H458" i="2"/>
  <c r="G458" i="2"/>
  <c r="F458" i="2"/>
  <c r="E458" i="2"/>
  <c r="D458" i="2"/>
  <c r="C458" i="2"/>
  <c r="B458" i="2"/>
  <c r="A458" i="2"/>
  <c r="J457" i="2"/>
  <c r="I457" i="2"/>
  <c r="H457" i="2"/>
  <c r="G457" i="2"/>
  <c r="F457" i="2"/>
  <c r="E457" i="2"/>
  <c r="D457" i="2"/>
  <c r="C457" i="2"/>
  <c r="B457" i="2"/>
  <c r="A457" i="2"/>
  <c r="J456" i="2"/>
  <c r="I456" i="2"/>
  <c r="H456" i="2"/>
  <c r="G456" i="2"/>
  <c r="F456" i="2"/>
  <c r="E456" i="2"/>
  <c r="D456" i="2"/>
  <c r="C456" i="2"/>
  <c r="B456" i="2"/>
  <c r="A456" i="2"/>
  <c r="J455" i="2"/>
  <c r="I455" i="2"/>
  <c r="H455" i="2"/>
  <c r="G455" i="2"/>
  <c r="F455" i="2"/>
  <c r="E455" i="2"/>
  <c r="D455" i="2"/>
  <c r="C455" i="2"/>
  <c r="B455" i="2"/>
  <c r="A455" i="2"/>
  <c r="J454" i="2"/>
  <c r="I454" i="2"/>
  <c r="H454" i="2"/>
  <c r="G454" i="2"/>
  <c r="F454" i="2"/>
  <c r="E454" i="2"/>
  <c r="D454" i="2"/>
  <c r="C454" i="2"/>
  <c r="B454" i="2"/>
  <c r="A454" i="2"/>
  <c r="J453" i="2"/>
  <c r="I453" i="2"/>
  <c r="H453" i="2"/>
  <c r="G453" i="2"/>
  <c r="F453" i="2"/>
  <c r="E453" i="2"/>
  <c r="D453" i="2"/>
  <c r="C453" i="2"/>
  <c r="B453" i="2"/>
  <c r="A453" i="2"/>
  <c r="J452" i="2"/>
  <c r="I452" i="2"/>
  <c r="H452" i="2"/>
  <c r="G452" i="2"/>
  <c r="F452" i="2"/>
  <c r="E452" i="2"/>
  <c r="D452" i="2"/>
  <c r="C452" i="2"/>
  <c r="B452" i="2"/>
  <c r="A452" i="2"/>
  <c r="J451" i="2"/>
  <c r="I451" i="2"/>
  <c r="H451" i="2"/>
  <c r="G451" i="2"/>
  <c r="F451" i="2"/>
  <c r="E451" i="2"/>
  <c r="D451" i="2"/>
  <c r="C451" i="2"/>
  <c r="B451" i="2"/>
  <c r="A451" i="2"/>
  <c r="J450" i="2"/>
  <c r="I450" i="2"/>
  <c r="H450" i="2"/>
  <c r="G450" i="2"/>
  <c r="F450" i="2"/>
  <c r="E450" i="2"/>
  <c r="D450" i="2"/>
  <c r="C450" i="2"/>
  <c r="B450" i="2"/>
  <c r="A450" i="2"/>
  <c r="J449" i="2"/>
  <c r="I449" i="2"/>
  <c r="H449" i="2"/>
  <c r="G449" i="2"/>
  <c r="F449" i="2"/>
  <c r="E449" i="2"/>
  <c r="D449" i="2"/>
  <c r="C449" i="2"/>
  <c r="B449" i="2"/>
  <c r="A449" i="2"/>
  <c r="J448" i="2"/>
  <c r="I448" i="2"/>
  <c r="H448" i="2"/>
  <c r="G448" i="2"/>
  <c r="F448" i="2"/>
  <c r="E448" i="2"/>
  <c r="D448" i="2"/>
  <c r="C448" i="2"/>
  <c r="B448" i="2"/>
  <c r="A448" i="2"/>
  <c r="J447" i="2"/>
  <c r="I447" i="2"/>
  <c r="H447" i="2"/>
  <c r="G447" i="2"/>
  <c r="F447" i="2"/>
  <c r="E447" i="2"/>
  <c r="D447" i="2"/>
  <c r="C447" i="2"/>
  <c r="B447" i="2"/>
  <c r="A447" i="2"/>
  <c r="J446" i="2"/>
  <c r="I446" i="2"/>
  <c r="H446" i="2"/>
  <c r="G446" i="2"/>
  <c r="F446" i="2"/>
  <c r="E446" i="2"/>
  <c r="D446" i="2"/>
  <c r="C446" i="2"/>
  <c r="B446" i="2"/>
  <c r="A446" i="2"/>
  <c r="J445" i="2"/>
  <c r="I445" i="2"/>
  <c r="H445" i="2"/>
  <c r="G445" i="2"/>
  <c r="F445" i="2"/>
  <c r="E445" i="2"/>
  <c r="D445" i="2"/>
  <c r="C445" i="2"/>
  <c r="B445" i="2"/>
  <c r="A445" i="2"/>
  <c r="J444" i="2"/>
  <c r="I444" i="2"/>
  <c r="H444" i="2"/>
  <c r="G444" i="2"/>
  <c r="F444" i="2"/>
  <c r="E444" i="2"/>
  <c r="D444" i="2"/>
  <c r="C444" i="2"/>
  <c r="B444" i="2"/>
  <c r="A444" i="2"/>
  <c r="J443" i="2"/>
  <c r="I443" i="2"/>
  <c r="H443" i="2"/>
  <c r="G443" i="2"/>
  <c r="F443" i="2"/>
  <c r="E443" i="2"/>
  <c r="D443" i="2"/>
  <c r="C443" i="2"/>
  <c r="B443" i="2"/>
  <c r="A443" i="2"/>
  <c r="J442" i="2"/>
  <c r="I442" i="2"/>
  <c r="H442" i="2"/>
  <c r="G442" i="2"/>
  <c r="F442" i="2"/>
  <c r="E442" i="2"/>
  <c r="D442" i="2"/>
  <c r="C442" i="2"/>
  <c r="B442" i="2"/>
  <c r="A442" i="2"/>
  <c r="J441" i="2"/>
  <c r="I441" i="2"/>
  <c r="H441" i="2"/>
  <c r="G441" i="2"/>
  <c r="F441" i="2"/>
  <c r="E441" i="2"/>
  <c r="D441" i="2"/>
  <c r="C441" i="2"/>
  <c r="B441" i="2"/>
  <c r="A441" i="2"/>
  <c r="J440" i="2"/>
  <c r="I440" i="2"/>
  <c r="H440" i="2"/>
  <c r="G440" i="2"/>
  <c r="F440" i="2"/>
  <c r="E440" i="2"/>
  <c r="D440" i="2"/>
  <c r="C440" i="2"/>
  <c r="B440" i="2"/>
  <c r="A440" i="2"/>
  <c r="J439" i="2"/>
  <c r="I439" i="2"/>
  <c r="H439" i="2"/>
  <c r="G439" i="2"/>
  <c r="F439" i="2"/>
  <c r="E439" i="2"/>
  <c r="D439" i="2"/>
  <c r="C439" i="2"/>
  <c r="B439" i="2"/>
  <c r="A439" i="2"/>
  <c r="J438" i="2"/>
  <c r="I438" i="2"/>
  <c r="H438" i="2"/>
  <c r="G438" i="2"/>
  <c r="F438" i="2"/>
  <c r="E438" i="2"/>
  <c r="D438" i="2"/>
  <c r="C438" i="2"/>
  <c r="B438" i="2"/>
  <c r="A438" i="2"/>
  <c r="J437" i="2"/>
  <c r="I437" i="2"/>
  <c r="H437" i="2"/>
  <c r="G437" i="2"/>
  <c r="F437" i="2"/>
  <c r="E437" i="2"/>
  <c r="D437" i="2"/>
  <c r="C437" i="2"/>
  <c r="B437" i="2"/>
  <c r="A437" i="2"/>
  <c r="J436" i="2"/>
  <c r="I436" i="2"/>
  <c r="H436" i="2"/>
  <c r="G436" i="2"/>
  <c r="F436" i="2"/>
  <c r="E436" i="2"/>
  <c r="D436" i="2"/>
  <c r="C436" i="2"/>
  <c r="B436" i="2"/>
  <c r="A436" i="2"/>
  <c r="J435" i="2"/>
  <c r="I435" i="2"/>
  <c r="H435" i="2"/>
  <c r="G435" i="2"/>
  <c r="F435" i="2"/>
  <c r="E435" i="2"/>
  <c r="D435" i="2"/>
  <c r="C435" i="2"/>
  <c r="B435" i="2"/>
  <c r="A435" i="2"/>
  <c r="J434" i="2"/>
  <c r="I434" i="2"/>
  <c r="H434" i="2"/>
  <c r="G434" i="2"/>
  <c r="F434" i="2"/>
  <c r="E434" i="2"/>
  <c r="D434" i="2"/>
  <c r="C434" i="2"/>
  <c r="B434" i="2"/>
  <c r="A434" i="2"/>
  <c r="J433" i="2"/>
  <c r="I433" i="2"/>
  <c r="H433" i="2"/>
  <c r="G433" i="2"/>
  <c r="F433" i="2"/>
  <c r="E433" i="2"/>
  <c r="D433" i="2"/>
  <c r="C433" i="2"/>
  <c r="B433" i="2"/>
  <c r="A433" i="2"/>
  <c r="J432" i="2"/>
  <c r="I432" i="2"/>
  <c r="H432" i="2"/>
  <c r="G432" i="2"/>
  <c r="F432" i="2"/>
  <c r="E432" i="2"/>
  <c r="D432" i="2"/>
  <c r="C432" i="2"/>
  <c r="B432" i="2"/>
  <c r="A432" i="2"/>
  <c r="J431" i="2"/>
  <c r="I431" i="2"/>
  <c r="H431" i="2"/>
  <c r="G431" i="2"/>
  <c r="F431" i="2"/>
  <c r="E431" i="2"/>
  <c r="D431" i="2"/>
  <c r="C431" i="2"/>
  <c r="B431" i="2"/>
  <c r="A431" i="2"/>
  <c r="J430" i="2"/>
  <c r="I430" i="2"/>
  <c r="H430" i="2"/>
  <c r="G430" i="2"/>
  <c r="F430" i="2"/>
  <c r="E430" i="2"/>
  <c r="D430" i="2"/>
  <c r="C430" i="2"/>
  <c r="B430" i="2"/>
  <c r="A430" i="2"/>
  <c r="J429" i="2"/>
  <c r="I429" i="2"/>
  <c r="H429" i="2"/>
  <c r="G429" i="2"/>
  <c r="F429" i="2"/>
  <c r="E429" i="2"/>
  <c r="D429" i="2"/>
  <c r="C429" i="2"/>
  <c r="B429" i="2"/>
  <c r="A429" i="2"/>
  <c r="J428" i="2"/>
  <c r="I428" i="2"/>
  <c r="H428" i="2"/>
  <c r="G428" i="2"/>
  <c r="F428" i="2"/>
  <c r="E428" i="2"/>
  <c r="D428" i="2"/>
  <c r="C428" i="2"/>
  <c r="B428" i="2"/>
  <c r="A428" i="2"/>
  <c r="J427" i="2"/>
  <c r="I427" i="2"/>
  <c r="H427" i="2"/>
  <c r="G427" i="2"/>
  <c r="F427" i="2"/>
  <c r="E427" i="2"/>
  <c r="D427" i="2"/>
  <c r="C427" i="2"/>
  <c r="B427" i="2"/>
  <c r="A427" i="2"/>
  <c r="J426" i="2"/>
  <c r="I426" i="2"/>
  <c r="H426" i="2"/>
  <c r="G426" i="2"/>
  <c r="F426" i="2"/>
  <c r="E426" i="2"/>
  <c r="D426" i="2"/>
  <c r="C426" i="2"/>
  <c r="B426" i="2"/>
  <c r="A426" i="2"/>
  <c r="J425" i="2"/>
  <c r="I425" i="2"/>
  <c r="H425" i="2"/>
  <c r="G425" i="2"/>
  <c r="F425" i="2"/>
  <c r="E425" i="2"/>
  <c r="D425" i="2"/>
  <c r="C425" i="2"/>
  <c r="B425" i="2"/>
  <c r="A425" i="2"/>
  <c r="J424" i="2"/>
  <c r="I424" i="2"/>
  <c r="H424" i="2"/>
  <c r="G424" i="2"/>
  <c r="F424" i="2"/>
  <c r="E424" i="2"/>
  <c r="D424" i="2"/>
  <c r="C424" i="2"/>
  <c r="B424" i="2"/>
  <c r="A424" i="2"/>
  <c r="J423" i="2"/>
  <c r="I423" i="2"/>
  <c r="H423" i="2"/>
  <c r="G423" i="2"/>
  <c r="F423" i="2"/>
  <c r="E423" i="2"/>
  <c r="D423" i="2"/>
  <c r="C423" i="2"/>
  <c r="B423" i="2"/>
  <c r="A423" i="2"/>
  <c r="J422" i="2"/>
  <c r="I422" i="2"/>
  <c r="H422" i="2"/>
  <c r="G422" i="2"/>
  <c r="F422" i="2"/>
  <c r="E422" i="2"/>
  <c r="D422" i="2"/>
  <c r="C422" i="2"/>
  <c r="B422" i="2"/>
  <c r="A422" i="2"/>
  <c r="J421" i="2"/>
  <c r="I421" i="2"/>
  <c r="H421" i="2"/>
  <c r="G421" i="2"/>
  <c r="F421" i="2"/>
  <c r="E421" i="2"/>
  <c r="D421" i="2"/>
  <c r="C421" i="2"/>
  <c r="B421" i="2"/>
  <c r="A421" i="2"/>
  <c r="J420" i="2"/>
  <c r="I420" i="2"/>
  <c r="H420" i="2"/>
  <c r="G420" i="2"/>
  <c r="F420" i="2"/>
  <c r="E420" i="2"/>
  <c r="D420" i="2"/>
  <c r="C420" i="2"/>
  <c r="B420" i="2"/>
  <c r="A420" i="2"/>
  <c r="J419" i="2"/>
  <c r="I419" i="2"/>
  <c r="H419" i="2"/>
  <c r="G419" i="2"/>
  <c r="F419" i="2"/>
  <c r="E419" i="2"/>
  <c r="D419" i="2"/>
  <c r="C419" i="2"/>
  <c r="B419" i="2"/>
  <c r="A419" i="2"/>
  <c r="J418" i="2"/>
  <c r="I418" i="2"/>
  <c r="H418" i="2"/>
  <c r="G418" i="2"/>
  <c r="F418" i="2"/>
  <c r="E418" i="2"/>
  <c r="D418" i="2"/>
  <c r="C418" i="2"/>
  <c r="B418" i="2"/>
  <c r="A418" i="2"/>
  <c r="J417" i="2"/>
  <c r="I417" i="2"/>
  <c r="H417" i="2"/>
  <c r="G417" i="2"/>
  <c r="F417" i="2"/>
  <c r="E417" i="2"/>
  <c r="D417" i="2"/>
  <c r="C417" i="2"/>
  <c r="B417" i="2"/>
  <c r="A417" i="2"/>
  <c r="J416" i="2"/>
  <c r="I416" i="2"/>
  <c r="H416" i="2"/>
  <c r="G416" i="2"/>
  <c r="F416" i="2"/>
  <c r="E416" i="2"/>
  <c r="D416" i="2"/>
  <c r="C416" i="2"/>
  <c r="B416" i="2"/>
  <c r="A416" i="2"/>
  <c r="J415" i="2"/>
  <c r="I415" i="2"/>
  <c r="H415" i="2"/>
  <c r="G415" i="2"/>
  <c r="F415" i="2"/>
  <c r="E415" i="2"/>
  <c r="D415" i="2"/>
  <c r="C415" i="2"/>
  <c r="B415" i="2"/>
  <c r="A415" i="2"/>
  <c r="J414" i="2"/>
  <c r="I414" i="2"/>
  <c r="H414" i="2"/>
  <c r="G414" i="2"/>
  <c r="F414" i="2"/>
  <c r="E414" i="2"/>
  <c r="D414" i="2"/>
  <c r="C414" i="2"/>
  <c r="B414" i="2"/>
  <c r="A414" i="2"/>
  <c r="J413" i="2"/>
  <c r="I413" i="2"/>
  <c r="H413" i="2"/>
  <c r="G413" i="2"/>
  <c r="F413" i="2"/>
  <c r="E413" i="2"/>
  <c r="D413" i="2"/>
  <c r="C413" i="2"/>
  <c r="B413" i="2"/>
  <c r="A413" i="2"/>
  <c r="J412" i="2"/>
  <c r="I412" i="2"/>
  <c r="H412" i="2"/>
  <c r="G412" i="2"/>
  <c r="F412" i="2"/>
  <c r="E412" i="2"/>
  <c r="D412" i="2"/>
  <c r="C412" i="2"/>
  <c r="B412" i="2"/>
  <c r="A412" i="2"/>
  <c r="J411" i="2"/>
  <c r="I411" i="2"/>
  <c r="H411" i="2"/>
  <c r="G411" i="2"/>
  <c r="F411" i="2"/>
  <c r="E411" i="2"/>
  <c r="D411" i="2"/>
  <c r="C411" i="2"/>
  <c r="B411" i="2"/>
  <c r="A411" i="2"/>
  <c r="J410" i="2"/>
  <c r="I410" i="2"/>
  <c r="H410" i="2"/>
  <c r="G410" i="2"/>
  <c r="F410" i="2"/>
  <c r="E410" i="2"/>
  <c r="D410" i="2"/>
  <c r="C410" i="2"/>
  <c r="B410" i="2"/>
  <c r="A410" i="2"/>
  <c r="J409" i="2"/>
  <c r="I409" i="2"/>
  <c r="H409" i="2"/>
  <c r="G409" i="2"/>
  <c r="F409" i="2"/>
  <c r="E409" i="2"/>
  <c r="D409" i="2"/>
  <c r="C409" i="2"/>
  <c r="B409" i="2"/>
  <c r="A409" i="2"/>
  <c r="J408" i="2"/>
  <c r="I408" i="2"/>
  <c r="H408" i="2"/>
  <c r="G408" i="2"/>
  <c r="F408" i="2"/>
  <c r="E408" i="2"/>
  <c r="D408" i="2"/>
  <c r="C408" i="2"/>
  <c r="B408" i="2"/>
  <c r="A408" i="2"/>
  <c r="J407" i="2"/>
  <c r="I407" i="2"/>
  <c r="H407" i="2"/>
  <c r="G407" i="2"/>
  <c r="F407" i="2"/>
  <c r="E407" i="2"/>
  <c r="D407" i="2"/>
  <c r="C407" i="2"/>
  <c r="B407" i="2"/>
  <c r="A407" i="2"/>
  <c r="J406" i="2"/>
  <c r="I406" i="2"/>
  <c r="H406" i="2"/>
  <c r="G406" i="2"/>
  <c r="F406" i="2"/>
  <c r="E406" i="2"/>
  <c r="D406" i="2"/>
  <c r="C406" i="2"/>
  <c r="B406" i="2"/>
  <c r="A406" i="2"/>
  <c r="J405" i="2"/>
  <c r="I405" i="2"/>
  <c r="H405" i="2"/>
  <c r="G405" i="2"/>
  <c r="F405" i="2"/>
  <c r="E405" i="2"/>
  <c r="D405" i="2"/>
  <c r="C405" i="2"/>
  <c r="B405" i="2"/>
  <c r="A405" i="2"/>
  <c r="J404" i="2"/>
  <c r="I404" i="2"/>
  <c r="H404" i="2"/>
  <c r="G404" i="2"/>
  <c r="F404" i="2"/>
  <c r="E404" i="2"/>
  <c r="D404" i="2"/>
  <c r="C404" i="2"/>
  <c r="B404" i="2"/>
  <c r="A404" i="2"/>
  <c r="J403" i="2"/>
  <c r="I403" i="2"/>
  <c r="H403" i="2"/>
  <c r="G403" i="2"/>
  <c r="F403" i="2"/>
  <c r="E403" i="2"/>
  <c r="D403" i="2"/>
  <c r="C403" i="2"/>
  <c r="B403" i="2"/>
  <c r="A403" i="2"/>
  <c r="J402" i="2"/>
  <c r="I402" i="2"/>
  <c r="H402" i="2"/>
  <c r="G402" i="2"/>
  <c r="F402" i="2"/>
  <c r="E402" i="2"/>
  <c r="D402" i="2"/>
  <c r="C402" i="2"/>
  <c r="B402" i="2"/>
  <c r="A402" i="2"/>
  <c r="J401" i="2"/>
  <c r="I401" i="2"/>
  <c r="H401" i="2"/>
  <c r="G401" i="2"/>
  <c r="F401" i="2"/>
  <c r="E401" i="2"/>
  <c r="D401" i="2"/>
  <c r="C401" i="2"/>
  <c r="B401" i="2"/>
  <c r="A401" i="2"/>
  <c r="J400" i="2"/>
  <c r="I400" i="2"/>
  <c r="H400" i="2"/>
  <c r="G400" i="2"/>
  <c r="F400" i="2"/>
  <c r="E400" i="2"/>
  <c r="D400" i="2"/>
  <c r="C400" i="2"/>
  <c r="B400" i="2"/>
  <c r="A400" i="2"/>
  <c r="J399" i="2"/>
  <c r="I399" i="2"/>
  <c r="H399" i="2"/>
  <c r="G399" i="2"/>
  <c r="F399" i="2"/>
  <c r="E399" i="2"/>
  <c r="D399" i="2"/>
  <c r="C399" i="2"/>
  <c r="B399" i="2"/>
  <c r="A399" i="2"/>
  <c r="J398" i="2"/>
  <c r="I398" i="2"/>
  <c r="H398" i="2"/>
  <c r="G398" i="2"/>
  <c r="F398" i="2"/>
  <c r="E398" i="2"/>
  <c r="D398" i="2"/>
  <c r="C398" i="2"/>
  <c r="B398" i="2"/>
  <c r="A398" i="2"/>
  <c r="J397" i="2"/>
  <c r="I397" i="2"/>
  <c r="H397" i="2"/>
  <c r="G397" i="2"/>
  <c r="F397" i="2"/>
  <c r="E397" i="2"/>
  <c r="D397" i="2"/>
  <c r="C397" i="2"/>
  <c r="B397" i="2"/>
  <c r="A397" i="2"/>
  <c r="J396" i="2"/>
  <c r="I396" i="2"/>
  <c r="H396" i="2"/>
  <c r="G396" i="2"/>
  <c r="F396" i="2"/>
  <c r="E396" i="2"/>
  <c r="D396" i="2"/>
  <c r="C396" i="2"/>
  <c r="B396" i="2"/>
  <c r="A396" i="2"/>
  <c r="J395" i="2"/>
  <c r="I395" i="2"/>
  <c r="H395" i="2"/>
  <c r="G395" i="2"/>
  <c r="F395" i="2"/>
  <c r="E395" i="2"/>
  <c r="D395" i="2"/>
  <c r="C395" i="2"/>
  <c r="B395" i="2"/>
  <c r="A395" i="2"/>
  <c r="J394" i="2"/>
  <c r="I394" i="2"/>
  <c r="H394" i="2"/>
  <c r="G394" i="2"/>
  <c r="F394" i="2"/>
  <c r="E394" i="2"/>
  <c r="D394" i="2"/>
  <c r="C394" i="2"/>
  <c r="B394" i="2"/>
  <c r="A394" i="2"/>
  <c r="J393" i="2"/>
  <c r="I393" i="2"/>
  <c r="H393" i="2"/>
  <c r="G393" i="2"/>
  <c r="F393" i="2"/>
  <c r="E393" i="2"/>
  <c r="D393" i="2"/>
  <c r="C393" i="2"/>
  <c r="B393" i="2"/>
  <c r="A393" i="2"/>
  <c r="J392" i="2"/>
  <c r="I392" i="2"/>
  <c r="H392" i="2"/>
  <c r="G392" i="2"/>
  <c r="F392" i="2"/>
  <c r="E392" i="2"/>
  <c r="D392" i="2"/>
  <c r="C392" i="2"/>
  <c r="B392" i="2"/>
  <c r="A392" i="2"/>
  <c r="J391" i="2"/>
  <c r="I391" i="2"/>
  <c r="H391" i="2"/>
  <c r="G391" i="2"/>
  <c r="F391" i="2"/>
  <c r="E391" i="2"/>
  <c r="D391" i="2"/>
  <c r="C391" i="2"/>
  <c r="B391" i="2"/>
  <c r="A391" i="2"/>
  <c r="J390" i="2"/>
  <c r="I390" i="2"/>
  <c r="H390" i="2"/>
  <c r="G390" i="2"/>
  <c r="F390" i="2"/>
  <c r="E390" i="2"/>
  <c r="D390" i="2"/>
  <c r="C390" i="2"/>
  <c r="B390" i="2"/>
  <c r="A390" i="2"/>
  <c r="J389" i="2"/>
  <c r="I389" i="2"/>
  <c r="H389" i="2"/>
  <c r="G389" i="2"/>
  <c r="F389" i="2"/>
  <c r="E389" i="2"/>
  <c r="D389" i="2"/>
  <c r="C389" i="2"/>
  <c r="B389" i="2"/>
  <c r="A389" i="2"/>
  <c r="J388" i="2"/>
  <c r="I388" i="2"/>
  <c r="H388" i="2"/>
  <c r="G388" i="2"/>
  <c r="F388" i="2"/>
  <c r="E388" i="2"/>
  <c r="D388" i="2"/>
  <c r="C388" i="2"/>
  <c r="B388" i="2"/>
  <c r="A388" i="2"/>
  <c r="J387" i="2"/>
  <c r="I387" i="2"/>
  <c r="H387" i="2"/>
  <c r="G387" i="2"/>
  <c r="F387" i="2"/>
  <c r="E387" i="2"/>
  <c r="D387" i="2"/>
  <c r="C387" i="2"/>
  <c r="B387" i="2"/>
  <c r="A387" i="2"/>
  <c r="J386" i="2"/>
  <c r="I386" i="2"/>
  <c r="H386" i="2"/>
  <c r="G386" i="2"/>
  <c r="F386" i="2"/>
  <c r="E386" i="2"/>
  <c r="D386" i="2"/>
  <c r="C386" i="2"/>
  <c r="B386" i="2"/>
  <c r="A386" i="2"/>
  <c r="J385" i="2"/>
  <c r="I385" i="2"/>
  <c r="H385" i="2"/>
  <c r="G385" i="2"/>
  <c r="F385" i="2"/>
  <c r="E385" i="2"/>
  <c r="D385" i="2"/>
  <c r="C385" i="2"/>
  <c r="B385" i="2"/>
  <c r="A385" i="2"/>
  <c r="J384" i="2"/>
  <c r="I384" i="2"/>
  <c r="H384" i="2"/>
  <c r="G384" i="2"/>
  <c r="F384" i="2"/>
  <c r="E384" i="2"/>
  <c r="D384" i="2"/>
  <c r="C384" i="2"/>
  <c r="B384" i="2"/>
  <c r="A384" i="2"/>
  <c r="J383" i="2"/>
  <c r="I383" i="2"/>
  <c r="H383" i="2"/>
  <c r="G383" i="2"/>
  <c r="F383" i="2"/>
  <c r="E383" i="2"/>
  <c r="D383" i="2"/>
  <c r="C383" i="2"/>
  <c r="B383" i="2"/>
  <c r="A383" i="2"/>
  <c r="J382" i="2"/>
  <c r="I382" i="2"/>
  <c r="H382" i="2"/>
  <c r="G382" i="2"/>
  <c r="F382" i="2"/>
  <c r="E382" i="2"/>
  <c r="D382" i="2"/>
  <c r="C382" i="2"/>
  <c r="B382" i="2"/>
  <c r="A382" i="2"/>
  <c r="J381" i="2"/>
  <c r="I381" i="2"/>
  <c r="H381" i="2"/>
  <c r="G381" i="2"/>
  <c r="F381" i="2"/>
  <c r="E381" i="2"/>
  <c r="D381" i="2"/>
  <c r="C381" i="2"/>
  <c r="B381" i="2"/>
  <c r="A381" i="2"/>
  <c r="J380" i="2"/>
  <c r="I380" i="2"/>
  <c r="H380" i="2"/>
  <c r="G380" i="2"/>
  <c r="F380" i="2"/>
  <c r="E380" i="2"/>
  <c r="D380" i="2"/>
  <c r="C380" i="2"/>
  <c r="B380" i="2"/>
  <c r="A380" i="2"/>
  <c r="J379" i="2"/>
  <c r="I379" i="2"/>
  <c r="H379" i="2"/>
  <c r="G379" i="2"/>
  <c r="F379" i="2"/>
  <c r="E379" i="2"/>
  <c r="D379" i="2"/>
  <c r="C379" i="2"/>
  <c r="B379" i="2"/>
  <c r="A379" i="2"/>
  <c r="J378" i="2"/>
  <c r="I378" i="2"/>
  <c r="H378" i="2"/>
  <c r="G378" i="2"/>
  <c r="F378" i="2"/>
  <c r="E378" i="2"/>
  <c r="D378" i="2"/>
  <c r="C378" i="2"/>
  <c r="B378" i="2"/>
  <c r="A378" i="2"/>
  <c r="J377" i="2"/>
  <c r="I377" i="2"/>
  <c r="H377" i="2"/>
  <c r="G377" i="2"/>
  <c r="F377" i="2"/>
  <c r="E377" i="2"/>
  <c r="D377" i="2"/>
  <c r="C377" i="2"/>
  <c r="B377" i="2"/>
  <c r="A377" i="2"/>
  <c r="J376" i="2"/>
  <c r="I376" i="2"/>
  <c r="H376" i="2"/>
  <c r="G376" i="2"/>
  <c r="F376" i="2"/>
  <c r="E376" i="2"/>
  <c r="D376" i="2"/>
  <c r="C376" i="2"/>
  <c r="B376" i="2"/>
  <c r="A376" i="2"/>
  <c r="J375" i="2"/>
  <c r="I375" i="2"/>
  <c r="H375" i="2"/>
  <c r="G375" i="2"/>
  <c r="F375" i="2"/>
  <c r="E375" i="2"/>
  <c r="D375" i="2"/>
  <c r="C375" i="2"/>
  <c r="B375" i="2"/>
  <c r="A375" i="2"/>
  <c r="J374" i="2"/>
  <c r="I374" i="2"/>
  <c r="H374" i="2"/>
  <c r="G374" i="2"/>
  <c r="F374" i="2"/>
  <c r="E374" i="2"/>
  <c r="D374" i="2"/>
  <c r="C374" i="2"/>
  <c r="B374" i="2"/>
  <c r="A374" i="2"/>
  <c r="J373" i="2"/>
  <c r="I373" i="2"/>
  <c r="H373" i="2"/>
  <c r="G373" i="2"/>
  <c r="F373" i="2"/>
  <c r="E373" i="2"/>
  <c r="D373" i="2"/>
  <c r="C373" i="2"/>
  <c r="B373" i="2"/>
  <c r="A373" i="2"/>
  <c r="J372" i="2"/>
  <c r="I372" i="2"/>
  <c r="H372" i="2"/>
  <c r="G372" i="2"/>
  <c r="F372" i="2"/>
  <c r="E372" i="2"/>
  <c r="D372" i="2"/>
  <c r="C372" i="2"/>
  <c r="B372" i="2"/>
  <c r="A372" i="2"/>
  <c r="J371" i="2"/>
  <c r="I371" i="2"/>
  <c r="H371" i="2"/>
  <c r="G371" i="2"/>
  <c r="F371" i="2"/>
  <c r="E371" i="2"/>
  <c r="D371" i="2"/>
  <c r="C371" i="2"/>
  <c r="B371" i="2"/>
  <c r="A371" i="2"/>
  <c r="J370" i="2"/>
  <c r="I370" i="2"/>
  <c r="H370" i="2"/>
  <c r="G370" i="2"/>
  <c r="F370" i="2"/>
  <c r="E370" i="2"/>
  <c r="D370" i="2"/>
  <c r="C370" i="2"/>
  <c r="B370" i="2"/>
  <c r="A370" i="2"/>
  <c r="J369" i="2"/>
  <c r="I369" i="2"/>
  <c r="H369" i="2"/>
  <c r="G369" i="2"/>
  <c r="F369" i="2"/>
  <c r="E369" i="2"/>
  <c r="D369" i="2"/>
  <c r="C369" i="2"/>
  <c r="B369" i="2"/>
  <c r="A369" i="2"/>
  <c r="J368" i="2"/>
  <c r="I368" i="2"/>
  <c r="H368" i="2"/>
  <c r="G368" i="2"/>
  <c r="F368" i="2"/>
  <c r="E368" i="2"/>
  <c r="D368" i="2"/>
  <c r="C368" i="2"/>
  <c r="B368" i="2"/>
  <c r="A368" i="2"/>
  <c r="J367" i="2"/>
  <c r="I367" i="2"/>
  <c r="H367" i="2"/>
  <c r="G367" i="2"/>
  <c r="F367" i="2"/>
  <c r="E367" i="2"/>
  <c r="D367" i="2"/>
  <c r="C367" i="2"/>
  <c r="B367" i="2"/>
  <c r="A367" i="2"/>
  <c r="J366" i="2"/>
  <c r="I366" i="2"/>
  <c r="H366" i="2"/>
  <c r="G366" i="2"/>
  <c r="F366" i="2"/>
  <c r="E366" i="2"/>
  <c r="D366" i="2"/>
  <c r="C366" i="2"/>
  <c r="B366" i="2"/>
  <c r="A366" i="2"/>
  <c r="J365" i="2"/>
  <c r="I365" i="2"/>
  <c r="H365" i="2"/>
  <c r="G365" i="2"/>
  <c r="F365" i="2"/>
  <c r="E365" i="2"/>
  <c r="D365" i="2"/>
  <c r="C365" i="2"/>
  <c r="B365" i="2"/>
  <c r="A365" i="2"/>
  <c r="J364" i="2"/>
  <c r="I364" i="2"/>
  <c r="H364" i="2"/>
  <c r="G364" i="2"/>
  <c r="F364" i="2"/>
  <c r="E364" i="2"/>
  <c r="D364" i="2"/>
  <c r="C364" i="2"/>
  <c r="B364" i="2"/>
  <c r="A364" i="2"/>
  <c r="J363" i="2"/>
  <c r="I363" i="2"/>
  <c r="H363" i="2"/>
  <c r="G363" i="2"/>
  <c r="F363" i="2"/>
  <c r="E363" i="2"/>
  <c r="D363" i="2"/>
  <c r="C363" i="2"/>
  <c r="B363" i="2"/>
  <c r="A363" i="2"/>
  <c r="J362" i="2"/>
  <c r="I362" i="2"/>
  <c r="H362" i="2"/>
  <c r="G362" i="2"/>
  <c r="F362" i="2"/>
  <c r="E362" i="2"/>
  <c r="D362" i="2"/>
  <c r="C362" i="2"/>
  <c r="B362" i="2"/>
  <c r="A362" i="2"/>
  <c r="J361" i="2"/>
  <c r="I361" i="2"/>
  <c r="H361" i="2"/>
  <c r="G361" i="2"/>
  <c r="F361" i="2"/>
  <c r="E361" i="2"/>
  <c r="D361" i="2"/>
  <c r="C361" i="2"/>
  <c r="B361" i="2"/>
  <c r="A361" i="2"/>
  <c r="J360" i="2"/>
  <c r="I360" i="2"/>
  <c r="H360" i="2"/>
  <c r="G360" i="2"/>
  <c r="F360" i="2"/>
  <c r="E360" i="2"/>
  <c r="D360" i="2"/>
  <c r="C360" i="2"/>
  <c r="B360" i="2"/>
  <c r="A360" i="2"/>
  <c r="J359" i="2"/>
  <c r="I359" i="2"/>
  <c r="H359" i="2"/>
  <c r="G359" i="2"/>
  <c r="F359" i="2"/>
  <c r="E359" i="2"/>
  <c r="D359" i="2"/>
  <c r="C359" i="2"/>
  <c r="B359" i="2"/>
  <c r="A359" i="2"/>
  <c r="J358" i="2"/>
  <c r="I358" i="2"/>
  <c r="H358" i="2"/>
  <c r="G358" i="2"/>
  <c r="F358" i="2"/>
  <c r="E358" i="2"/>
  <c r="D358" i="2"/>
  <c r="C358" i="2"/>
  <c r="B358" i="2"/>
  <c r="A358" i="2"/>
  <c r="J357" i="2"/>
  <c r="I357" i="2"/>
  <c r="H357" i="2"/>
  <c r="G357" i="2"/>
  <c r="F357" i="2"/>
  <c r="E357" i="2"/>
  <c r="D357" i="2"/>
  <c r="C357" i="2"/>
  <c r="B357" i="2"/>
  <c r="A357" i="2"/>
  <c r="J356" i="2"/>
  <c r="I356" i="2"/>
  <c r="H356" i="2"/>
  <c r="G356" i="2"/>
  <c r="F356" i="2"/>
  <c r="E356" i="2"/>
  <c r="D356" i="2"/>
  <c r="C356" i="2"/>
  <c r="B356" i="2"/>
  <c r="A356" i="2"/>
  <c r="J355" i="2"/>
  <c r="I355" i="2"/>
  <c r="H355" i="2"/>
  <c r="G355" i="2"/>
  <c r="F355" i="2"/>
  <c r="E355" i="2"/>
  <c r="D355" i="2"/>
  <c r="C355" i="2"/>
  <c r="B355" i="2"/>
  <c r="A355" i="2"/>
  <c r="J354" i="2"/>
  <c r="I354" i="2"/>
  <c r="H354" i="2"/>
  <c r="G354" i="2"/>
  <c r="F354" i="2"/>
  <c r="E354" i="2"/>
  <c r="D354" i="2"/>
  <c r="C354" i="2"/>
  <c r="B354" i="2"/>
  <c r="A354" i="2"/>
  <c r="J353" i="2"/>
  <c r="I353" i="2"/>
  <c r="H353" i="2"/>
  <c r="G353" i="2"/>
  <c r="F353" i="2"/>
  <c r="E353" i="2"/>
  <c r="D353" i="2"/>
  <c r="C353" i="2"/>
  <c r="B353" i="2"/>
  <c r="A353" i="2"/>
  <c r="J352" i="2"/>
  <c r="I352" i="2"/>
  <c r="H352" i="2"/>
  <c r="G352" i="2"/>
  <c r="F352" i="2"/>
  <c r="E352" i="2"/>
  <c r="D352" i="2"/>
  <c r="C352" i="2"/>
  <c r="B352" i="2"/>
  <c r="A352" i="2"/>
  <c r="J351" i="2"/>
  <c r="I351" i="2"/>
  <c r="H351" i="2"/>
  <c r="G351" i="2"/>
  <c r="F351" i="2"/>
  <c r="E351" i="2"/>
  <c r="D351" i="2"/>
  <c r="C351" i="2"/>
  <c r="B351" i="2"/>
  <c r="A351" i="2"/>
  <c r="J350" i="2"/>
  <c r="I350" i="2"/>
  <c r="H350" i="2"/>
  <c r="G350" i="2"/>
  <c r="F350" i="2"/>
  <c r="E350" i="2"/>
  <c r="D350" i="2"/>
  <c r="C350" i="2"/>
  <c r="B350" i="2"/>
  <c r="A350" i="2"/>
  <c r="J349" i="2"/>
  <c r="I349" i="2"/>
  <c r="H349" i="2"/>
  <c r="G349" i="2"/>
  <c r="F349" i="2"/>
  <c r="E349" i="2"/>
  <c r="D349" i="2"/>
  <c r="C349" i="2"/>
  <c r="B349" i="2"/>
  <c r="A349" i="2"/>
  <c r="J348" i="2"/>
  <c r="I348" i="2"/>
  <c r="H348" i="2"/>
  <c r="G348" i="2"/>
  <c r="F348" i="2"/>
  <c r="E348" i="2"/>
  <c r="D348" i="2"/>
  <c r="C348" i="2"/>
  <c r="B348" i="2"/>
  <c r="A348" i="2"/>
  <c r="J347" i="2"/>
  <c r="I347" i="2"/>
  <c r="H347" i="2"/>
  <c r="G347" i="2"/>
  <c r="F347" i="2"/>
  <c r="E347" i="2"/>
  <c r="D347" i="2"/>
  <c r="C347" i="2"/>
  <c r="B347" i="2"/>
  <c r="A347" i="2"/>
  <c r="J346" i="2"/>
  <c r="I346" i="2"/>
  <c r="H346" i="2"/>
  <c r="G346" i="2"/>
  <c r="F346" i="2"/>
  <c r="E346" i="2"/>
  <c r="D346" i="2"/>
  <c r="C346" i="2"/>
  <c r="B346" i="2"/>
  <c r="A346" i="2"/>
  <c r="J345" i="2"/>
  <c r="I345" i="2"/>
  <c r="H345" i="2"/>
  <c r="G345" i="2"/>
  <c r="F345" i="2"/>
  <c r="E345" i="2"/>
  <c r="D345" i="2"/>
  <c r="C345" i="2"/>
  <c r="B345" i="2"/>
  <c r="A345" i="2"/>
  <c r="J344" i="2"/>
  <c r="I344" i="2"/>
  <c r="H344" i="2"/>
  <c r="G344" i="2"/>
  <c r="F344" i="2"/>
  <c r="E344" i="2"/>
  <c r="D344" i="2"/>
  <c r="C344" i="2"/>
  <c r="B344" i="2"/>
  <c r="A344" i="2"/>
  <c r="J343" i="2"/>
  <c r="I343" i="2"/>
  <c r="H343" i="2"/>
  <c r="G343" i="2"/>
  <c r="F343" i="2"/>
  <c r="E343" i="2"/>
  <c r="D343" i="2"/>
  <c r="C343" i="2"/>
  <c r="B343" i="2"/>
  <c r="A343" i="2"/>
  <c r="J342" i="2"/>
  <c r="I342" i="2"/>
  <c r="H342" i="2"/>
  <c r="G342" i="2"/>
  <c r="F342" i="2"/>
  <c r="E342" i="2"/>
  <c r="D342" i="2"/>
  <c r="C342" i="2"/>
  <c r="B342" i="2"/>
  <c r="A342" i="2"/>
  <c r="J341" i="2"/>
  <c r="I341" i="2"/>
  <c r="H341" i="2"/>
  <c r="G341" i="2"/>
  <c r="F341" i="2"/>
  <c r="E341" i="2"/>
  <c r="D341" i="2"/>
  <c r="C341" i="2"/>
  <c r="B341" i="2"/>
  <c r="A341" i="2"/>
  <c r="J340" i="2"/>
  <c r="I340" i="2"/>
  <c r="H340" i="2"/>
  <c r="G340" i="2"/>
  <c r="F340" i="2"/>
  <c r="E340" i="2"/>
  <c r="D340" i="2"/>
  <c r="C340" i="2"/>
  <c r="B340" i="2"/>
  <c r="A340" i="2"/>
  <c r="J339" i="2"/>
  <c r="I339" i="2"/>
  <c r="H339" i="2"/>
  <c r="G339" i="2"/>
  <c r="F339" i="2"/>
  <c r="E339" i="2"/>
  <c r="D339" i="2"/>
  <c r="C339" i="2"/>
  <c r="B339" i="2"/>
  <c r="A339" i="2"/>
  <c r="J338" i="2"/>
  <c r="I338" i="2"/>
  <c r="H338" i="2"/>
  <c r="G338" i="2"/>
  <c r="F338" i="2"/>
  <c r="E338" i="2"/>
  <c r="D338" i="2"/>
  <c r="C338" i="2"/>
  <c r="B338" i="2"/>
  <c r="A338" i="2"/>
  <c r="J337" i="2"/>
  <c r="I337" i="2"/>
  <c r="H337" i="2"/>
  <c r="G337" i="2"/>
  <c r="F337" i="2"/>
  <c r="E337" i="2"/>
  <c r="D337" i="2"/>
  <c r="C337" i="2"/>
  <c r="B337" i="2"/>
  <c r="A337" i="2"/>
  <c r="J336" i="2"/>
  <c r="I336" i="2"/>
  <c r="H336" i="2"/>
  <c r="G336" i="2"/>
  <c r="F336" i="2"/>
  <c r="E336" i="2"/>
  <c r="D336" i="2"/>
  <c r="C336" i="2"/>
  <c r="B336" i="2"/>
  <c r="A336" i="2"/>
  <c r="J335" i="2"/>
  <c r="I335" i="2"/>
  <c r="H335" i="2"/>
  <c r="G335" i="2"/>
  <c r="F335" i="2"/>
  <c r="E335" i="2"/>
  <c r="D335" i="2"/>
  <c r="C335" i="2"/>
  <c r="B335" i="2"/>
  <c r="A335" i="2"/>
  <c r="J334" i="2"/>
  <c r="I334" i="2"/>
  <c r="H334" i="2"/>
  <c r="G334" i="2"/>
  <c r="F334" i="2"/>
  <c r="E334" i="2"/>
  <c r="D334" i="2"/>
  <c r="C334" i="2"/>
  <c r="B334" i="2"/>
  <c r="A334" i="2"/>
  <c r="J333" i="2"/>
  <c r="I333" i="2"/>
  <c r="H333" i="2"/>
  <c r="G333" i="2"/>
  <c r="F333" i="2"/>
  <c r="E333" i="2"/>
  <c r="D333" i="2"/>
  <c r="C333" i="2"/>
  <c r="B333" i="2"/>
  <c r="A333" i="2"/>
  <c r="J332" i="2"/>
  <c r="I332" i="2"/>
  <c r="H332" i="2"/>
  <c r="G332" i="2"/>
  <c r="F332" i="2"/>
  <c r="E332" i="2"/>
  <c r="D332" i="2"/>
  <c r="C332" i="2"/>
  <c r="B332" i="2"/>
  <c r="A332" i="2"/>
  <c r="J331" i="2"/>
  <c r="I331" i="2"/>
  <c r="H331" i="2"/>
  <c r="G331" i="2"/>
  <c r="F331" i="2"/>
  <c r="E331" i="2"/>
  <c r="D331" i="2"/>
  <c r="C331" i="2"/>
  <c r="B331" i="2"/>
  <c r="A331" i="2"/>
  <c r="J330" i="2"/>
  <c r="I330" i="2"/>
  <c r="H330" i="2"/>
  <c r="G330" i="2"/>
  <c r="F330" i="2"/>
  <c r="E330" i="2"/>
  <c r="D330" i="2"/>
  <c r="C330" i="2"/>
  <c r="B330" i="2"/>
  <c r="A330" i="2"/>
  <c r="J329" i="2"/>
  <c r="I329" i="2"/>
  <c r="H329" i="2"/>
  <c r="G329" i="2"/>
  <c r="F329" i="2"/>
  <c r="E329" i="2"/>
  <c r="D329" i="2"/>
  <c r="C329" i="2"/>
  <c r="B329" i="2"/>
  <c r="A329" i="2"/>
  <c r="J328" i="2"/>
  <c r="I328" i="2"/>
  <c r="H328" i="2"/>
  <c r="G328" i="2"/>
  <c r="F328" i="2"/>
  <c r="E328" i="2"/>
  <c r="D328" i="2"/>
  <c r="C328" i="2"/>
  <c r="B328" i="2"/>
  <c r="A328" i="2"/>
  <c r="J327" i="2"/>
  <c r="I327" i="2"/>
  <c r="H327" i="2"/>
  <c r="G327" i="2"/>
  <c r="F327" i="2"/>
  <c r="E327" i="2"/>
  <c r="D327" i="2"/>
  <c r="C327" i="2"/>
  <c r="B327" i="2"/>
  <c r="A327" i="2"/>
  <c r="J326" i="2"/>
  <c r="I326" i="2"/>
  <c r="H326" i="2"/>
  <c r="G326" i="2"/>
  <c r="F326" i="2"/>
  <c r="E326" i="2"/>
  <c r="D326" i="2"/>
  <c r="C326" i="2"/>
  <c r="B326" i="2"/>
  <c r="A326" i="2"/>
  <c r="J325" i="2"/>
  <c r="I325" i="2"/>
  <c r="H325" i="2"/>
  <c r="G325" i="2"/>
  <c r="F325" i="2"/>
  <c r="E325" i="2"/>
  <c r="D325" i="2"/>
  <c r="C325" i="2"/>
  <c r="B325" i="2"/>
  <c r="A325" i="2"/>
  <c r="J324" i="2"/>
  <c r="I324" i="2"/>
  <c r="H324" i="2"/>
  <c r="G324" i="2"/>
  <c r="F324" i="2"/>
  <c r="E324" i="2"/>
  <c r="D324" i="2"/>
  <c r="C324" i="2"/>
  <c r="B324" i="2"/>
  <c r="A324" i="2"/>
  <c r="J323" i="2"/>
  <c r="I323" i="2"/>
  <c r="H323" i="2"/>
  <c r="G323" i="2"/>
  <c r="F323" i="2"/>
  <c r="E323" i="2"/>
  <c r="D323" i="2"/>
  <c r="C323" i="2"/>
  <c r="B323" i="2"/>
  <c r="A323" i="2"/>
  <c r="J322" i="2"/>
  <c r="I322" i="2"/>
  <c r="H322" i="2"/>
  <c r="G322" i="2"/>
  <c r="F322" i="2"/>
  <c r="E322" i="2"/>
  <c r="D322" i="2"/>
  <c r="C322" i="2"/>
  <c r="B322" i="2"/>
  <c r="A322" i="2"/>
  <c r="J321" i="2"/>
  <c r="I321" i="2"/>
  <c r="H321" i="2"/>
  <c r="G321" i="2"/>
  <c r="F321" i="2"/>
  <c r="E321" i="2"/>
  <c r="D321" i="2"/>
  <c r="C321" i="2"/>
  <c r="B321" i="2"/>
  <c r="A321" i="2"/>
  <c r="J320" i="2"/>
  <c r="I320" i="2"/>
  <c r="H320" i="2"/>
  <c r="G320" i="2"/>
  <c r="F320" i="2"/>
  <c r="E320" i="2"/>
  <c r="D320" i="2"/>
  <c r="C320" i="2"/>
  <c r="B320" i="2"/>
  <c r="A320" i="2"/>
  <c r="J319" i="2"/>
  <c r="I319" i="2"/>
  <c r="H319" i="2"/>
  <c r="G319" i="2"/>
  <c r="F319" i="2"/>
  <c r="E319" i="2"/>
  <c r="D319" i="2"/>
  <c r="C319" i="2"/>
  <c r="B319" i="2"/>
  <c r="A319" i="2"/>
  <c r="J318" i="2"/>
  <c r="I318" i="2"/>
  <c r="H318" i="2"/>
  <c r="G318" i="2"/>
  <c r="F318" i="2"/>
  <c r="E318" i="2"/>
  <c r="D318" i="2"/>
  <c r="C318" i="2"/>
  <c r="B318" i="2"/>
  <c r="A318" i="2"/>
  <c r="J317" i="2"/>
  <c r="I317" i="2"/>
  <c r="H317" i="2"/>
  <c r="G317" i="2"/>
  <c r="F317" i="2"/>
  <c r="E317" i="2"/>
  <c r="D317" i="2"/>
  <c r="C317" i="2"/>
  <c r="B317" i="2"/>
  <c r="A317" i="2"/>
  <c r="J316" i="2"/>
  <c r="I316" i="2"/>
  <c r="H316" i="2"/>
  <c r="G316" i="2"/>
  <c r="F316" i="2"/>
  <c r="E316" i="2"/>
  <c r="D316" i="2"/>
  <c r="C316" i="2"/>
  <c r="B316" i="2"/>
  <c r="A316" i="2"/>
  <c r="J315" i="2"/>
  <c r="I315" i="2"/>
  <c r="H315" i="2"/>
  <c r="G315" i="2"/>
  <c r="F315" i="2"/>
  <c r="E315" i="2"/>
  <c r="D315" i="2"/>
  <c r="C315" i="2"/>
  <c r="B315" i="2"/>
  <c r="A315" i="2"/>
  <c r="J314" i="2"/>
  <c r="I314" i="2"/>
  <c r="H314" i="2"/>
  <c r="G314" i="2"/>
  <c r="F314" i="2"/>
  <c r="E314" i="2"/>
  <c r="D314" i="2"/>
  <c r="C314" i="2"/>
  <c r="B314" i="2"/>
  <c r="A314" i="2"/>
  <c r="J313" i="2"/>
  <c r="I313" i="2"/>
  <c r="H313" i="2"/>
  <c r="G313" i="2"/>
  <c r="F313" i="2"/>
  <c r="E313" i="2"/>
  <c r="D313" i="2"/>
  <c r="C313" i="2"/>
  <c r="B313" i="2"/>
  <c r="A313" i="2"/>
  <c r="J312" i="2"/>
  <c r="I312" i="2"/>
  <c r="H312" i="2"/>
  <c r="G312" i="2"/>
  <c r="F312" i="2"/>
  <c r="E312" i="2"/>
  <c r="D312" i="2"/>
  <c r="C312" i="2"/>
  <c r="B312" i="2"/>
  <c r="A312" i="2"/>
  <c r="J311" i="2"/>
  <c r="I311" i="2"/>
  <c r="H311" i="2"/>
  <c r="G311" i="2"/>
  <c r="F311" i="2"/>
  <c r="E311" i="2"/>
  <c r="D311" i="2"/>
  <c r="C311" i="2"/>
  <c r="B311" i="2"/>
  <c r="A311" i="2"/>
  <c r="J310" i="2"/>
  <c r="I310" i="2"/>
  <c r="H310" i="2"/>
  <c r="G310" i="2"/>
  <c r="F310" i="2"/>
  <c r="E310" i="2"/>
  <c r="D310" i="2"/>
  <c r="C310" i="2"/>
  <c r="B310" i="2"/>
  <c r="A310" i="2"/>
  <c r="J309" i="2"/>
  <c r="I309" i="2"/>
  <c r="H309" i="2"/>
  <c r="G309" i="2"/>
  <c r="F309" i="2"/>
  <c r="E309" i="2"/>
  <c r="D309" i="2"/>
  <c r="C309" i="2"/>
  <c r="B309" i="2"/>
  <c r="A309" i="2"/>
  <c r="J308" i="2"/>
  <c r="I308" i="2"/>
  <c r="H308" i="2"/>
  <c r="G308" i="2"/>
  <c r="F308" i="2"/>
  <c r="E308" i="2"/>
  <c r="D308" i="2"/>
  <c r="C308" i="2"/>
  <c r="B308" i="2"/>
  <c r="A308" i="2"/>
  <c r="J307" i="2"/>
  <c r="I307" i="2"/>
  <c r="H307" i="2"/>
  <c r="G307" i="2"/>
  <c r="F307" i="2"/>
  <c r="E307" i="2"/>
  <c r="D307" i="2"/>
  <c r="C307" i="2"/>
  <c r="B307" i="2"/>
  <c r="A307" i="2"/>
  <c r="J306" i="2"/>
  <c r="I306" i="2"/>
  <c r="H306" i="2"/>
  <c r="G306" i="2"/>
  <c r="F306" i="2"/>
  <c r="E306" i="2"/>
  <c r="D306" i="2"/>
  <c r="C306" i="2"/>
  <c r="B306" i="2"/>
  <c r="A306" i="2"/>
  <c r="J305" i="2"/>
  <c r="I305" i="2"/>
  <c r="H305" i="2"/>
  <c r="G305" i="2"/>
  <c r="F305" i="2"/>
  <c r="E305" i="2"/>
  <c r="D305" i="2"/>
  <c r="C305" i="2"/>
  <c r="B305" i="2"/>
  <c r="A305" i="2"/>
  <c r="J304" i="2"/>
  <c r="I304" i="2"/>
  <c r="H304" i="2"/>
  <c r="G304" i="2"/>
  <c r="F304" i="2"/>
  <c r="E304" i="2"/>
  <c r="D304" i="2"/>
  <c r="C304" i="2"/>
  <c r="B304" i="2"/>
  <c r="A304" i="2"/>
  <c r="J303" i="2"/>
  <c r="I303" i="2"/>
  <c r="H303" i="2"/>
  <c r="G303" i="2"/>
  <c r="F303" i="2"/>
  <c r="E303" i="2"/>
  <c r="D303" i="2"/>
  <c r="C303" i="2"/>
  <c r="B303" i="2"/>
  <c r="A303" i="2"/>
  <c r="J302" i="2"/>
  <c r="I302" i="2"/>
  <c r="H302" i="2"/>
  <c r="G302" i="2"/>
  <c r="F302" i="2"/>
  <c r="E302" i="2"/>
  <c r="D302" i="2"/>
  <c r="C302" i="2"/>
  <c r="B302" i="2"/>
  <c r="A302" i="2"/>
  <c r="J301" i="2"/>
  <c r="I301" i="2"/>
  <c r="H301" i="2"/>
  <c r="G301" i="2"/>
  <c r="F301" i="2"/>
  <c r="E301" i="2"/>
  <c r="D301" i="2"/>
  <c r="C301" i="2"/>
  <c r="B301" i="2"/>
  <c r="A301" i="2"/>
  <c r="J300" i="2"/>
  <c r="I300" i="2"/>
  <c r="H300" i="2"/>
  <c r="G300" i="2"/>
  <c r="F300" i="2"/>
  <c r="E300" i="2"/>
  <c r="D300" i="2"/>
  <c r="C300" i="2"/>
  <c r="B300" i="2"/>
  <c r="A300" i="2"/>
  <c r="J299" i="2"/>
  <c r="I299" i="2"/>
  <c r="H299" i="2"/>
  <c r="G299" i="2"/>
  <c r="F299" i="2"/>
  <c r="E299" i="2"/>
  <c r="D299" i="2"/>
  <c r="C299" i="2"/>
  <c r="B299" i="2"/>
  <c r="A299" i="2"/>
  <c r="J298" i="2"/>
  <c r="I298" i="2"/>
  <c r="H298" i="2"/>
  <c r="G298" i="2"/>
  <c r="F298" i="2"/>
  <c r="E298" i="2"/>
  <c r="D298" i="2"/>
  <c r="C298" i="2"/>
  <c r="B298" i="2"/>
  <c r="A298" i="2"/>
  <c r="J297" i="2"/>
  <c r="I297" i="2"/>
  <c r="H297" i="2"/>
  <c r="G297" i="2"/>
  <c r="F297" i="2"/>
  <c r="E297" i="2"/>
  <c r="D297" i="2"/>
  <c r="C297" i="2"/>
  <c r="B297" i="2"/>
  <c r="A297" i="2"/>
  <c r="J296" i="2"/>
  <c r="I296" i="2"/>
  <c r="H296" i="2"/>
  <c r="G296" i="2"/>
  <c r="F296" i="2"/>
  <c r="E296" i="2"/>
  <c r="D296" i="2"/>
  <c r="C296" i="2"/>
  <c r="B296" i="2"/>
  <c r="A296" i="2"/>
  <c r="J295" i="2"/>
  <c r="I295" i="2"/>
  <c r="H295" i="2"/>
  <c r="G295" i="2"/>
  <c r="F295" i="2"/>
  <c r="E295" i="2"/>
  <c r="D295" i="2"/>
  <c r="C295" i="2"/>
  <c r="B295" i="2"/>
  <c r="A295" i="2"/>
  <c r="J294" i="2"/>
  <c r="I294" i="2"/>
  <c r="H294" i="2"/>
  <c r="G294" i="2"/>
  <c r="F294" i="2"/>
  <c r="E294" i="2"/>
  <c r="D294" i="2"/>
  <c r="C294" i="2"/>
  <c r="B294" i="2"/>
  <c r="A294" i="2"/>
  <c r="J293" i="2"/>
  <c r="I293" i="2"/>
  <c r="H293" i="2"/>
  <c r="G293" i="2"/>
  <c r="F293" i="2"/>
  <c r="E293" i="2"/>
  <c r="D293" i="2"/>
  <c r="C293" i="2"/>
  <c r="B293" i="2"/>
  <c r="A293" i="2"/>
  <c r="J292" i="2"/>
  <c r="I292" i="2"/>
  <c r="H292" i="2"/>
  <c r="G292" i="2"/>
  <c r="F292" i="2"/>
  <c r="E292" i="2"/>
  <c r="D292" i="2"/>
  <c r="C292" i="2"/>
  <c r="B292" i="2"/>
  <c r="A292" i="2"/>
  <c r="J291" i="2"/>
  <c r="I291" i="2"/>
  <c r="H291" i="2"/>
  <c r="G291" i="2"/>
  <c r="F291" i="2"/>
  <c r="E291" i="2"/>
  <c r="D291" i="2"/>
  <c r="C291" i="2"/>
  <c r="B291" i="2"/>
  <c r="A291" i="2"/>
  <c r="J290" i="2"/>
  <c r="I290" i="2"/>
  <c r="H290" i="2"/>
  <c r="G290" i="2"/>
  <c r="F290" i="2"/>
  <c r="E290" i="2"/>
  <c r="D290" i="2"/>
  <c r="C290" i="2"/>
  <c r="B290" i="2"/>
  <c r="A290" i="2"/>
  <c r="J289" i="2"/>
  <c r="I289" i="2"/>
  <c r="H289" i="2"/>
  <c r="G289" i="2"/>
  <c r="F289" i="2"/>
  <c r="E289" i="2"/>
  <c r="D289" i="2"/>
  <c r="C289" i="2"/>
  <c r="B289" i="2"/>
  <c r="A289" i="2"/>
  <c r="J288" i="2"/>
  <c r="I288" i="2"/>
  <c r="H288" i="2"/>
  <c r="G288" i="2"/>
  <c r="F288" i="2"/>
  <c r="E288" i="2"/>
  <c r="D288" i="2"/>
  <c r="C288" i="2"/>
  <c r="B288" i="2"/>
  <c r="A288" i="2"/>
  <c r="J287" i="2"/>
  <c r="I287" i="2"/>
  <c r="H287" i="2"/>
  <c r="G287" i="2"/>
  <c r="F287" i="2"/>
  <c r="E287" i="2"/>
  <c r="D287" i="2"/>
  <c r="C287" i="2"/>
  <c r="B287" i="2"/>
  <c r="A287" i="2"/>
  <c r="J286" i="2"/>
  <c r="I286" i="2"/>
  <c r="H286" i="2"/>
  <c r="G286" i="2"/>
  <c r="F286" i="2"/>
  <c r="E286" i="2"/>
  <c r="D286" i="2"/>
  <c r="C286" i="2"/>
  <c r="B286" i="2"/>
  <c r="A286" i="2"/>
  <c r="J285" i="2"/>
  <c r="I285" i="2"/>
  <c r="H285" i="2"/>
  <c r="G285" i="2"/>
  <c r="F285" i="2"/>
  <c r="E285" i="2"/>
  <c r="D285" i="2"/>
  <c r="C285" i="2"/>
  <c r="B285" i="2"/>
  <c r="A285" i="2"/>
  <c r="J284" i="2"/>
  <c r="I284" i="2"/>
  <c r="H284" i="2"/>
  <c r="G284" i="2"/>
  <c r="F284" i="2"/>
  <c r="E284" i="2"/>
  <c r="D284" i="2"/>
  <c r="C284" i="2"/>
  <c r="B284" i="2"/>
  <c r="A284" i="2"/>
  <c r="J283" i="2"/>
  <c r="I283" i="2"/>
  <c r="H283" i="2"/>
  <c r="G283" i="2"/>
  <c r="F283" i="2"/>
  <c r="E283" i="2"/>
  <c r="D283" i="2"/>
  <c r="C283" i="2"/>
  <c r="B283" i="2"/>
  <c r="A283" i="2"/>
  <c r="J282" i="2"/>
  <c r="I282" i="2"/>
  <c r="H282" i="2"/>
  <c r="G282" i="2"/>
  <c r="F282" i="2"/>
  <c r="E282" i="2"/>
  <c r="D282" i="2"/>
  <c r="C282" i="2"/>
  <c r="B282" i="2"/>
  <c r="A282" i="2"/>
  <c r="J281" i="2"/>
  <c r="I281" i="2"/>
  <c r="H281" i="2"/>
  <c r="G281" i="2"/>
  <c r="F281" i="2"/>
  <c r="E281" i="2"/>
  <c r="D281" i="2"/>
  <c r="C281" i="2"/>
  <c r="B281" i="2"/>
  <c r="A281" i="2"/>
  <c r="J280" i="2"/>
  <c r="I280" i="2"/>
  <c r="H280" i="2"/>
  <c r="G280" i="2"/>
  <c r="F280" i="2"/>
  <c r="E280" i="2"/>
  <c r="D280" i="2"/>
  <c r="C280" i="2"/>
  <c r="B280" i="2"/>
  <c r="A280" i="2"/>
  <c r="J279" i="2"/>
  <c r="I279" i="2"/>
  <c r="H279" i="2"/>
  <c r="G279" i="2"/>
  <c r="F279" i="2"/>
  <c r="E279" i="2"/>
  <c r="D279" i="2"/>
  <c r="C279" i="2"/>
  <c r="B279" i="2"/>
  <c r="A279" i="2"/>
  <c r="J278" i="2"/>
  <c r="I278" i="2"/>
  <c r="H278" i="2"/>
  <c r="G278" i="2"/>
  <c r="F278" i="2"/>
  <c r="E278" i="2"/>
  <c r="D278" i="2"/>
  <c r="C278" i="2"/>
  <c r="B278" i="2"/>
  <c r="A278" i="2"/>
  <c r="J277" i="2"/>
  <c r="I277" i="2"/>
  <c r="H277" i="2"/>
  <c r="G277" i="2"/>
  <c r="F277" i="2"/>
  <c r="E277" i="2"/>
  <c r="D277" i="2"/>
  <c r="C277" i="2"/>
  <c r="B277" i="2"/>
  <c r="A277" i="2"/>
  <c r="J276" i="2"/>
  <c r="I276" i="2"/>
  <c r="H276" i="2"/>
  <c r="G276" i="2"/>
  <c r="F276" i="2"/>
  <c r="E276" i="2"/>
  <c r="D276" i="2"/>
  <c r="C276" i="2"/>
  <c r="B276" i="2"/>
  <c r="A276" i="2"/>
  <c r="J275" i="2"/>
  <c r="I275" i="2"/>
  <c r="H275" i="2"/>
  <c r="G275" i="2"/>
  <c r="F275" i="2"/>
  <c r="E275" i="2"/>
  <c r="D275" i="2"/>
  <c r="C275" i="2"/>
  <c r="B275" i="2"/>
  <c r="A275" i="2"/>
  <c r="J274" i="2"/>
  <c r="I274" i="2"/>
  <c r="H274" i="2"/>
  <c r="G274" i="2"/>
  <c r="F274" i="2"/>
  <c r="E274" i="2"/>
  <c r="D274" i="2"/>
  <c r="C274" i="2"/>
  <c r="B274" i="2"/>
  <c r="A274" i="2"/>
  <c r="J273" i="2"/>
  <c r="I273" i="2"/>
  <c r="H273" i="2"/>
  <c r="G273" i="2"/>
  <c r="F273" i="2"/>
  <c r="E273" i="2"/>
  <c r="D273" i="2"/>
  <c r="C273" i="2"/>
  <c r="B273" i="2"/>
  <c r="A273" i="2"/>
  <c r="J272" i="2"/>
  <c r="I272" i="2"/>
  <c r="H272" i="2"/>
  <c r="G272" i="2"/>
  <c r="F272" i="2"/>
  <c r="E272" i="2"/>
  <c r="D272" i="2"/>
  <c r="C272" i="2"/>
  <c r="B272" i="2"/>
  <c r="A272" i="2"/>
  <c r="J271" i="2"/>
  <c r="I271" i="2"/>
  <c r="H271" i="2"/>
  <c r="G271" i="2"/>
  <c r="F271" i="2"/>
  <c r="E271" i="2"/>
  <c r="D271" i="2"/>
  <c r="C271" i="2"/>
  <c r="B271" i="2"/>
  <c r="A271" i="2"/>
  <c r="J270" i="2"/>
  <c r="I270" i="2"/>
  <c r="H270" i="2"/>
  <c r="G270" i="2"/>
  <c r="F270" i="2"/>
  <c r="E270" i="2"/>
  <c r="D270" i="2"/>
  <c r="C270" i="2"/>
  <c r="B270" i="2"/>
  <c r="A270" i="2"/>
  <c r="J269" i="2"/>
  <c r="I269" i="2"/>
  <c r="H269" i="2"/>
  <c r="G269" i="2"/>
  <c r="F269" i="2"/>
  <c r="E269" i="2"/>
  <c r="D269" i="2"/>
  <c r="C269" i="2"/>
  <c r="B269" i="2"/>
  <c r="A269" i="2"/>
  <c r="J268" i="2"/>
  <c r="I268" i="2"/>
  <c r="H268" i="2"/>
  <c r="G268" i="2"/>
  <c r="F268" i="2"/>
  <c r="E268" i="2"/>
  <c r="D268" i="2"/>
  <c r="C268" i="2"/>
  <c r="B268" i="2"/>
  <c r="A268" i="2"/>
  <c r="J267" i="2"/>
  <c r="I267" i="2"/>
  <c r="H267" i="2"/>
  <c r="G267" i="2"/>
  <c r="F267" i="2"/>
  <c r="E267" i="2"/>
  <c r="D267" i="2"/>
  <c r="C267" i="2"/>
  <c r="B267" i="2"/>
  <c r="A267" i="2"/>
  <c r="J266" i="2"/>
  <c r="I266" i="2"/>
  <c r="H266" i="2"/>
  <c r="G266" i="2"/>
  <c r="F266" i="2"/>
  <c r="E266" i="2"/>
  <c r="D266" i="2"/>
  <c r="C266" i="2"/>
  <c r="B266" i="2"/>
  <c r="A266" i="2"/>
  <c r="J265" i="2"/>
  <c r="I265" i="2"/>
  <c r="H265" i="2"/>
  <c r="G265" i="2"/>
  <c r="F265" i="2"/>
  <c r="E265" i="2"/>
  <c r="D265" i="2"/>
  <c r="C265" i="2"/>
  <c r="B265" i="2"/>
  <c r="A265" i="2"/>
  <c r="J264" i="2"/>
  <c r="I264" i="2"/>
  <c r="H264" i="2"/>
  <c r="G264" i="2"/>
  <c r="F264" i="2"/>
  <c r="E264" i="2"/>
  <c r="D264" i="2"/>
  <c r="C264" i="2"/>
  <c r="B264" i="2"/>
  <c r="A264" i="2"/>
  <c r="J263" i="2"/>
  <c r="I263" i="2"/>
  <c r="H263" i="2"/>
  <c r="G263" i="2"/>
  <c r="F263" i="2"/>
  <c r="E263" i="2"/>
  <c r="D263" i="2"/>
  <c r="C263" i="2"/>
  <c r="B263" i="2"/>
  <c r="A263" i="2"/>
  <c r="J262" i="2"/>
  <c r="I262" i="2"/>
  <c r="H262" i="2"/>
  <c r="G262" i="2"/>
  <c r="F262" i="2"/>
  <c r="E262" i="2"/>
  <c r="D262" i="2"/>
  <c r="C262" i="2"/>
  <c r="B262" i="2"/>
  <c r="A262" i="2"/>
  <c r="J261" i="2"/>
  <c r="I261" i="2"/>
  <c r="H261" i="2"/>
  <c r="G261" i="2"/>
  <c r="F261" i="2"/>
  <c r="E261" i="2"/>
  <c r="D261" i="2"/>
  <c r="C261" i="2"/>
  <c r="B261" i="2"/>
  <c r="A261" i="2"/>
  <c r="J260" i="2"/>
  <c r="I260" i="2"/>
  <c r="H260" i="2"/>
  <c r="G260" i="2"/>
  <c r="F260" i="2"/>
  <c r="E260" i="2"/>
  <c r="D260" i="2"/>
  <c r="C260" i="2"/>
  <c r="B260" i="2"/>
  <c r="A260" i="2"/>
  <c r="J259" i="2"/>
  <c r="I259" i="2"/>
  <c r="H259" i="2"/>
  <c r="G259" i="2"/>
  <c r="F259" i="2"/>
  <c r="E259" i="2"/>
  <c r="D259" i="2"/>
  <c r="C259" i="2"/>
  <c r="B259" i="2"/>
  <c r="A259" i="2"/>
  <c r="J258" i="2"/>
  <c r="I258" i="2"/>
  <c r="H258" i="2"/>
  <c r="G258" i="2"/>
  <c r="F258" i="2"/>
  <c r="E258" i="2"/>
  <c r="D258" i="2"/>
  <c r="C258" i="2"/>
  <c r="B258" i="2"/>
  <c r="A258" i="2"/>
  <c r="J257" i="2"/>
  <c r="I257" i="2"/>
  <c r="H257" i="2"/>
  <c r="G257" i="2"/>
  <c r="F257" i="2"/>
  <c r="E257" i="2"/>
  <c r="D257" i="2"/>
  <c r="C257" i="2"/>
  <c r="B257" i="2"/>
  <c r="A257" i="2"/>
  <c r="J256" i="2"/>
  <c r="I256" i="2"/>
  <c r="H256" i="2"/>
  <c r="G256" i="2"/>
  <c r="F256" i="2"/>
  <c r="E256" i="2"/>
  <c r="D256" i="2"/>
  <c r="C256" i="2"/>
  <c r="B256" i="2"/>
  <c r="A256" i="2"/>
  <c r="J255" i="2"/>
  <c r="I255" i="2"/>
  <c r="H255" i="2"/>
  <c r="G255" i="2"/>
  <c r="F255" i="2"/>
  <c r="E255" i="2"/>
  <c r="D255" i="2"/>
  <c r="C255" i="2"/>
  <c r="B255" i="2"/>
  <c r="A255" i="2"/>
  <c r="J254" i="2"/>
  <c r="I254" i="2"/>
  <c r="H254" i="2"/>
  <c r="G254" i="2"/>
  <c r="F254" i="2"/>
  <c r="E254" i="2"/>
  <c r="D254" i="2"/>
  <c r="C254" i="2"/>
  <c r="B254" i="2"/>
  <c r="A254" i="2"/>
  <c r="J253" i="2"/>
  <c r="I253" i="2"/>
  <c r="H253" i="2"/>
  <c r="G253" i="2"/>
  <c r="F253" i="2"/>
  <c r="E253" i="2"/>
  <c r="D253" i="2"/>
  <c r="C253" i="2"/>
  <c r="B253" i="2"/>
  <c r="A253" i="2"/>
  <c r="J252" i="2"/>
  <c r="I252" i="2"/>
  <c r="H252" i="2"/>
  <c r="G252" i="2"/>
  <c r="F252" i="2"/>
  <c r="E252" i="2"/>
  <c r="D252" i="2"/>
  <c r="C252" i="2"/>
  <c r="B252" i="2"/>
  <c r="A252" i="2"/>
  <c r="J251" i="2"/>
  <c r="I251" i="2"/>
  <c r="H251" i="2"/>
  <c r="G251" i="2"/>
  <c r="F251" i="2"/>
  <c r="E251" i="2"/>
  <c r="D251" i="2"/>
  <c r="C251" i="2"/>
  <c r="B251" i="2"/>
  <c r="A251" i="2"/>
  <c r="J250" i="2"/>
  <c r="I250" i="2"/>
  <c r="H250" i="2"/>
  <c r="G250" i="2"/>
  <c r="F250" i="2"/>
  <c r="E250" i="2"/>
  <c r="D250" i="2"/>
  <c r="C250" i="2"/>
  <c r="B250" i="2"/>
  <c r="A250" i="2"/>
  <c r="J249" i="2"/>
  <c r="I249" i="2"/>
  <c r="H249" i="2"/>
  <c r="G249" i="2"/>
  <c r="F249" i="2"/>
  <c r="E249" i="2"/>
  <c r="D249" i="2"/>
  <c r="C249" i="2"/>
  <c r="B249" i="2"/>
  <c r="A249" i="2"/>
  <c r="J248" i="2"/>
  <c r="I248" i="2"/>
  <c r="H248" i="2"/>
  <c r="G248" i="2"/>
  <c r="F248" i="2"/>
  <c r="E248" i="2"/>
  <c r="D248" i="2"/>
  <c r="C248" i="2"/>
  <c r="B248" i="2"/>
  <c r="A248" i="2"/>
  <c r="J247" i="2"/>
  <c r="I247" i="2"/>
  <c r="H247" i="2"/>
  <c r="G247" i="2"/>
  <c r="F247" i="2"/>
  <c r="E247" i="2"/>
  <c r="D247" i="2"/>
  <c r="C247" i="2"/>
  <c r="B247" i="2"/>
  <c r="A247" i="2"/>
  <c r="J246" i="2"/>
  <c r="I246" i="2"/>
  <c r="H246" i="2"/>
  <c r="G246" i="2"/>
  <c r="F246" i="2"/>
  <c r="E246" i="2"/>
  <c r="D246" i="2"/>
  <c r="C246" i="2"/>
  <c r="B246" i="2"/>
  <c r="A246" i="2"/>
  <c r="J245" i="2"/>
  <c r="I245" i="2"/>
  <c r="H245" i="2"/>
  <c r="G245" i="2"/>
  <c r="F245" i="2"/>
  <c r="E245" i="2"/>
  <c r="D245" i="2"/>
  <c r="C245" i="2"/>
  <c r="B245" i="2"/>
  <c r="A245" i="2"/>
  <c r="J244" i="2"/>
  <c r="I244" i="2"/>
  <c r="H244" i="2"/>
  <c r="G244" i="2"/>
  <c r="F244" i="2"/>
  <c r="E244" i="2"/>
  <c r="D244" i="2"/>
  <c r="C244" i="2"/>
  <c r="B244" i="2"/>
  <c r="A244" i="2"/>
  <c r="J243" i="2"/>
  <c r="I243" i="2"/>
  <c r="H243" i="2"/>
  <c r="G243" i="2"/>
  <c r="F243" i="2"/>
  <c r="E243" i="2"/>
  <c r="D243" i="2"/>
  <c r="C243" i="2"/>
  <c r="B243" i="2"/>
  <c r="A243" i="2"/>
  <c r="J242" i="2"/>
  <c r="I242" i="2"/>
  <c r="H242" i="2"/>
  <c r="G242" i="2"/>
  <c r="F242" i="2"/>
  <c r="E242" i="2"/>
  <c r="D242" i="2"/>
  <c r="C242" i="2"/>
  <c r="B242" i="2"/>
  <c r="A242" i="2"/>
  <c r="J241" i="2"/>
  <c r="I241" i="2"/>
  <c r="H241" i="2"/>
  <c r="G241" i="2"/>
  <c r="F241" i="2"/>
  <c r="E241" i="2"/>
  <c r="D241" i="2"/>
  <c r="C241" i="2"/>
  <c r="B241" i="2"/>
  <c r="A241" i="2"/>
  <c r="J240" i="2"/>
  <c r="I240" i="2"/>
  <c r="H240" i="2"/>
  <c r="G240" i="2"/>
  <c r="F240" i="2"/>
  <c r="E240" i="2"/>
  <c r="D240" i="2"/>
  <c r="C240" i="2"/>
  <c r="B240" i="2"/>
  <c r="A240" i="2"/>
  <c r="J239" i="2"/>
  <c r="I239" i="2"/>
  <c r="H239" i="2"/>
  <c r="G239" i="2"/>
  <c r="F239" i="2"/>
  <c r="E239" i="2"/>
  <c r="D239" i="2"/>
  <c r="C239" i="2"/>
  <c r="B239" i="2"/>
  <c r="A239" i="2"/>
  <c r="J238" i="2"/>
  <c r="I238" i="2"/>
  <c r="H238" i="2"/>
  <c r="G238" i="2"/>
  <c r="F238" i="2"/>
  <c r="E238" i="2"/>
  <c r="D238" i="2"/>
  <c r="C238" i="2"/>
  <c r="B238" i="2"/>
  <c r="A238" i="2"/>
  <c r="J237" i="2"/>
  <c r="I237" i="2"/>
  <c r="H237" i="2"/>
  <c r="G237" i="2"/>
  <c r="F237" i="2"/>
  <c r="E237" i="2"/>
  <c r="D237" i="2"/>
  <c r="C237" i="2"/>
  <c r="B237" i="2"/>
  <c r="A237" i="2"/>
  <c r="J236" i="2"/>
  <c r="I236" i="2"/>
  <c r="H236" i="2"/>
  <c r="G236" i="2"/>
  <c r="F236" i="2"/>
  <c r="E236" i="2"/>
  <c r="D236" i="2"/>
  <c r="C236" i="2"/>
  <c r="B236" i="2"/>
  <c r="A236" i="2"/>
  <c r="J235" i="2"/>
  <c r="I235" i="2"/>
  <c r="H235" i="2"/>
  <c r="G235" i="2"/>
  <c r="F235" i="2"/>
  <c r="E235" i="2"/>
  <c r="D235" i="2"/>
  <c r="C235" i="2"/>
  <c r="B235" i="2"/>
  <c r="A235" i="2"/>
  <c r="J234" i="2"/>
  <c r="I234" i="2"/>
  <c r="H234" i="2"/>
  <c r="G234" i="2"/>
  <c r="F234" i="2"/>
  <c r="E234" i="2"/>
  <c r="D234" i="2"/>
  <c r="C234" i="2"/>
  <c r="B234" i="2"/>
  <c r="A234" i="2"/>
  <c r="J233" i="2"/>
  <c r="I233" i="2"/>
  <c r="H233" i="2"/>
  <c r="G233" i="2"/>
  <c r="F233" i="2"/>
  <c r="E233" i="2"/>
  <c r="D233" i="2"/>
  <c r="C233" i="2"/>
  <c r="B233" i="2"/>
  <c r="A233" i="2"/>
  <c r="J232" i="2"/>
  <c r="I232" i="2"/>
  <c r="H232" i="2"/>
  <c r="G232" i="2"/>
  <c r="F232" i="2"/>
  <c r="E232" i="2"/>
  <c r="D232" i="2"/>
  <c r="C232" i="2"/>
  <c r="B232" i="2"/>
  <c r="A232" i="2"/>
  <c r="J231" i="2"/>
  <c r="I231" i="2"/>
  <c r="H231" i="2"/>
  <c r="G231" i="2"/>
  <c r="F231" i="2"/>
  <c r="E231" i="2"/>
  <c r="D231" i="2"/>
  <c r="C231" i="2"/>
  <c r="B231" i="2"/>
  <c r="A231" i="2"/>
  <c r="J230" i="2"/>
  <c r="I230" i="2"/>
  <c r="H230" i="2"/>
  <c r="G230" i="2"/>
  <c r="F230" i="2"/>
  <c r="E230" i="2"/>
  <c r="D230" i="2"/>
  <c r="C230" i="2"/>
  <c r="B230" i="2"/>
  <c r="A230" i="2"/>
  <c r="J229" i="2"/>
  <c r="I229" i="2"/>
  <c r="H229" i="2"/>
  <c r="G229" i="2"/>
  <c r="F229" i="2"/>
  <c r="E229" i="2"/>
  <c r="D229" i="2"/>
  <c r="C229" i="2"/>
  <c r="B229" i="2"/>
  <c r="A229" i="2"/>
  <c r="J228" i="2"/>
  <c r="I228" i="2"/>
  <c r="H228" i="2"/>
  <c r="G228" i="2"/>
  <c r="F228" i="2"/>
  <c r="E228" i="2"/>
  <c r="D228" i="2"/>
  <c r="C228" i="2"/>
  <c r="B228" i="2"/>
  <c r="A228" i="2"/>
  <c r="J227" i="2"/>
  <c r="I227" i="2"/>
  <c r="H227" i="2"/>
  <c r="G227" i="2"/>
  <c r="F227" i="2"/>
  <c r="E227" i="2"/>
  <c r="D227" i="2"/>
  <c r="C227" i="2"/>
  <c r="B227" i="2"/>
  <c r="A227" i="2"/>
  <c r="J226" i="2"/>
  <c r="I226" i="2"/>
  <c r="H226" i="2"/>
  <c r="G226" i="2"/>
  <c r="F226" i="2"/>
  <c r="E226" i="2"/>
  <c r="D226" i="2"/>
  <c r="C226" i="2"/>
  <c r="B226" i="2"/>
  <c r="A226" i="2"/>
  <c r="J225" i="2"/>
  <c r="I225" i="2"/>
  <c r="H225" i="2"/>
  <c r="G225" i="2"/>
  <c r="F225" i="2"/>
  <c r="E225" i="2"/>
  <c r="D225" i="2"/>
  <c r="C225" i="2"/>
  <c r="B225" i="2"/>
  <c r="A225" i="2"/>
  <c r="J224" i="2"/>
  <c r="I224" i="2"/>
  <c r="H224" i="2"/>
  <c r="G224" i="2"/>
  <c r="F224" i="2"/>
  <c r="E224" i="2"/>
  <c r="D224" i="2"/>
  <c r="C224" i="2"/>
  <c r="B224" i="2"/>
  <c r="A224" i="2"/>
  <c r="J223" i="2"/>
  <c r="I223" i="2"/>
  <c r="H223" i="2"/>
  <c r="G223" i="2"/>
  <c r="F223" i="2"/>
  <c r="E223" i="2"/>
  <c r="D223" i="2"/>
  <c r="C223" i="2"/>
  <c r="B223" i="2"/>
  <c r="A223" i="2"/>
  <c r="J222" i="2"/>
  <c r="I222" i="2"/>
  <c r="H222" i="2"/>
  <c r="G222" i="2"/>
  <c r="F222" i="2"/>
  <c r="E222" i="2"/>
  <c r="D222" i="2"/>
  <c r="C222" i="2"/>
  <c r="B222" i="2"/>
  <c r="A222" i="2"/>
  <c r="J221" i="2"/>
  <c r="I221" i="2"/>
  <c r="H221" i="2"/>
  <c r="G221" i="2"/>
  <c r="F221" i="2"/>
  <c r="E221" i="2"/>
  <c r="D221" i="2"/>
  <c r="C221" i="2"/>
  <c r="B221" i="2"/>
  <c r="A221" i="2"/>
  <c r="J220" i="2"/>
  <c r="I220" i="2"/>
  <c r="H220" i="2"/>
  <c r="G220" i="2"/>
  <c r="F220" i="2"/>
  <c r="E220" i="2"/>
  <c r="D220" i="2"/>
  <c r="C220" i="2"/>
  <c r="B220" i="2"/>
  <c r="A220" i="2"/>
  <c r="J219" i="2"/>
  <c r="I219" i="2"/>
  <c r="H219" i="2"/>
  <c r="G219" i="2"/>
  <c r="F219" i="2"/>
  <c r="E219" i="2"/>
  <c r="D219" i="2"/>
  <c r="C219" i="2"/>
  <c r="B219" i="2"/>
  <c r="A219" i="2"/>
  <c r="J218" i="2"/>
  <c r="I218" i="2"/>
  <c r="H218" i="2"/>
  <c r="G218" i="2"/>
  <c r="F218" i="2"/>
  <c r="E218" i="2"/>
  <c r="D218" i="2"/>
  <c r="C218" i="2"/>
  <c r="B218" i="2"/>
  <c r="A218" i="2"/>
  <c r="J217" i="2"/>
  <c r="I217" i="2"/>
  <c r="H217" i="2"/>
  <c r="G217" i="2"/>
  <c r="F217" i="2"/>
  <c r="E217" i="2"/>
  <c r="D217" i="2"/>
  <c r="C217" i="2"/>
  <c r="B217" i="2"/>
  <c r="A217" i="2"/>
  <c r="J216" i="2"/>
  <c r="I216" i="2"/>
  <c r="H216" i="2"/>
  <c r="G216" i="2"/>
  <c r="F216" i="2"/>
  <c r="E216" i="2"/>
  <c r="D216" i="2"/>
  <c r="C216" i="2"/>
  <c r="B216" i="2"/>
  <c r="A216" i="2"/>
  <c r="J215" i="2"/>
  <c r="I215" i="2"/>
  <c r="H215" i="2"/>
  <c r="G215" i="2"/>
  <c r="F215" i="2"/>
  <c r="E215" i="2"/>
  <c r="D215" i="2"/>
  <c r="C215" i="2"/>
  <c r="B215" i="2"/>
  <c r="A215" i="2"/>
  <c r="J214" i="2"/>
  <c r="I214" i="2"/>
  <c r="H214" i="2"/>
  <c r="G214" i="2"/>
  <c r="F214" i="2"/>
  <c r="E214" i="2"/>
  <c r="D214" i="2"/>
  <c r="C214" i="2"/>
  <c r="B214" i="2"/>
  <c r="A214" i="2"/>
  <c r="J213" i="2"/>
  <c r="I213" i="2"/>
  <c r="H213" i="2"/>
  <c r="G213" i="2"/>
  <c r="F213" i="2"/>
  <c r="E213" i="2"/>
  <c r="D213" i="2"/>
  <c r="C213" i="2"/>
  <c r="B213" i="2"/>
  <c r="A213" i="2"/>
  <c r="J212" i="2"/>
  <c r="I212" i="2"/>
  <c r="H212" i="2"/>
  <c r="G212" i="2"/>
  <c r="F212" i="2"/>
  <c r="E212" i="2"/>
  <c r="D212" i="2"/>
  <c r="C212" i="2"/>
  <c r="B212" i="2"/>
  <c r="A212" i="2"/>
  <c r="J211" i="2"/>
  <c r="I211" i="2"/>
  <c r="H211" i="2"/>
  <c r="G211" i="2"/>
  <c r="F211" i="2"/>
  <c r="E211" i="2"/>
  <c r="D211" i="2"/>
  <c r="C211" i="2"/>
  <c r="B211" i="2"/>
  <c r="A211" i="2"/>
  <c r="J210" i="2"/>
  <c r="I210" i="2"/>
  <c r="H210" i="2"/>
  <c r="G210" i="2"/>
  <c r="F210" i="2"/>
  <c r="E210" i="2"/>
  <c r="D210" i="2"/>
  <c r="C210" i="2"/>
  <c r="B210" i="2"/>
  <c r="A210" i="2"/>
  <c r="J209" i="2"/>
  <c r="I209" i="2"/>
  <c r="H209" i="2"/>
  <c r="G209" i="2"/>
  <c r="F209" i="2"/>
  <c r="E209" i="2"/>
  <c r="D209" i="2"/>
  <c r="C209" i="2"/>
  <c r="B209" i="2"/>
  <c r="A209" i="2"/>
  <c r="J208" i="2"/>
  <c r="I208" i="2"/>
  <c r="H208" i="2"/>
  <c r="G208" i="2"/>
  <c r="F208" i="2"/>
  <c r="E208" i="2"/>
  <c r="D208" i="2"/>
  <c r="C208" i="2"/>
  <c r="B208" i="2"/>
  <c r="A208" i="2"/>
  <c r="J207" i="2"/>
  <c r="I207" i="2"/>
  <c r="H207" i="2"/>
  <c r="G207" i="2"/>
  <c r="F207" i="2"/>
  <c r="E207" i="2"/>
  <c r="D207" i="2"/>
  <c r="C207" i="2"/>
  <c r="B207" i="2"/>
  <c r="A207" i="2"/>
  <c r="J206" i="2"/>
  <c r="I206" i="2"/>
  <c r="H206" i="2"/>
  <c r="G206" i="2"/>
  <c r="F206" i="2"/>
  <c r="E206" i="2"/>
  <c r="D206" i="2"/>
  <c r="C206" i="2"/>
  <c r="B206" i="2"/>
  <c r="A206" i="2"/>
  <c r="J205" i="2"/>
  <c r="I205" i="2"/>
  <c r="H205" i="2"/>
  <c r="G205" i="2"/>
  <c r="F205" i="2"/>
  <c r="E205" i="2"/>
  <c r="D205" i="2"/>
  <c r="C205" i="2"/>
  <c r="B205" i="2"/>
  <c r="A205" i="2"/>
  <c r="J204" i="2"/>
  <c r="I204" i="2"/>
  <c r="H204" i="2"/>
  <c r="G204" i="2"/>
  <c r="F204" i="2"/>
  <c r="E204" i="2"/>
  <c r="D204" i="2"/>
  <c r="C204" i="2"/>
  <c r="B204" i="2"/>
  <c r="A204" i="2"/>
  <c r="J203" i="2"/>
  <c r="I203" i="2"/>
  <c r="H203" i="2"/>
  <c r="G203" i="2"/>
  <c r="F203" i="2"/>
  <c r="E203" i="2"/>
  <c r="D203" i="2"/>
  <c r="C203" i="2"/>
  <c r="B203" i="2"/>
  <c r="A203" i="2"/>
  <c r="J202" i="2"/>
  <c r="I202" i="2"/>
  <c r="H202" i="2"/>
  <c r="G202" i="2"/>
  <c r="F202" i="2"/>
  <c r="E202" i="2"/>
  <c r="D202" i="2"/>
  <c r="C202" i="2"/>
  <c r="B202" i="2"/>
  <c r="A202" i="2"/>
  <c r="J201" i="2"/>
  <c r="I201" i="2"/>
  <c r="H201" i="2"/>
  <c r="G201" i="2"/>
  <c r="F201" i="2"/>
  <c r="E201" i="2"/>
  <c r="D201" i="2"/>
  <c r="C201" i="2"/>
  <c r="B201" i="2"/>
  <c r="A201" i="2"/>
  <c r="J200" i="2"/>
  <c r="I200" i="2"/>
  <c r="H200" i="2"/>
  <c r="G200" i="2"/>
  <c r="F200" i="2"/>
  <c r="E200" i="2"/>
  <c r="D200" i="2"/>
  <c r="C200" i="2"/>
  <c r="B200" i="2"/>
  <c r="A200" i="2"/>
  <c r="J199" i="2"/>
  <c r="I199" i="2"/>
  <c r="H199" i="2"/>
  <c r="G199" i="2"/>
  <c r="F199" i="2"/>
  <c r="E199" i="2"/>
  <c r="D199" i="2"/>
  <c r="C199" i="2"/>
  <c r="B199" i="2"/>
  <c r="A199" i="2"/>
  <c r="J198" i="2"/>
  <c r="I198" i="2"/>
  <c r="H198" i="2"/>
  <c r="G198" i="2"/>
  <c r="F198" i="2"/>
  <c r="E198" i="2"/>
  <c r="D198" i="2"/>
  <c r="C198" i="2"/>
  <c r="B198" i="2"/>
  <c r="A198" i="2"/>
  <c r="J197" i="2"/>
  <c r="I197" i="2"/>
  <c r="H197" i="2"/>
  <c r="G197" i="2"/>
  <c r="F197" i="2"/>
  <c r="E197" i="2"/>
  <c r="D197" i="2"/>
  <c r="C197" i="2"/>
  <c r="B197" i="2"/>
  <c r="A197" i="2"/>
  <c r="J196" i="2"/>
  <c r="I196" i="2"/>
  <c r="H196" i="2"/>
  <c r="G196" i="2"/>
  <c r="F196" i="2"/>
  <c r="E196" i="2"/>
  <c r="D196" i="2"/>
  <c r="C196" i="2"/>
  <c r="B196" i="2"/>
  <c r="A196" i="2"/>
  <c r="J195" i="2"/>
  <c r="I195" i="2"/>
  <c r="H195" i="2"/>
  <c r="G195" i="2"/>
  <c r="F195" i="2"/>
  <c r="E195" i="2"/>
  <c r="D195" i="2"/>
  <c r="C195" i="2"/>
  <c r="B195" i="2"/>
  <c r="A195" i="2"/>
  <c r="J194" i="2"/>
  <c r="I194" i="2"/>
  <c r="H194" i="2"/>
  <c r="G194" i="2"/>
  <c r="F194" i="2"/>
  <c r="E194" i="2"/>
  <c r="D194" i="2"/>
  <c r="C194" i="2"/>
  <c r="B194" i="2"/>
  <c r="A194" i="2"/>
  <c r="J193" i="2"/>
  <c r="I193" i="2"/>
  <c r="H193" i="2"/>
  <c r="G193" i="2"/>
  <c r="F193" i="2"/>
  <c r="E193" i="2"/>
  <c r="D193" i="2"/>
  <c r="C193" i="2"/>
  <c r="B193" i="2"/>
  <c r="A193" i="2"/>
  <c r="J192" i="2"/>
  <c r="I192" i="2"/>
  <c r="H192" i="2"/>
  <c r="G192" i="2"/>
  <c r="F192" i="2"/>
  <c r="E192" i="2"/>
  <c r="D192" i="2"/>
  <c r="C192" i="2"/>
  <c r="B192" i="2"/>
  <c r="A192" i="2"/>
  <c r="J191" i="2"/>
  <c r="I191" i="2"/>
  <c r="H191" i="2"/>
  <c r="G191" i="2"/>
  <c r="F191" i="2"/>
  <c r="E191" i="2"/>
  <c r="D191" i="2"/>
  <c r="C191" i="2"/>
  <c r="B191" i="2"/>
  <c r="A191" i="2"/>
  <c r="J190" i="2"/>
  <c r="I190" i="2"/>
  <c r="H190" i="2"/>
  <c r="G190" i="2"/>
  <c r="F190" i="2"/>
  <c r="E190" i="2"/>
  <c r="D190" i="2"/>
  <c r="C190" i="2"/>
  <c r="B190" i="2"/>
  <c r="A190" i="2"/>
  <c r="J189" i="2"/>
  <c r="I189" i="2"/>
  <c r="H189" i="2"/>
  <c r="G189" i="2"/>
  <c r="F189" i="2"/>
  <c r="E189" i="2"/>
  <c r="D189" i="2"/>
  <c r="C189" i="2"/>
  <c r="B189" i="2"/>
  <c r="A189" i="2"/>
  <c r="J188" i="2"/>
  <c r="I188" i="2"/>
  <c r="H188" i="2"/>
  <c r="G188" i="2"/>
  <c r="F188" i="2"/>
  <c r="E188" i="2"/>
  <c r="D188" i="2"/>
  <c r="C188" i="2"/>
  <c r="B188" i="2"/>
  <c r="A188" i="2"/>
  <c r="J187" i="2"/>
  <c r="I187" i="2"/>
  <c r="H187" i="2"/>
  <c r="G187" i="2"/>
  <c r="F187" i="2"/>
  <c r="E187" i="2"/>
  <c r="D187" i="2"/>
  <c r="C187" i="2"/>
  <c r="B187" i="2"/>
  <c r="A187" i="2"/>
  <c r="J186" i="2"/>
  <c r="I186" i="2"/>
  <c r="H186" i="2"/>
  <c r="G186" i="2"/>
  <c r="F186" i="2"/>
  <c r="E186" i="2"/>
  <c r="D186" i="2"/>
  <c r="C186" i="2"/>
  <c r="B186" i="2"/>
  <c r="A186" i="2"/>
  <c r="J185" i="2"/>
  <c r="I185" i="2"/>
  <c r="H185" i="2"/>
  <c r="G185" i="2"/>
  <c r="F185" i="2"/>
  <c r="E185" i="2"/>
  <c r="D185" i="2"/>
  <c r="C185" i="2"/>
  <c r="B185" i="2"/>
  <c r="A185" i="2"/>
  <c r="J184" i="2"/>
  <c r="I184" i="2"/>
  <c r="H184" i="2"/>
  <c r="G184" i="2"/>
  <c r="F184" i="2"/>
  <c r="E184" i="2"/>
  <c r="D184" i="2"/>
  <c r="C184" i="2"/>
  <c r="B184" i="2"/>
  <c r="A184" i="2"/>
  <c r="J183" i="2"/>
  <c r="I183" i="2"/>
  <c r="H183" i="2"/>
  <c r="G183" i="2"/>
  <c r="F183" i="2"/>
  <c r="E183" i="2"/>
  <c r="D183" i="2"/>
  <c r="C183" i="2"/>
  <c r="B183" i="2"/>
  <c r="A183" i="2"/>
  <c r="J182" i="2"/>
  <c r="I182" i="2"/>
  <c r="H182" i="2"/>
  <c r="G182" i="2"/>
  <c r="F182" i="2"/>
  <c r="E182" i="2"/>
  <c r="D182" i="2"/>
  <c r="C182" i="2"/>
  <c r="B182" i="2"/>
  <c r="A182" i="2"/>
  <c r="J181" i="2"/>
  <c r="I181" i="2"/>
  <c r="H181" i="2"/>
  <c r="G181" i="2"/>
  <c r="F181" i="2"/>
  <c r="E181" i="2"/>
  <c r="D181" i="2"/>
  <c r="C181" i="2"/>
  <c r="B181" i="2"/>
  <c r="A181" i="2"/>
  <c r="J180" i="2"/>
  <c r="I180" i="2"/>
  <c r="H180" i="2"/>
  <c r="G180" i="2"/>
  <c r="F180" i="2"/>
  <c r="E180" i="2"/>
  <c r="D180" i="2"/>
  <c r="C180" i="2"/>
  <c r="B180" i="2"/>
  <c r="A180" i="2"/>
  <c r="J179" i="2"/>
  <c r="I179" i="2"/>
  <c r="H179" i="2"/>
  <c r="G179" i="2"/>
  <c r="F179" i="2"/>
  <c r="E179" i="2"/>
  <c r="D179" i="2"/>
  <c r="C179" i="2"/>
  <c r="B179" i="2"/>
  <c r="A179" i="2"/>
  <c r="J178" i="2"/>
  <c r="I178" i="2"/>
  <c r="H178" i="2"/>
  <c r="G178" i="2"/>
  <c r="F178" i="2"/>
  <c r="E178" i="2"/>
  <c r="D178" i="2"/>
  <c r="C178" i="2"/>
  <c r="B178" i="2"/>
  <c r="A178" i="2"/>
  <c r="J177" i="2"/>
  <c r="I177" i="2"/>
  <c r="H177" i="2"/>
  <c r="G177" i="2"/>
  <c r="F177" i="2"/>
  <c r="E177" i="2"/>
  <c r="D177" i="2"/>
  <c r="C177" i="2"/>
  <c r="B177" i="2"/>
  <c r="A177" i="2"/>
  <c r="J176" i="2"/>
  <c r="I176" i="2"/>
  <c r="H176" i="2"/>
  <c r="G176" i="2"/>
  <c r="F176" i="2"/>
  <c r="E176" i="2"/>
  <c r="D176" i="2"/>
  <c r="C176" i="2"/>
  <c r="B176" i="2"/>
  <c r="A176" i="2"/>
  <c r="J175" i="2"/>
  <c r="I175" i="2"/>
  <c r="H175" i="2"/>
  <c r="G175" i="2"/>
  <c r="F175" i="2"/>
  <c r="E175" i="2"/>
  <c r="D175" i="2"/>
  <c r="C175" i="2"/>
  <c r="B175" i="2"/>
  <c r="A175" i="2"/>
  <c r="J174" i="2"/>
  <c r="I174" i="2"/>
  <c r="H174" i="2"/>
  <c r="G174" i="2"/>
  <c r="F174" i="2"/>
  <c r="E174" i="2"/>
  <c r="D174" i="2"/>
  <c r="C174" i="2"/>
  <c r="B174" i="2"/>
  <c r="A174" i="2"/>
  <c r="J173" i="2"/>
  <c r="I173" i="2"/>
  <c r="H173" i="2"/>
  <c r="G173" i="2"/>
  <c r="F173" i="2"/>
  <c r="E173" i="2"/>
  <c r="D173" i="2"/>
  <c r="C173" i="2"/>
  <c r="B173" i="2"/>
  <c r="A173" i="2"/>
  <c r="J172" i="2"/>
  <c r="I172" i="2"/>
  <c r="H172" i="2"/>
  <c r="G172" i="2"/>
  <c r="F172" i="2"/>
  <c r="E172" i="2"/>
  <c r="D172" i="2"/>
  <c r="C172" i="2"/>
  <c r="B172" i="2"/>
  <c r="A172" i="2"/>
  <c r="J171" i="2"/>
  <c r="I171" i="2"/>
  <c r="H171" i="2"/>
  <c r="G171" i="2"/>
  <c r="F171" i="2"/>
  <c r="E171" i="2"/>
  <c r="D171" i="2"/>
  <c r="C171" i="2"/>
  <c r="B171" i="2"/>
  <c r="A171" i="2"/>
  <c r="J170" i="2"/>
  <c r="I170" i="2"/>
  <c r="H170" i="2"/>
  <c r="G170" i="2"/>
  <c r="F170" i="2"/>
  <c r="E170" i="2"/>
  <c r="D170" i="2"/>
  <c r="C170" i="2"/>
  <c r="B170" i="2"/>
  <c r="A170" i="2"/>
  <c r="J169" i="2"/>
  <c r="I169" i="2"/>
  <c r="H169" i="2"/>
  <c r="G169" i="2"/>
  <c r="F169" i="2"/>
  <c r="E169" i="2"/>
  <c r="D169" i="2"/>
  <c r="C169" i="2"/>
  <c r="B169" i="2"/>
  <c r="A169" i="2"/>
  <c r="J168" i="2"/>
  <c r="I168" i="2"/>
  <c r="H168" i="2"/>
  <c r="G168" i="2"/>
  <c r="F168" i="2"/>
  <c r="E168" i="2"/>
  <c r="D168" i="2"/>
  <c r="C168" i="2"/>
  <c r="B168" i="2"/>
  <c r="A168" i="2"/>
  <c r="J167" i="2"/>
  <c r="I167" i="2"/>
  <c r="H167" i="2"/>
  <c r="G167" i="2"/>
  <c r="F167" i="2"/>
  <c r="E167" i="2"/>
  <c r="D167" i="2"/>
  <c r="C167" i="2"/>
  <c r="B167" i="2"/>
  <c r="A167" i="2"/>
  <c r="J166" i="2"/>
  <c r="I166" i="2"/>
  <c r="H166" i="2"/>
  <c r="G166" i="2"/>
  <c r="F166" i="2"/>
  <c r="E166" i="2"/>
  <c r="D166" i="2"/>
  <c r="C166" i="2"/>
  <c r="B166" i="2"/>
  <c r="A166" i="2"/>
  <c r="J165" i="2"/>
  <c r="I165" i="2"/>
  <c r="H165" i="2"/>
  <c r="G165" i="2"/>
  <c r="F165" i="2"/>
  <c r="E165" i="2"/>
  <c r="D165" i="2"/>
  <c r="C165" i="2"/>
  <c r="B165" i="2"/>
  <c r="A165" i="2"/>
  <c r="J164" i="2"/>
  <c r="I164" i="2"/>
  <c r="H164" i="2"/>
  <c r="G164" i="2"/>
  <c r="F164" i="2"/>
  <c r="E164" i="2"/>
  <c r="D164" i="2"/>
  <c r="C164" i="2"/>
  <c r="B164" i="2"/>
  <c r="A164" i="2"/>
  <c r="J163" i="2"/>
  <c r="I163" i="2"/>
  <c r="H163" i="2"/>
  <c r="G163" i="2"/>
  <c r="F163" i="2"/>
  <c r="E163" i="2"/>
  <c r="D163" i="2"/>
  <c r="C163" i="2"/>
  <c r="B163" i="2"/>
  <c r="A163" i="2"/>
  <c r="J162" i="2"/>
  <c r="I162" i="2"/>
  <c r="H162" i="2"/>
  <c r="G162" i="2"/>
  <c r="F162" i="2"/>
  <c r="E162" i="2"/>
  <c r="D162" i="2"/>
  <c r="C162" i="2"/>
  <c r="B162" i="2"/>
  <c r="A162" i="2"/>
  <c r="J161" i="2"/>
  <c r="I161" i="2"/>
  <c r="H161" i="2"/>
  <c r="G161" i="2"/>
  <c r="F161" i="2"/>
  <c r="E161" i="2"/>
  <c r="D161" i="2"/>
  <c r="C161" i="2"/>
  <c r="B161" i="2"/>
  <c r="A161" i="2"/>
  <c r="J160" i="2"/>
  <c r="I160" i="2"/>
  <c r="H160" i="2"/>
  <c r="G160" i="2"/>
  <c r="F160" i="2"/>
  <c r="E160" i="2"/>
  <c r="D160" i="2"/>
  <c r="C160" i="2"/>
  <c r="B160" i="2"/>
  <c r="A160" i="2"/>
  <c r="J159" i="2"/>
  <c r="I159" i="2"/>
  <c r="H159" i="2"/>
  <c r="G159" i="2"/>
  <c r="F159" i="2"/>
  <c r="E159" i="2"/>
  <c r="D159" i="2"/>
  <c r="C159" i="2"/>
  <c r="B159" i="2"/>
  <c r="A159" i="2"/>
  <c r="J158" i="2"/>
  <c r="I158" i="2"/>
  <c r="H158" i="2"/>
  <c r="G158" i="2"/>
  <c r="F158" i="2"/>
  <c r="E158" i="2"/>
  <c r="D158" i="2"/>
  <c r="C158" i="2"/>
  <c r="B158" i="2"/>
  <c r="A158" i="2"/>
  <c r="J157" i="2"/>
  <c r="I157" i="2"/>
  <c r="H157" i="2"/>
  <c r="G157" i="2"/>
  <c r="F157" i="2"/>
  <c r="E157" i="2"/>
  <c r="D157" i="2"/>
  <c r="C157" i="2"/>
  <c r="B157" i="2"/>
  <c r="A157" i="2"/>
  <c r="J156" i="2"/>
  <c r="I156" i="2"/>
  <c r="H156" i="2"/>
  <c r="G156" i="2"/>
  <c r="F156" i="2"/>
  <c r="E156" i="2"/>
  <c r="D156" i="2"/>
  <c r="C156" i="2"/>
  <c r="B156" i="2"/>
  <c r="A156" i="2"/>
  <c r="J155" i="2"/>
  <c r="I155" i="2"/>
  <c r="H155" i="2"/>
  <c r="G155" i="2"/>
  <c r="F155" i="2"/>
  <c r="E155" i="2"/>
  <c r="D155" i="2"/>
  <c r="C155" i="2"/>
  <c r="B155" i="2"/>
  <c r="A155" i="2"/>
  <c r="J154" i="2"/>
  <c r="I154" i="2"/>
  <c r="H154" i="2"/>
  <c r="G154" i="2"/>
  <c r="F154" i="2"/>
  <c r="E154" i="2"/>
  <c r="D154" i="2"/>
  <c r="C154" i="2"/>
  <c r="B154" i="2"/>
  <c r="A154" i="2"/>
  <c r="J153" i="2"/>
  <c r="I153" i="2"/>
  <c r="H153" i="2"/>
  <c r="G153" i="2"/>
  <c r="F153" i="2"/>
  <c r="E153" i="2"/>
  <c r="D153" i="2"/>
  <c r="C153" i="2"/>
  <c r="B153" i="2"/>
  <c r="A153" i="2"/>
  <c r="J152" i="2"/>
  <c r="I152" i="2"/>
  <c r="H152" i="2"/>
  <c r="G152" i="2"/>
  <c r="F152" i="2"/>
  <c r="E152" i="2"/>
  <c r="D152" i="2"/>
  <c r="C152" i="2"/>
  <c r="B152" i="2"/>
  <c r="A152" i="2"/>
  <c r="J151" i="2"/>
  <c r="I151" i="2"/>
  <c r="H151" i="2"/>
  <c r="G151" i="2"/>
  <c r="F151" i="2"/>
  <c r="E151" i="2"/>
  <c r="D151" i="2"/>
  <c r="C151" i="2"/>
  <c r="B151" i="2"/>
  <c r="A151" i="2"/>
  <c r="J150" i="2"/>
  <c r="I150" i="2"/>
  <c r="H150" i="2"/>
  <c r="G150" i="2"/>
  <c r="F150" i="2"/>
  <c r="E150" i="2"/>
  <c r="D150" i="2"/>
  <c r="C150" i="2"/>
  <c r="B150" i="2"/>
  <c r="A150" i="2"/>
  <c r="J149" i="2"/>
  <c r="I149" i="2"/>
  <c r="H149" i="2"/>
  <c r="G149" i="2"/>
  <c r="F149" i="2"/>
  <c r="E149" i="2"/>
  <c r="D149" i="2"/>
  <c r="C149" i="2"/>
  <c r="B149" i="2"/>
  <c r="A149" i="2"/>
  <c r="J148" i="2"/>
  <c r="I148" i="2"/>
  <c r="H148" i="2"/>
  <c r="G148" i="2"/>
  <c r="F148" i="2"/>
  <c r="E148" i="2"/>
  <c r="D148" i="2"/>
  <c r="C148" i="2"/>
  <c r="B148" i="2"/>
  <c r="A148" i="2"/>
  <c r="J147" i="2"/>
  <c r="I147" i="2"/>
  <c r="H147" i="2"/>
  <c r="G147" i="2"/>
  <c r="F147" i="2"/>
  <c r="E147" i="2"/>
  <c r="D147" i="2"/>
  <c r="C147" i="2"/>
  <c r="B147" i="2"/>
  <c r="A147" i="2"/>
  <c r="J146" i="2"/>
  <c r="I146" i="2"/>
  <c r="H146" i="2"/>
  <c r="G146" i="2"/>
  <c r="F146" i="2"/>
  <c r="E146" i="2"/>
  <c r="D146" i="2"/>
  <c r="C146" i="2"/>
  <c r="B146" i="2"/>
  <c r="A146" i="2"/>
  <c r="J145" i="2"/>
  <c r="I145" i="2"/>
  <c r="H145" i="2"/>
  <c r="G145" i="2"/>
  <c r="F145" i="2"/>
  <c r="E145" i="2"/>
  <c r="D145" i="2"/>
  <c r="C145" i="2"/>
  <c r="B145" i="2"/>
  <c r="A145" i="2"/>
  <c r="J144" i="2"/>
  <c r="I144" i="2"/>
  <c r="H144" i="2"/>
  <c r="G144" i="2"/>
  <c r="F144" i="2"/>
  <c r="E144" i="2"/>
  <c r="D144" i="2"/>
  <c r="C144" i="2"/>
  <c r="B144" i="2"/>
  <c r="A144" i="2"/>
  <c r="J143" i="2"/>
  <c r="I143" i="2"/>
  <c r="H143" i="2"/>
  <c r="G143" i="2"/>
  <c r="F143" i="2"/>
  <c r="E143" i="2"/>
  <c r="D143" i="2"/>
  <c r="C143" i="2"/>
  <c r="B143" i="2"/>
  <c r="A143" i="2"/>
  <c r="J142" i="2"/>
  <c r="I142" i="2"/>
  <c r="H142" i="2"/>
  <c r="G142" i="2"/>
  <c r="F142" i="2"/>
  <c r="E142" i="2"/>
  <c r="D142" i="2"/>
  <c r="C142" i="2"/>
  <c r="B142" i="2"/>
  <c r="A142" i="2"/>
  <c r="J141" i="2"/>
  <c r="I141" i="2"/>
  <c r="H141" i="2"/>
  <c r="G141" i="2"/>
  <c r="F141" i="2"/>
  <c r="E141" i="2"/>
  <c r="D141" i="2"/>
  <c r="C141" i="2"/>
  <c r="B141" i="2"/>
  <c r="A141" i="2"/>
  <c r="J140" i="2"/>
  <c r="I140" i="2"/>
  <c r="H140" i="2"/>
  <c r="G140" i="2"/>
  <c r="F140" i="2"/>
  <c r="E140" i="2"/>
  <c r="D140" i="2"/>
  <c r="C140" i="2"/>
  <c r="B140" i="2"/>
  <c r="A140" i="2"/>
  <c r="J139" i="2"/>
  <c r="I139" i="2"/>
  <c r="H139" i="2"/>
  <c r="G139" i="2"/>
  <c r="F139" i="2"/>
  <c r="E139" i="2"/>
  <c r="D139" i="2"/>
  <c r="C139" i="2"/>
  <c r="B139" i="2"/>
  <c r="A139" i="2"/>
  <c r="J138" i="2"/>
  <c r="I138" i="2"/>
  <c r="H138" i="2"/>
  <c r="G138" i="2"/>
  <c r="F138" i="2"/>
  <c r="E138" i="2"/>
  <c r="D138" i="2"/>
  <c r="C138" i="2"/>
  <c r="B138" i="2"/>
  <c r="A138" i="2"/>
  <c r="J137" i="2"/>
  <c r="I137" i="2"/>
  <c r="H137" i="2"/>
  <c r="G137" i="2"/>
  <c r="F137" i="2"/>
  <c r="E137" i="2"/>
  <c r="D137" i="2"/>
  <c r="C137" i="2"/>
  <c r="B137" i="2"/>
  <c r="A137" i="2"/>
  <c r="J136" i="2"/>
  <c r="I136" i="2"/>
  <c r="H136" i="2"/>
  <c r="G136" i="2"/>
  <c r="F136" i="2"/>
  <c r="E136" i="2"/>
  <c r="D136" i="2"/>
  <c r="C136" i="2"/>
  <c r="B136" i="2"/>
  <c r="A136" i="2"/>
  <c r="J135" i="2"/>
  <c r="I135" i="2"/>
  <c r="H135" i="2"/>
  <c r="G135" i="2"/>
  <c r="F135" i="2"/>
  <c r="E135" i="2"/>
  <c r="D135" i="2"/>
  <c r="C135" i="2"/>
  <c r="B135" i="2"/>
  <c r="A135" i="2"/>
  <c r="J134" i="2"/>
  <c r="I134" i="2"/>
  <c r="H134" i="2"/>
  <c r="G134" i="2"/>
  <c r="F134" i="2"/>
  <c r="E134" i="2"/>
  <c r="D134" i="2"/>
  <c r="C134" i="2"/>
  <c r="B134" i="2"/>
  <c r="A134" i="2"/>
  <c r="J133" i="2"/>
  <c r="I133" i="2"/>
  <c r="H133" i="2"/>
  <c r="G133" i="2"/>
  <c r="F133" i="2"/>
  <c r="E133" i="2"/>
  <c r="D133" i="2"/>
  <c r="C133" i="2"/>
  <c r="B133" i="2"/>
  <c r="A133" i="2"/>
  <c r="J132" i="2"/>
  <c r="I132" i="2"/>
  <c r="H132" i="2"/>
  <c r="G132" i="2"/>
  <c r="F132" i="2"/>
  <c r="E132" i="2"/>
  <c r="D132" i="2"/>
  <c r="C132" i="2"/>
  <c r="B132" i="2"/>
  <c r="A132" i="2"/>
  <c r="J131" i="2"/>
  <c r="I131" i="2"/>
  <c r="H131" i="2"/>
  <c r="G131" i="2"/>
  <c r="F131" i="2"/>
  <c r="E131" i="2"/>
  <c r="D131" i="2"/>
  <c r="C131" i="2"/>
  <c r="B131" i="2"/>
  <c r="A131" i="2"/>
  <c r="J130" i="2"/>
  <c r="I130" i="2"/>
  <c r="H130" i="2"/>
  <c r="G130" i="2"/>
  <c r="F130" i="2"/>
  <c r="E130" i="2"/>
  <c r="D130" i="2"/>
  <c r="C130" i="2"/>
  <c r="B130" i="2"/>
  <c r="A130" i="2"/>
  <c r="J129" i="2"/>
  <c r="I129" i="2"/>
  <c r="H129" i="2"/>
  <c r="G129" i="2"/>
  <c r="F129" i="2"/>
  <c r="E129" i="2"/>
  <c r="D129" i="2"/>
  <c r="C129" i="2"/>
  <c r="B129" i="2"/>
  <c r="A129" i="2"/>
  <c r="J128" i="2"/>
  <c r="I128" i="2"/>
  <c r="H128" i="2"/>
  <c r="G128" i="2"/>
  <c r="F128" i="2"/>
  <c r="E128" i="2"/>
  <c r="D128" i="2"/>
  <c r="C128" i="2"/>
  <c r="B128" i="2"/>
  <c r="A128" i="2"/>
  <c r="J127" i="2"/>
  <c r="I127" i="2"/>
  <c r="H127" i="2"/>
  <c r="G127" i="2"/>
  <c r="F127" i="2"/>
  <c r="E127" i="2"/>
  <c r="D127" i="2"/>
  <c r="C127" i="2"/>
  <c r="B127" i="2"/>
  <c r="A127" i="2"/>
  <c r="J126" i="2"/>
  <c r="I126" i="2"/>
  <c r="H126" i="2"/>
  <c r="G126" i="2"/>
  <c r="F126" i="2"/>
  <c r="E126" i="2"/>
  <c r="D126" i="2"/>
  <c r="C126" i="2"/>
  <c r="B126" i="2"/>
  <c r="A126" i="2"/>
  <c r="J125" i="2"/>
  <c r="I125" i="2"/>
  <c r="H125" i="2"/>
  <c r="G125" i="2"/>
  <c r="F125" i="2"/>
  <c r="E125" i="2"/>
  <c r="D125" i="2"/>
  <c r="C125" i="2"/>
  <c r="B125" i="2"/>
  <c r="A125" i="2"/>
  <c r="J124" i="2"/>
  <c r="I124" i="2"/>
  <c r="H124" i="2"/>
  <c r="G124" i="2"/>
  <c r="F124" i="2"/>
  <c r="E124" i="2"/>
  <c r="D124" i="2"/>
  <c r="C124" i="2"/>
  <c r="B124" i="2"/>
  <c r="A124" i="2"/>
  <c r="J123" i="2"/>
  <c r="I123" i="2"/>
  <c r="H123" i="2"/>
  <c r="G123" i="2"/>
  <c r="F123" i="2"/>
  <c r="E123" i="2"/>
  <c r="D123" i="2"/>
  <c r="C123" i="2"/>
  <c r="B123" i="2"/>
  <c r="A123" i="2"/>
  <c r="J122" i="2"/>
  <c r="I122" i="2"/>
  <c r="H122" i="2"/>
  <c r="G122" i="2"/>
  <c r="F122" i="2"/>
  <c r="E122" i="2"/>
  <c r="D122" i="2"/>
  <c r="C122" i="2"/>
  <c r="B122" i="2"/>
  <c r="A122" i="2"/>
  <c r="J121" i="2"/>
  <c r="I121" i="2"/>
  <c r="H121" i="2"/>
  <c r="G121" i="2"/>
  <c r="F121" i="2"/>
  <c r="E121" i="2"/>
  <c r="D121" i="2"/>
  <c r="C121" i="2"/>
  <c r="B121" i="2"/>
  <c r="A121" i="2"/>
  <c r="J120" i="2"/>
  <c r="I120" i="2"/>
  <c r="H120" i="2"/>
  <c r="G120" i="2"/>
  <c r="F120" i="2"/>
  <c r="E120" i="2"/>
  <c r="D120" i="2"/>
  <c r="C120" i="2"/>
  <c r="B120" i="2"/>
  <c r="A120" i="2"/>
  <c r="J119" i="2"/>
  <c r="I119" i="2"/>
  <c r="H119" i="2"/>
  <c r="G119" i="2"/>
  <c r="F119" i="2"/>
  <c r="E119" i="2"/>
  <c r="D119" i="2"/>
  <c r="C119" i="2"/>
  <c r="B119" i="2"/>
  <c r="A119" i="2"/>
  <c r="J118" i="2"/>
  <c r="I118" i="2"/>
  <c r="H118" i="2"/>
  <c r="G118" i="2"/>
  <c r="F118" i="2"/>
  <c r="E118" i="2"/>
  <c r="D118" i="2"/>
  <c r="C118" i="2"/>
  <c r="B118" i="2"/>
  <c r="A118" i="2"/>
  <c r="J117" i="2"/>
  <c r="I117" i="2"/>
  <c r="H117" i="2"/>
  <c r="G117" i="2"/>
  <c r="F117" i="2"/>
  <c r="E117" i="2"/>
  <c r="D117" i="2"/>
  <c r="C117" i="2"/>
  <c r="B117" i="2"/>
  <c r="A117" i="2"/>
  <c r="J116" i="2"/>
  <c r="I116" i="2"/>
  <c r="H116" i="2"/>
  <c r="G116" i="2"/>
  <c r="F116" i="2"/>
  <c r="E116" i="2"/>
  <c r="D116" i="2"/>
  <c r="C116" i="2"/>
  <c r="B116" i="2"/>
  <c r="A116" i="2"/>
  <c r="J115" i="2"/>
  <c r="I115" i="2"/>
  <c r="H115" i="2"/>
  <c r="G115" i="2"/>
  <c r="F115" i="2"/>
  <c r="E115" i="2"/>
  <c r="D115" i="2"/>
  <c r="C115" i="2"/>
  <c r="B115" i="2"/>
  <c r="A115" i="2"/>
  <c r="J114" i="2"/>
  <c r="I114" i="2"/>
  <c r="H114" i="2"/>
  <c r="G114" i="2"/>
  <c r="F114" i="2"/>
  <c r="E114" i="2"/>
  <c r="D114" i="2"/>
  <c r="C114" i="2"/>
  <c r="B114" i="2"/>
  <c r="A114" i="2"/>
  <c r="J113" i="2"/>
  <c r="I113" i="2"/>
  <c r="H113" i="2"/>
  <c r="G113" i="2"/>
  <c r="F113" i="2"/>
  <c r="E113" i="2"/>
  <c r="D113" i="2"/>
  <c r="C113" i="2"/>
  <c r="B113" i="2"/>
  <c r="A113" i="2"/>
  <c r="J112" i="2"/>
  <c r="I112" i="2"/>
  <c r="H112" i="2"/>
  <c r="G112" i="2"/>
  <c r="F112" i="2"/>
  <c r="E112" i="2"/>
  <c r="D112" i="2"/>
  <c r="C112" i="2"/>
  <c r="B112" i="2"/>
  <c r="A112" i="2"/>
  <c r="J111" i="2"/>
  <c r="I111" i="2"/>
  <c r="H111" i="2"/>
  <c r="G111" i="2"/>
  <c r="F111" i="2"/>
  <c r="E111" i="2"/>
  <c r="D111" i="2"/>
  <c r="C111" i="2"/>
  <c r="B111" i="2"/>
  <c r="A111" i="2"/>
  <c r="J110" i="2"/>
  <c r="I110" i="2"/>
  <c r="H110" i="2"/>
  <c r="G110" i="2"/>
  <c r="F110" i="2"/>
  <c r="E110" i="2"/>
  <c r="D110" i="2"/>
  <c r="C110" i="2"/>
  <c r="B110" i="2"/>
  <c r="A110" i="2"/>
  <c r="J109" i="2"/>
  <c r="I109" i="2"/>
  <c r="H109" i="2"/>
  <c r="G109" i="2"/>
  <c r="F109" i="2"/>
  <c r="E109" i="2"/>
  <c r="D109" i="2"/>
  <c r="C109" i="2"/>
  <c r="B109" i="2"/>
  <c r="A109" i="2"/>
  <c r="J108" i="2"/>
  <c r="I108" i="2"/>
  <c r="H108" i="2"/>
  <c r="G108" i="2"/>
  <c r="F108" i="2"/>
  <c r="E108" i="2"/>
  <c r="D108" i="2"/>
  <c r="C108" i="2"/>
  <c r="B108" i="2"/>
  <c r="A108" i="2"/>
  <c r="J107" i="2"/>
  <c r="I107" i="2"/>
  <c r="H107" i="2"/>
  <c r="G107" i="2"/>
  <c r="F107" i="2"/>
  <c r="E107" i="2"/>
  <c r="D107" i="2"/>
  <c r="C107" i="2"/>
  <c r="B107" i="2"/>
  <c r="A107" i="2"/>
  <c r="J106" i="2"/>
  <c r="I106" i="2"/>
  <c r="H106" i="2"/>
  <c r="G106" i="2"/>
  <c r="F106" i="2"/>
  <c r="E106" i="2"/>
  <c r="D106" i="2"/>
  <c r="C106" i="2"/>
  <c r="B106" i="2"/>
  <c r="A106" i="2"/>
  <c r="J105" i="2"/>
  <c r="I105" i="2"/>
  <c r="H105" i="2"/>
  <c r="G105" i="2"/>
  <c r="F105" i="2"/>
  <c r="E105" i="2"/>
  <c r="D105" i="2"/>
  <c r="C105" i="2"/>
  <c r="B105" i="2"/>
  <c r="A105" i="2"/>
  <c r="J104" i="2"/>
  <c r="I104" i="2"/>
  <c r="H104" i="2"/>
  <c r="G104" i="2"/>
  <c r="F104" i="2"/>
  <c r="E104" i="2"/>
  <c r="D104" i="2"/>
  <c r="C104" i="2"/>
  <c r="B104" i="2"/>
  <c r="A104" i="2"/>
  <c r="J103" i="2"/>
  <c r="I103" i="2"/>
  <c r="H103" i="2"/>
  <c r="G103" i="2"/>
  <c r="F103" i="2"/>
  <c r="E103" i="2"/>
  <c r="D103" i="2"/>
  <c r="C103" i="2"/>
  <c r="B103" i="2"/>
  <c r="A103" i="2"/>
  <c r="J102" i="2"/>
  <c r="I102" i="2"/>
  <c r="H102" i="2"/>
  <c r="G102" i="2"/>
  <c r="F102" i="2"/>
  <c r="E102" i="2"/>
  <c r="D102" i="2"/>
  <c r="C102" i="2"/>
  <c r="B102" i="2"/>
  <c r="A102" i="2"/>
  <c r="J101" i="2"/>
  <c r="I101" i="2"/>
  <c r="H101" i="2"/>
  <c r="G101" i="2"/>
  <c r="F101" i="2"/>
  <c r="E101" i="2"/>
  <c r="D101" i="2"/>
  <c r="C101" i="2"/>
  <c r="B101" i="2"/>
  <c r="A101" i="2"/>
  <c r="J100" i="2"/>
  <c r="I100" i="2"/>
  <c r="H100" i="2"/>
  <c r="G100" i="2"/>
  <c r="F100" i="2"/>
  <c r="E100" i="2"/>
  <c r="D100" i="2"/>
  <c r="C100" i="2"/>
  <c r="B100" i="2"/>
  <c r="A100" i="2"/>
  <c r="J99" i="2"/>
  <c r="I99" i="2"/>
  <c r="H99" i="2"/>
  <c r="G99" i="2"/>
  <c r="F99" i="2"/>
  <c r="E99" i="2"/>
  <c r="D99" i="2"/>
  <c r="C99" i="2"/>
  <c r="B99" i="2"/>
  <c r="A99" i="2"/>
  <c r="J98" i="2"/>
  <c r="I98" i="2"/>
  <c r="H98" i="2"/>
  <c r="G98" i="2"/>
  <c r="F98" i="2"/>
  <c r="E98" i="2"/>
  <c r="D98" i="2"/>
  <c r="C98" i="2"/>
  <c r="B98" i="2"/>
  <c r="A98" i="2"/>
  <c r="J97" i="2"/>
  <c r="I97" i="2"/>
  <c r="H97" i="2"/>
  <c r="G97" i="2"/>
  <c r="F97" i="2"/>
  <c r="E97" i="2"/>
  <c r="D97" i="2"/>
  <c r="C97" i="2"/>
  <c r="B97" i="2"/>
  <c r="A97" i="2"/>
  <c r="J96" i="2"/>
  <c r="I96" i="2"/>
  <c r="H96" i="2"/>
  <c r="G96" i="2"/>
  <c r="F96" i="2"/>
  <c r="E96" i="2"/>
  <c r="D96" i="2"/>
  <c r="C96" i="2"/>
  <c r="B96" i="2"/>
  <c r="A96" i="2"/>
  <c r="J95" i="2"/>
  <c r="I95" i="2"/>
  <c r="H95" i="2"/>
  <c r="G95" i="2"/>
  <c r="F95" i="2"/>
  <c r="E95" i="2"/>
  <c r="D95" i="2"/>
  <c r="C95" i="2"/>
  <c r="B95" i="2"/>
  <c r="A95" i="2"/>
  <c r="J94" i="2"/>
  <c r="I94" i="2"/>
  <c r="H94" i="2"/>
  <c r="G94" i="2"/>
  <c r="F94" i="2"/>
  <c r="E94" i="2"/>
  <c r="D94" i="2"/>
  <c r="C94" i="2"/>
  <c r="B94" i="2"/>
  <c r="A94" i="2"/>
  <c r="J93" i="2"/>
  <c r="I93" i="2"/>
  <c r="H93" i="2"/>
  <c r="G93" i="2"/>
  <c r="F93" i="2"/>
  <c r="E93" i="2"/>
  <c r="D93" i="2"/>
  <c r="C93" i="2"/>
  <c r="B93" i="2"/>
  <c r="A93" i="2"/>
  <c r="J92" i="2"/>
  <c r="I92" i="2"/>
  <c r="H92" i="2"/>
  <c r="G92" i="2"/>
  <c r="F92" i="2"/>
  <c r="E92" i="2"/>
  <c r="D92" i="2"/>
  <c r="C92" i="2"/>
  <c r="B92" i="2"/>
  <c r="A92" i="2"/>
  <c r="J91" i="2"/>
  <c r="I91" i="2"/>
  <c r="H91" i="2"/>
  <c r="G91" i="2"/>
  <c r="F91" i="2"/>
  <c r="E91" i="2"/>
  <c r="D91" i="2"/>
  <c r="C91" i="2"/>
  <c r="B91" i="2"/>
  <c r="A91" i="2"/>
  <c r="J90" i="2"/>
  <c r="I90" i="2"/>
  <c r="H90" i="2"/>
  <c r="G90" i="2"/>
  <c r="F90" i="2"/>
  <c r="E90" i="2"/>
  <c r="D90" i="2"/>
  <c r="C90" i="2"/>
  <c r="B90" i="2"/>
  <c r="A90" i="2"/>
  <c r="J89" i="2"/>
  <c r="I89" i="2"/>
  <c r="H89" i="2"/>
  <c r="G89" i="2"/>
  <c r="F89" i="2"/>
  <c r="E89" i="2"/>
  <c r="D89" i="2"/>
  <c r="C89" i="2"/>
  <c r="B89" i="2"/>
  <c r="A89" i="2"/>
  <c r="J88" i="2"/>
  <c r="I88" i="2"/>
  <c r="H88" i="2"/>
  <c r="G88" i="2"/>
  <c r="F88" i="2"/>
  <c r="E88" i="2"/>
  <c r="D88" i="2"/>
  <c r="C88" i="2"/>
  <c r="B88" i="2"/>
  <c r="A88" i="2"/>
  <c r="J87" i="2"/>
  <c r="I87" i="2"/>
  <c r="H87" i="2"/>
  <c r="G87" i="2"/>
  <c r="F87" i="2"/>
  <c r="E87" i="2"/>
  <c r="D87" i="2"/>
  <c r="C87" i="2"/>
  <c r="B87" i="2"/>
  <c r="A87" i="2"/>
  <c r="J86" i="2"/>
  <c r="I86" i="2"/>
  <c r="H86" i="2"/>
  <c r="G86" i="2"/>
  <c r="F86" i="2"/>
  <c r="E86" i="2"/>
  <c r="D86" i="2"/>
  <c r="C86" i="2"/>
  <c r="B86" i="2"/>
  <c r="A86" i="2"/>
  <c r="J85" i="2"/>
  <c r="I85" i="2"/>
  <c r="H85" i="2"/>
  <c r="G85" i="2"/>
  <c r="F85" i="2"/>
  <c r="E85" i="2"/>
  <c r="D85" i="2"/>
  <c r="C85" i="2"/>
  <c r="B85" i="2"/>
  <c r="A85" i="2"/>
  <c r="J84" i="2"/>
  <c r="I84" i="2"/>
  <c r="H84" i="2"/>
  <c r="G84" i="2"/>
  <c r="F84" i="2"/>
  <c r="E84" i="2"/>
  <c r="D84" i="2"/>
  <c r="C84" i="2"/>
  <c r="B84" i="2"/>
  <c r="A84" i="2"/>
  <c r="J83" i="2"/>
  <c r="I83" i="2"/>
  <c r="H83" i="2"/>
  <c r="G83" i="2"/>
  <c r="F83" i="2"/>
  <c r="E83" i="2"/>
  <c r="D83" i="2"/>
  <c r="C83" i="2"/>
  <c r="B83" i="2"/>
  <c r="A83" i="2"/>
  <c r="J82" i="2"/>
  <c r="I82" i="2"/>
  <c r="H82" i="2"/>
  <c r="G82" i="2"/>
  <c r="F82" i="2"/>
  <c r="E82" i="2"/>
  <c r="D82" i="2"/>
  <c r="C82" i="2"/>
  <c r="B82" i="2"/>
  <c r="A82" i="2"/>
  <c r="J81" i="2"/>
  <c r="I81" i="2"/>
  <c r="H81" i="2"/>
  <c r="G81" i="2"/>
  <c r="F81" i="2"/>
  <c r="E81" i="2"/>
  <c r="D81" i="2"/>
  <c r="C81" i="2"/>
  <c r="B81" i="2"/>
  <c r="A81" i="2"/>
  <c r="J80" i="2"/>
  <c r="I80" i="2"/>
  <c r="H80" i="2"/>
  <c r="G80" i="2"/>
  <c r="F80" i="2"/>
  <c r="E80" i="2"/>
  <c r="D80" i="2"/>
  <c r="C80" i="2"/>
  <c r="B80" i="2"/>
  <c r="A80" i="2"/>
  <c r="J79" i="2"/>
  <c r="I79" i="2"/>
  <c r="H79" i="2"/>
  <c r="G79" i="2"/>
  <c r="F79" i="2"/>
  <c r="E79" i="2"/>
  <c r="D79" i="2"/>
  <c r="C79" i="2"/>
  <c r="B79" i="2"/>
  <c r="A79" i="2"/>
  <c r="J78" i="2"/>
  <c r="I78" i="2"/>
  <c r="H78" i="2"/>
  <c r="G78" i="2"/>
  <c r="F78" i="2"/>
  <c r="E78" i="2"/>
  <c r="D78" i="2"/>
  <c r="C78" i="2"/>
  <c r="B78" i="2"/>
  <c r="A78" i="2"/>
  <c r="J77" i="2"/>
  <c r="I77" i="2"/>
  <c r="H77" i="2"/>
  <c r="G77" i="2"/>
  <c r="F77" i="2"/>
  <c r="E77" i="2"/>
  <c r="D77" i="2"/>
  <c r="C77" i="2"/>
  <c r="B77" i="2"/>
  <c r="A77" i="2"/>
  <c r="J76" i="2"/>
  <c r="I76" i="2"/>
  <c r="H76" i="2"/>
  <c r="G76" i="2"/>
  <c r="F76" i="2"/>
  <c r="E76" i="2"/>
  <c r="D76" i="2"/>
  <c r="C76" i="2"/>
  <c r="B76" i="2"/>
  <c r="A76" i="2"/>
  <c r="J75" i="2"/>
  <c r="I75" i="2"/>
  <c r="H75" i="2"/>
  <c r="G75" i="2"/>
  <c r="F75" i="2"/>
  <c r="E75" i="2"/>
  <c r="D75" i="2"/>
  <c r="C75" i="2"/>
  <c r="B75" i="2"/>
  <c r="A75" i="2"/>
  <c r="J74" i="2"/>
  <c r="I74" i="2"/>
  <c r="H74" i="2"/>
  <c r="G74" i="2"/>
  <c r="F74" i="2"/>
  <c r="E74" i="2"/>
  <c r="D74" i="2"/>
  <c r="C74" i="2"/>
  <c r="B74" i="2"/>
  <c r="A74" i="2"/>
  <c r="J73" i="2"/>
  <c r="I73" i="2"/>
  <c r="H73" i="2"/>
  <c r="G73" i="2"/>
  <c r="F73" i="2"/>
  <c r="E73" i="2"/>
  <c r="D73" i="2"/>
  <c r="C73" i="2"/>
  <c r="B73" i="2"/>
  <c r="A73" i="2"/>
  <c r="J72" i="2"/>
  <c r="I72" i="2"/>
  <c r="H72" i="2"/>
  <c r="G72" i="2"/>
  <c r="F72" i="2"/>
  <c r="E72" i="2"/>
  <c r="D72" i="2"/>
  <c r="C72" i="2"/>
  <c r="B72" i="2"/>
  <c r="A72" i="2"/>
  <c r="J71" i="2"/>
  <c r="I71" i="2"/>
  <c r="H71" i="2"/>
  <c r="G71" i="2"/>
  <c r="F71" i="2"/>
  <c r="E71" i="2"/>
  <c r="D71" i="2"/>
  <c r="C71" i="2"/>
  <c r="B71" i="2"/>
  <c r="A71" i="2"/>
  <c r="J70" i="2"/>
  <c r="I70" i="2"/>
  <c r="H70" i="2"/>
  <c r="G70" i="2"/>
  <c r="F70" i="2"/>
  <c r="E70" i="2"/>
  <c r="D70" i="2"/>
  <c r="C70" i="2"/>
  <c r="B70" i="2"/>
  <c r="A70" i="2"/>
  <c r="J69" i="2"/>
  <c r="I69" i="2"/>
  <c r="H69" i="2"/>
  <c r="G69" i="2"/>
  <c r="F69" i="2"/>
  <c r="E69" i="2"/>
  <c r="D69" i="2"/>
  <c r="C69" i="2"/>
  <c r="B69" i="2"/>
  <c r="A69" i="2"/>
  <c r="J68" i="2"/>
  <c r="I68" i="2"/>
  <c r="H68" i="2"/>
  <c r="G68" i="2"/>
  <c r="F68" i="2"/>
  <c r="E68" i="2"/>
  <c r="D68" i="2"/>
  <c r="C68" i="2"/>
  <c r="B68" i="2"/>
  <c r="A68" i="2"/>
  <c r="J67" i="2"/>
  <c r="I67" i="2"/>
  <c r="H67" i="2"/>
  <c r="G67" i="2"/>
  <c r="F67" i="2"/>
  <c r="E67" i="2"/>
  <c r="D67" i="2"/>
  <c r="C67" i="2"/>
  <c r="B67" i="2"/>
  <c r="A67" i="2"/>
  <c r="J66" i="2"/>
  <c r="I66" i="2"/>
  <c r="H66" i="2"/>
  <c r="G66" i="2"/>
  <c r="F66" i="2"/>
  <c r="E66" i="2"/>
  <c r="D66" i="2"/>
  <c r="C66" i="2"/>
  <c r="B66" i="2"/>
  <c r="A66" i="2"/>
  <c r="J65" i="2"/>
  <c r="I65" i="2"/>
  <c r="H65" i="2"/>
  <c r="G65" i="2"/>
  <c r="F65" i="2"/>
  <c r="E65" i="2"/>
  <c r="D65" i="2"/>
  <c r="C65" i="2"/>
  <c r="B65" i="2"/>
  <c r="A65" i="2"/>
  <c r="J64" i="2"/>
  <c r="I64" i="2"/>
  <c r="H64" i="2"/>
  <c r="G64" i="2"/>
  <c r="F64" i="2"/>
  <c r="E64" i="2"/>
  <c r="D64" i="2"/>
  <c r="C64" i="2"/>
  <c r="B64" i="2"/>
  <c r="A64" i="2"/>
  <c r="J63" i="2"/>
  <c r="I63" i="2"/>
  <c r="H63" i="2"/>
  <c r="G63" i="2"/>
  <c r="F63" i="2"/>
  <c r="E63" i="2"/>
  <c r="D63" i="2"/>
  <c r="C63" i="2"/>
  <c r="B63" i="2"/>
  <c r="A63" i="2"/>
  <c r="J62" i="2"/>
  <c r="I62" i="2"/>
  <c r="H62" i="2"/>
  <c r="G62" i="2"/>
  <c r="F62" i="2"/>
  <c r="E62" i="2"/>
  <c r="D62" i="2"/>
  <c r="C62" i="2"/>
  <c r="B62" i="2"/>
  <c r="A62" i="2"/>
  <c r="J61" i="2"/>
  <c r="I61" i="2"/>
  <c r="H61" i="2"/>
  <c r="G61" i="2"/>
  <c r="F61" i="2"/>
  <c r="E61" i="2"/>
  <c r="D61" i="2"/>
  <c r="C61" i="2"/>
  <c r="B61" i="2"/>
  <c r="A61" i="2"/>
  <c r="J60" i="2"/>
  <c r="I60" i="2"/>
  <c r="H60" i="2"/>
  <c r="G60" i="2"/>
  <c r="F60" i="2"/>
  <c r="E60" i="2"/>
  <c r="D60" i="2"/>
  <c r="C60" i="2"/>
  <c r="B60" i="2"/>
  <c r="A60" i="2"/>
  <c r="J59" i="2"/>
  <c r="I59" i="2"/>
  <c r="H59" i="2"/>
  <c r="G59" i="2"/>
  <c r="F59" i="2"/>
  <c r="E59" i="2"/>
  <c r="D59" i="2"/>
  <c r="C59" i="2"/>
  <c r="B59" i="2"/>
  <c r="A59" i="2"/>
  <c r="J58" i="2"/>
  <c r="I58" i="2"/>
  <c r="H58" i="2"/>
  <c r="G58" i="2"/>
  <c r="F58" i="2"/>
  <c r="E58" i="2"/>
  <c r="D58" i="2"/>
  <c r="C58" i="2"/>
  <c r="B58" i="2"/>
  <c r="A58" i="2"/>
  <c r="J57" i="2"/>
  <c r="I57" i="2"/>
  <c r="H57" i="2"/>
  <c r="G57" i="2"/>
  <c r="F57" i="2"/>
  <c r="E57" i="2"/>
  <c r="D57" i="2"/>
  <c r="C57" i="2"/>
  <c r="B57" i="2"/>
  <c r="A57" i="2"/>
  <c r="J56" i="2"/>
  <c r="I56" i="2"/>
  <c r="H56" i="2"/>
  <c r="G56" i="2"/>
  <c r="F56" i="2"/>
  <c r="E56" i="2"/>
  <c r="D56" i="2"/>
  <c r="C56" i="2"/>
  <c r="B56" i="2"/>
  <c r="A56" i="2"/>
  <c r="J55" i="2"/>
  <c r="I55" i="2"/>
  <c r="H55" i="2"/>
  <c r="G55" i="2"/>
  <c r="F55" i="2"/>
  <c r="E55" i="2"/>
  <c r="D55" i="2"/>
  <c r="C55" i="2"/>
  <c r="B55" i="2"/>
  <c r="A55" i="2"/>
  <c r="J54" i="2"/>
  <c r="I54" i="2"/>
  <c r="H54" i="2"/>
  <c r="G54" i="2"/>
  <c r="F54" i="2"/>
  <c r="E54" i="2"/>
  <c r="D54" i="2"/>
  <c r="C54" i="2"/>
  <c r="B54" i="2"/>
  <c r="A54" i="2"/>
  <c r="J53" i="2"/>
  <c r="I53" i="2"/>
  <c r="H53" i="2"/>
  <c r="G53" i="2"/>
  <c r="F53" i="2"/>
  <c r="E53" i="2"/>
  <c r="D53" i="2"/>
  <c r="C53" i="2"/>
  <c r="B53" i="2"/>
  <c r="A53" i="2"/>
  <c r="J52" i="2"/>
  <c r="I52" i="2"/>
  <c r="H52" i="2"/>
  <c r="G52" i="2"/>
  <c r="F52" i="2"/>
  <c r="E52" i="2"/>
  <c r="D52" i="2"/>
  <c r="C52" i="2"/>
  <c r="B52" i="2"/>
  <c r="A52" i="2"/>
  <c r="J51" i="2"/>
  <c r="I51" i="2"/>
  <c r="H51" i="2"/>
  <c r="G51" i="2"/>
  <c r="F51" i="2"/>
  <c r="E51" i="2"/>
  <c r="D51" i="2"/>
  <c r="C51" i="2"/>
  <c r="B51" i="2"/>
  <c r="A51" i="2"/>
  <c r="J50" i="2"/>
  <c r="I50" i="2"/>
  <c r="H50" i="2"/>
  <c r="G50" i="2"/>
  <c r="F50" i="2"/>
  <c r="E50" i="2"/>
  <c r="D50" i="2"/>
  <c r="C50" i="2"/>
  <c r="B50" i="2"/>
  <c r="A50" i="2"/>
  <c r="J49" i="2"/>
  <c r="I49" i="2"/>
  <c r="H49" i="2"/>
  <c r="G49" i="2"/>
  <c r="F49" i="2"/>
  <c r="E49" i="2"/>
  <c r="D49" i="2"/>
  <c r="C49" i="2"/>
  <c r="B49" i="2"/>
  <c r="A49" i="2"/>
  <c r="J48" i="2"/>
  <c r="I48" i="2"/>
  <c r="H48" i="2"/>
  <c r="G48" i="2"/>
  <c r="F48" i="2"/>
  <c r="E48" i="2"/>
  <c r="D48" i="2"/>
  <c r="C48" i="2"/>
  <c r="B48" i="2"/>
  <c r="A48" i="2"/>
  <c r="J47" i="2"/>
  <c r="I47" i="2"/>
  <c r="H47" i="2"/>
  <c r="G47" i="2"/>
  <c r="F47" i="2"/>
  <c r="E47" i="2"/>
  <c r="D47" i="2"/>
  <c r="C47" i="2"/>
  <c r="B47" i="2"/>
  <c r="A47" i="2"/>
  <c r="J46" i="2"/>
  <c r="I46" i="2"/>
  <c r="H46" i="2"/>
  <c r="G46" i="2"/>
  <c r="F46" i="2"/>
  <c r="E46" i="2"/>
  <c r="D46" i="2"/>
  <c r="C46" i="2"/>
  <c r="B46" i="2"/>
  <c r="A46" i="2"/>
  <c r="J45" i="2"/>
  <c r="I45" i="2"/>
  <c r="H45" i="2"/>
  <c r="G45" i="2"/>
  <c r="F45" i="2"/>
  <c r="E45" i="2"/>
  <c r="D45" i="2"/>
  <c r="C45" i="2"/>
  <c r="B45" i="2"/>
  <c r="A45" i="2"/>
  <c r="J44" i="2"/>
  <c r="I44" i="2"/>
  <c r="H44" i="2"/>
  <c r="G44" i="2"/>
  <c r="F44" i="2"/>
  <c r="E44" i="2"/>
  <c r="D44" i="2"/>
  <c r="C44" i="2"/>
  <c r="B44" i="2"/>
  <c r="A44" i="2"/>
  <c r="J43" i="2"/>
  <c r="I43" i="2"/>
  <c r="H43" i="2"/>
  <c r="G43" i="2"/>
  <c r="F43" i="2"/>
  <c r="E43" i="2"/>
  <c r="D43" i="2"/>
  <c r="C43" i="2"/>
  <c r="B43" i="2"/>
  <c r="A43" i="2"/>
  <c r="J42" i="2"/>
  <c r="I42" i="2"/>
  <c r="H42" i="2"/>
  <c r="G42" i="2"/>
  <c r="F42" i="2"/>
  <c r="E42" i="2"/>
  <c r="D42" i="2"/>
  <c r="C42" i="2"/>
  <c r="B42" i="2"/>
  <c r="A42" i="2"/>
  <c r="J41" i="2"/>
  <c r="I41" i="2"/>
  <c r="H41" i="2"/>
  <c r="G41" i="2"/>
  <c r="F41" i="2"/>
  <c r="E41" i="2"/>
  <c r="D41" i="2"/>
  <c r="C41" i="2"/>
  <c r="B41" i="2"/>
  <c r="A41" i="2"/>
  <c r="J40" i="2"/>
  <c r="I40" i="2"/>
  <c r="H40" i="2"/>
  <c r="G40" i="2"/>
  <c r="F40" i="2"/>
  <c r="E40" i="2"/>
  <c r="D40" i="2"/>
  <c r="C40" i="2"/>
  <c r="B40" i="2"/>
  <c r="A40" i="2"/>
  <c r="J39" i="2"/>
  <c r="I39" i="2"/>
  <c r="H39" i="2"/>
  <c r="G39" i="2"/>
  <c r="F39" i="2"/>
  <c r="E39" i="2"/>
  <c r="D39" i="2"/>
  <c r="C39" i="2"/>
  <c r="B39" i="2"/>
  <c r="A39" i="2"/>
  <c r="J38" i="2"/>
  <c r="I38" i="2"/>
  <c r="H38" i="2"/>
  <c r="G38" i="2"/>
  <c r="F38" i="2"/>
  <c r="E38" i="2"/>
  <c r="D38" i="2"/>
  <c r="C38" i="2"/>
  <c r="B38" i="2"/>
  <c r="A38" i="2"/>
  <c r="J37" i="2"/>
  <c r="I37" i="2"/>
  <c r="H37" i="2"/>
  <c r="G37" i="2"/>
  <c r="F37" i="2"/>
  <c r="E37" i="2"/>
  <c r="D37" i="2"/>
  <c r="C37" i="2"/>
  <c r="B37" i="2"/>
  <c r="A37" i="2"/>
  <c r="J36" i="2"/>
  <c r="I36" i="2"/>
  <c r="H36" i="2"/>
  <c r="G36" i="2"/>
  <c r="F36" i="2"/>
  <c r="E36" i="2"/>
  <c r="D36" i="2"/>
  <c r="C36" i="2"/>
  <c r="B36" i="2"/>
  <c r="A36" i="2"/>
  <c r="J35" i="2"/>
  <c r="I35" i="2"/>
  <c r="H35" i="2"/>
  <c r="G35" i="2"/>
  <c r="F35" i="2"/>
  <c r="E35" i="2"/>
  <c r="D35" i="2"/>
  <c r="C35" i="2"/>
  <c r="B35" i="2"/>
  <c r="A35" i="2"/>
  <c r="J34" i="2"/>
  <c r="I34" i="2"/>
  <c r="H34" i="2"/>
  <c r="G34" i="2"/>
  <c r="F34" i="2"/>
  <c r="E34" i="2"/>
  <c r="D34" i="2"/>
  <c r="C34" i="2"/>
  <c r="B34" i="2"/>
  <c r="A34" i="2"/>
  <c r="J33" i="2"/>
  <c r="I33" i="2"/>
  <c r="H33" i="2"/>
  <c r="G33" i="2"/>
  <c r="F33" i="2"/>
  <c r="E33" i="2"/>
  <c r="D33" i="2"/>
  <c r="C33" i="2"/>
  <c r="B33" i="2"/>
  <c r="A33" i="2"/>
  <c r="J32" i="2"/>
  <c r="I32" i="2"/>
  <c r="H32" i="2"/>
  <c r="G32" i="2"/>
  <c r="F32" i="2"/>
  <c r="E32" i="2"/>
  <c r="D32" i="2"/>
  <c r="C32" i="2"/>
  <c r="B32" i="2"/>
  <c r="A32" i="2"/>
  <c r="J31" i="2"/>
  <c r="I31" i="2"/>
  <c r="H31" i="2"/>
  <c r="G31" i="2"/>
  <c r="F31" i="2"/>
  <c r="E31" i="2"/>
  <c r="D31" i="2"/>
  <c r="C31" i="2"/>
  <c r="B31" i="2"/>
  <c r="A31" i="2"/>
  <c r="J30" i="2"/>
  <c r="I30" i="2"/>
  <c r="H30" i="2"/>
  <c r="G30" i="2"/>
  <c r="F30" i="2"/>
  <c r="E30" i="2"/>
  <c r="D30" i="2"/>
  <c r="C30" i="2"/>
  <c r="B30" i="2"/>
  <c r="A30" i="2"/>
  <c r="J29" i="2"/>
  <c r="I29" i="2"/>
  <c r="H29" i="2"/>
  <c r="G29" i="2"/>
  <c r="F29" i="2"/>
  <c r="E29" i="2"/>
  <c r="D29" i="2"/>
  <c r="C29" i="2"/>
  <c r="B29" i="2"/>
  <c r="A29" i="2"/>
  <c r="J28" i="2"/>
  <c r="I28" i="2"/>
  <c r="H28" i="2"/>
  <c r="G28" i="2"/>
  <c r="F28" i="2"/>
  <c r="E28" i="2"/>
  <c r="D28" i="2"/>
  <c r="C28" i="2"/>
  <c r="B28" i="2"/>
  <c r="A28" i="2"/>
  <c r="J27" i="2"/>
  <c r="I27" i="2"/>
  <c r="H27" i="2"/>
  <c r="G27" i="2"/>
  <c r="F27" i="2"/>
  <c r="E27" i="2"/>
  <c r="D27" i="2"/>
  <c r="C27" i="2"/>
  <c r="B27" i="2"/>
  <c r="A27" i="2"/>
  <c r="J26" i="2"/>
  <c r="I26" i="2"/>
  <c r="H26" i="2"/>
  <c r="G26" i="2"/>
  <c r="F26" i="2"/>
  <c r="E26" i="2"/>
  <c r="D26" i="2"/>
  <c r="C26" i="2"/>
  <c r="B26" i="2"/>
  <c r="A26" i="2"/>
  <c r="J25" i="2"/>
  <c r="I25" i="2"/>
  <c r="H25" i="2"/>
  <c r="G25" i="2"/>
  <c r="F25" i="2"/>
  <c r="E25" i="2"/>
  <c r="D25" i="2"/>
  <c r="C25" i="2"/>
  <c r="B25" i="2"/>
  <c r="A25" i="2"/>
  <c r="J24" i="2"/>
  <c r="I24" i="2"/>
  <c r="H24" i="2"/>
  <c r="G24" i="2"/>
  <c r="F24" i="2"/>
  <c r="E24" i="2"/>
  <c r="D24" i="2"/>
  <c r="C24" i="2"/>
  <c r="B24" i="2"/>
  <c r="A24" i="2"/>
  <c r="J23" i="2"/>
  <c r="I23" i="2"/>
  <c r="H23" i="2"/>
  <c r="G23" i="2"/>
  <c r="F23" i="2"/>
  <c r="E23" i="2"/>
  <c r="D23" i="2"/>
  <c r="C23" i="2"/>
  <c r="B23" i="2"/>
  <c r="A23" i="2"/>
  <c r="J22" i="2"/>
  <c r="I22" i="2"/>
  <c r="H22" i="2"/>
  <c r="G22" i="2"/>
  <c r="F22" i="2"/>
  <c r="E22" i="2"/>
  <c r="D22" i="2"/>
  <c r="C22" i="2"/>
  <c r="B22" i="2"/>
  <c r="A22" i="2"/>
  <c r="J21" i="2"/>
  <c r="I21" i="2"/>
  <c r="H21" i="2"/>
  <c r="G21" i="2"/>
  <c r="F21" i="2"/>
  <c r="E21" i="2"/>
  <c r="D21" i="2"/>
  <c r="C21" i="2"/>
  <c r="B21" i="2"/>
  <c r="A21" i="2"/>
  <c r="J20" i="2"/>
  <c r="I20" i="2"/>
  <c r="H20" i="2"/>
  <c r="G20" i="2"/>
  <c r="F20" i="2"/>
  <c r="E20" i="2"/>
  <c r="D20" i="2"/>
  <c r="C20" i="2"/>
  <c r="B20" i="2"/>
  <c r="A20" i="2"/>
  <c r="J19" i="2"/>
  <c r="I19" i="2"/>
  <c r="H19" i="2"/>
  <c r="G19" i="2"/>
  <c r="F19" i="2"/>
  <c r="E19" i="2"/>
  <c r="D19" i="2"/>
  <c r="C19" i="2"/>
  <c r="B19" i="2"/>
  <c r="A19" i="2"/>
  <c r="J18" i="2"/>
  <c r="I18" i="2"/>
  <c r="H18" i="2"/>
  <c r="G18" i="2"/>
  <c r="F18" i="2"/>
  <c r="E18" i="2"/>
  <c r="D18" i="2"/>
  <c r="C18" i="2"/>
  <c r="B18" i="2"/>
  <c r="A18" i="2"/>
  <c r="J17" i="2"/>
  <c r="I17" i="2"/>
  <c r="H17" i="2"/>
  <c r="G17" i="2"/>
  <c r="F17" i="2"/>
  <c r="E17" i="2"/>
  <c r="D17" i="2"/>
  <c r="C17" i="2"/>
  <c r="B17" i="2"/>
  <c r="A17" i="2"/>
  <c r="J16" i="2"/>
  <c r="I16" i="2"/>
  <c r="H16" i="2"/>
  <c r="G16" i="2"/>
  <c r="F16" i="2"/>
  <c r="E16" i="2"/>
  <c r="D16" i="2"/>
  <c r="C16" i="2"/>
  <c r="B16" i="2"/>
  <c r="A16" i="2"/>
  <c r="J15" i="2"/>
  <c r="I15" i="2"/>
  <c r="H15" i="2"/>
  <c r="G15" i="2"/>
  <c r="F15" i="2"/>
  <c r="E15" i="2"/>
  <c r="D15" i="2"/>
  <c r="C15" i="2"/>
  <c r="B15" i="2"/>
  <c r="A15" i="2"/>
  <c r="J14" i="2"/>
  <c r="I14" i="2"/>
  <c r="H14" i="2"/>
  <c r="G14" i="2"/>
  <c r="F14" i="2"/>
  <c r="E14" i="2"/>
  <c r="D14" i="2"/>
  <c r="C14" i="2"/>
  <c r="B14" i="2"/>
  <c r="A14" i="2"/>
  <c r="J13" i="2"/>
  <c r="I13" i="2"/>
  <c r="H13" i="2"/>
  <c r="G13" i="2"/>
  <c r="F13" i="2"/>
  <c r="E13" i="2"/>
  <c r="D13" i="2"/>
  <c r="C13" i="2"/>
  <c r="B13" i="2"/>
  <c r="A13" i="2"/>
  <c r="J12" i="2"/>
  <c r="I12" i="2"/>
  <c r="H12" i="2"/>
  <c r="G12" i="2"/>
  <c r="F12" i="2"/>
  <c r="E12" i="2"/>
  <c r="D12" i="2"/>
  <c r="C12" i="2"/>
  <c r="B12" i="2"/>
  <c r="A12" i="2"/>
  <c r="J11" i="2"/>
  <c r="I11" i="2"/>
  <c r="H11" i="2"/>
  <c r="G11" i="2"/>
  <c r="F11" i="2"/>
  <c r="E11" i="2"/>
  <c r="D11" i="2"/>
  <c r="C11" i="2"/>
  <c r="B11" i="2"/>
  <c r="A11" i="2"/>
  <c r="J10" i="2"/>
  <c r="I10" i="2"/>
  <c r="H10" i="2"/>
  <c r="G10" i="2"/>
  <c r="F10" i="2"/>
  <c r="E10" i="2"/>
  <c r="D10" i="2"/>
  <c r="C10" i="2"/>
  <c r="B10" i="2"/>
  <c r="A10" i="2"/>
  <c r="J9" i="2"/>
  <c r="I9" i="2"/>
  <c r="H9" i="2"/>
  <c r="G9" i="2"/>
  <c r="F9" i="2"/>
  <c r="E9" i="2"/>
  <c r="D9" i="2"/>
  <c r="C9" i="2"/>
  <c r="B9" i="2"/>
  <c r="A9" i="2"/>
  <c r="J8" i="2"/>
  <c r="I8" i="2"/>
  <c r="H8" i="2"/>
  <c r="G8" i="2"/>
  <c r="F8" i="2"/>
  <c r="E8" i="2"/>
  <c r="D8" i="2"/>
  <c r="C8" i="2"/>
  <c r="B8" i="2"/>
  <c r="A8" i="2"/>
  <c r="J7" i="2"/>
  <c r="I7" i="2"/>
  <c r="H7" i="2"/>
  <c r="G7" i="2"/>
  <c r="F7" i="2"/>
  <c r="E7" i="2"/>
  <c r="D7" i="2"/>
  <c r="C7" i="2"/>
  <c r="B7" i="2"/>
  <c r="A7" i="2"/>
  <c r="J6" i="2"/>
  <c r="I6" i="2"/>
  <c r="H6" i="2"/>
  <c r="G6" i="2"/>
  <c r="F6" i="2"/>
  <c r="E6" i="2"/>
  <c r="D6" i="2"/>
  <c r="C6" i="2"/>
  <c r="B6" i="2"/>
  <c r="A6" i="2"/>
  <c r="J5" i="2"/>
  <c r="I5" i="2"/>
  <c r="H5" i="2"/>
  <c r="G5" i="2"/>
  <c r="F5" i="2"/>
  <c r="E5" i="2"/>
  <c r="D5" i="2"/>
  <c r="C5" i="2"/>
  <c r="B5" i="2"/>
  <c r="A5" i="2"/>
  <c r="J4" i="2"/>
  <c r="I4" i="2"/>
  <c r="H4" i="2"/>
  <c r="G4" i="2"/>
  <c r="F4" i="2"/>
  <c r="E4" i="2"/>
  <c r="D4" i="2"/>
  <c r="C4" i="2"/>
  <c r="B4" i="2"/>
  <c r="A4" i="2"/>
  <c r="J3" i="2"/>
  <c r="I3" i="2"/>
  <c r="H3" i="2"/>
  <c r="G3" i="2"/>
  <c r="F3" i="2"/>
  <c r="E3" i="2"/>
  <c r="D3" i="2"/>
  <c r="C3" i="2"/>
  <c r="B3" i="2"/>
  <c r="A3" i="2"/>
  <c r="J2" i="2"/>
  <c r="I2" i="2"/>
  <c r="H2" i="2"/>
  <c r="G2" i="2"/>
  <c r="F2" i="2"/>
  <c r="E2" i="2"/>
  <c r="D2" i="2"/>
  <c r="C2" i="2"/>
  <c r="B2" i="2"/>
  <c r="A2" i="2"/>
  <c r="J1" i="2"/>
  <c r="H1" i="2"/>
  <c r="G1" i="2"/>
  <c r="E1" i="2"/>
</calcChain>
</file>

<file path=xl/sharedStrings.xml><?xml version="1.0" encoding="utf-8"?>
<sst xmlns="http://schemas.openxmlformats.org/spreadsheetml/2006/main" count="6" uniqueCount="6">
  <si>
    <t>Building</t>
  </si>
  <si>
    <t>Room</t>
  </si>
  <si>
    <t>Serial</t>
  </si>
  <si>
    <t>Property</t>
  </si>
  <si>
    <t>Net area</t>
  </si>
  <si>
    <t>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</si>
</sst>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126"/>
  <sheetViews>
    <sheetView tabSelected="1" workbookViewId="0">
      <selection sqref="A1:J11"/>
    </sheetView>
  </sheetViews>
  <sheetFormatPr defaultColWidth="12.6328125" defaultRowHeight="15.75" customHeight="1" x14ac:dyDescent="0.25"/>
  <cols>
    <col min="1" max="1" width="15.90625" customWidth="1"/>
  </cols>
  <sheetData>
    <row r="1" spans="1:10" ht="15.75" customHeight="1" x14ac:dyDescent="0.25">
      <c r="A1" s="1" t="s">
        <v>3</v>
      </c>
      <c r="B1" s="1" t="s">
        <v>2</v>
      </c>
      <c r="C1" s="1" t="s">
        <v>0</v>
      </c>
      <c r="D1" s="1" t="s">
        <v>1</v>
      </c>
      <c r="E1" s="1" t="str">
        <f ca="1">IFERROR(__xludf.DUMMYFUNCTION("GOOGLETRANSLATE('대전도시공사_청년임대주택 현황_20240630'!E1,""ko"",""en"")"),"Rental area")</f>
        <v>Rental area</v>
      </c>
      <c r="F1" s="1" t="s">
        <v>4</v>
      </c>
      <c r="G1" s="1" t="str">
        <f ca="1">IFERROR(__xludf.DUMMYFUNCTION("GOOGLETRANSLATE('대전도시공사_청년임대주택 현황_20240630'!G1,""ko"",""en"")"),"Common area")</f>
        <v>Common area</v>
      </c>
      <c r="H1" s="1" t="str">
        <f ca="1">IFERROR(__xludf.DUMMYFUNCTION("GOOGLETRANSLATE('대전도시공사_청년임대주택 현황_20240630'!H1,""ko"",""en"")"),"Rental type")</f>
        <v>Rental type</v>
      </c>
      <c r="I1" s="1" t="s">
        <v>5</v>
      </c>
      <c r="J1" s="1" t="str">
        <f ca="1">IFERROR(__xludf.DUMMYFUNCTION("GOOGLETRANSLATE('대전도시공사_청년임대주택 현황_20240630'!J1,""ko"",""en"")"),"Monthly rent")</f>
        <v>Monthly rent</v>
      </c>
    </row>
    <row r="2" spans="1:10" ht="15.75" customHeight="1" x14ac:dyDescent="0.25">
      <c r="A2" s="1" t="str">
        <f ca="1">IFERROR(__xludf.DUMMYFUNCTION("GOOGLETRANSLATE('대전도시공사_청년임대주택 현황_20240630'!A2,""ko"",""en"")"),"Munhwa-dong 311-43 (Sayville, youth rental)")</f>
        <v>Munhwa-dong 311-43 (Sayville, youth rental)</v>
      </c>
      <c r="B2" s="1" t="str">
        <f ca="1">IFERROR(__xludf.DUMMYFUNCTION("GOOGLETRANSLATE('대전도시공사_청년임대주택 현황_20240630'!B2,""ko"",""en"")"),"1")</f>
        <v>1</v>
      </c>
      <c r="C2" s="1" t="str">
        <f ca="1">IFERROR(__xludf.DUMMYFUNCTION("GOOGLETRANSLATE('대전도시공사_청년임대주택 현황_20240630'!C2,""ko"",""en"")"),"1")</f>
        <v>1</v>
      </c>
      <c r="D2" s="1" t="str">
        <f ca="1">IFERROR(__xludf.DUMMYFUNCTION("GOOGLETRANSLATE('대전도시공사_청년임대주택 현황_20240630'!D2,""ko"",""en"")"),"201")</f>
        <v>201</v>
      </c>
      <c r="E2" s="1" t="str">
        <f ca="1">IFERROR(__xludf.DUMMYFUNCTION("GOOGLETRANSLATE('대전도시공사_청년임대주택 현황_20240630'!E2,""ko"",""en"")"),"28.845")</f>
        <v>28.845</v>
      </c>
      <c r="F2" s="1" t="str">
        <f ca="1">IFERROR(__xludf.DUMMYFUNCTION("GOOGLETRANSLATE('대전도시공사_청년임대주택 현황_20240630'!F2,""ko"",""en"")"),"23.8")</f>
        <v>23.8</v>
      </c>
      <c r="G2" s="1" t="str">
        <f ca="1">IFERROR(__xludf.DUMMYFUNCTION("GOOGLETRANSLATE('대전도시공사_청년임대주택 현황_20240630'!G2,""ko"",""en"")"),"5.045")</f>
        <v>5.045</v>
      </c>
      <c r="H2" s="1" t="str">
        <f ca="1">IFERROR(__xludf.DUMMYFUNCTION("GOOGLETRANSLATE('대전도시공사_청년임대주택 현황_20240630'!H2,""ko"",""en"")"),"Youth Rent 1st Place")</f>
        <v>Youth Rent 1st Place</v>
      </c>
      <c r="I2" s="1" t="str">
        <f ca="1">IFERROR(__xludf.DUMMYFUNCTION("GOOGLETRANSLATE('대전도시공사_청년임대주택 현황_20240630'!I2,""ko"",""en"")"),"1000000")</f>
        <v>1000000</v>
      </c>
      <c r="J2" s="1" t="str">
        <f ca="1">IFERROR(__xludf.DUMMYFUNCTION("GOOGLETRANSLATE('대전도시공사_청년임대주택 현황_20240630'!J2,""ko"",""en"")"),"112800")</f>
        <v>112800</v>
      </c>
    </row>
    <row r="3" spans="1:10" ht="15.75" customHeight="1" x14ac:dyDescent="0.25">
      <c r="A3" s="1" t="str">
        <f ca="1">IFERROR(__xludf.DUMMYFUNCTION("GOOGLETRANSLATE('대전도시공사_청년임대주택 현황_20240630'!A3,""ko"",""en"")"),"Munhwa-dong 311-43 (Sayville, youth rental)")</f>
        <v>Munhwa-dong 311-43 (Sayville, youth rental)</v>
      </c>
      <c r="B3" s="1" t="str">
        <f ca="1">IFERROR(__xludf.DUMMYFUNCTION("GOOGLETRANSLATE('대전도시공사_청년임대주택 현황_20240630'!B3,""ko"",""en"")"),"2")</f>
        <v>2</v>
      </c>
      <c r="C3" s="1" t="str">
        <f ca="1">IFERROR(__xludf.DUMMYFUNCTION("GOOGLETRANSLATE('대전도시공사_청년임대주택 현황_20240630'!C3,""ko"",""en"")"),"1")</f>
        <v>1</v>
      </c>
      <c r="D3" s="1" t="str">
        <f ca="1">IFERROR(__xludf.DUMMYFUNCTION("GOOGLETRANSLATE('대전도시공사_청년임대주택 현황_20240630'!D3,""ko"",""en"")"),"201")</f>
        <v>201</v>
      </c>
      <c r="E3" s="1" t="str">
        <f ca="1">IFERROR(__xludf.DUMMYFUNCTION("GOOGLETRANSLATE('대전도시공사_청년임대주택 현황_20240630'!E3,""ko"",""en"")"),"28.845")</f>
        <v>28.845</v>
      </c>
      <c r="F3" s="1" t="str">
        <f ca="1">IFERROR(__xludf.DUMMYFUNCTION("GOOGLETRANSLATE('대전도시공사_청년임대주택 현황_20240630'!F3,""ko"",""en"")"),"23.8")</f>
        <v>23.8</v>
      </c>
      <c r="G3" s="1" t="str">
        <f ca="1">IFERROR(__xludf.DUMMYFUNCTION("GOOGLETRANSLATE('대전도시공사_청년임대주택 현황_20240630'!G3,""ko"",""en"")"),"5.045")</f>
        <v>5.045</v>
      </c>
      <c r="H3" s="1" t="str">
        <f ca="1">IFERROR(__xludf.DUMMYFUNCTION("GOOGLETRANSLATE('대전도시공사_청년임대주택 현황_20240630'!H3,""ko"",""en"")"),"Youth Rental 2nd Place")</f>
        <v>Youth Rental 2nd Place</v>
      </c>
      <c r="I3" s="1" t="str">
        <f ca="1">IFERROR(__xludf.DUMMYFUNCTION("GOOGLETRANSLATE('대전도시공사_청년임대주택 현황_20240630'!I3,""ko"",""en"")"),"2000000")</f>
        <v>2000000</v>
      </c>
      <c r="J3" s="1" t="str">
        <f ca="1">IFERROR(__xludf.DUMMYFUNCTION("GOOGLETRANSLATE('대전도시공사_청년임대주택 현황_20240630'!J3,""ko"",""en"")"),"185600")</f>
        <v>185600</v>
      </c>
    </row>
    <row r="4" spans="1:10" ht="15.75" customHeight="1" x14ac:dyDescent="0.25">
      <c r="A4" s="1" t="str">
        <f ca="1">IFERROR(__xludf.DUMMYFUNCTION("GOOGLETRANSLATE('대전도시공사_청년임대주택 현황_20240630'!A4,""ko"",""en"")"),"Munhwa-dong 311-43 (Sayville, youth rental)")</f>
        <v>Munhwa-dong 311-43 (Sayville, youth rental)</v>
      </c>
      <c r="B4" s="1" t="str">
        <f ca="1">IFERROR(__xludf.DUMMYFUNCTION("GOOGLETRANSLATE('대전도시공사_청년임대주택 현황_20240630'!B4,""ko"",""en"")"),"3")</f>
        <v>3</v>
      </c>
      <c r="C4" s="1" t="str">
        <f ca="1">IFERROR(__xludf.DUMMYFUNCTION("GOOGLETRANSLATE('대전도시공사_청년임대주택 현황_20240630'!C4,""ko"",""en"")"),"1")</f>
        <v>1</v>
      </c>
      <c r="D4" s="1" t="str">
        <f ca="1">IFERROR(__xludf.DUMMYFUNCTION("GOOGLETRANSLATE('대전도시공사_청년임대주택 현황_20240630'!D4,""ko"",""en"")"),"201")</f>
        <v>201</v>
      </c>
      <c r="E4" s="1" t="str">
        <f ca="1">IFERROR(__xludf.DUMMYFUNCTION("GOOGLETRANSLATE('대전도시공사_청년임대주택 현황_20240630'!E4,""ko"",""en"")"),"28.845")</f>
        <v>28.845</v>
      </c>
      <c r="F4" s="1" t="str">
        <f ca="1">IFERROR(__xludf.DUMMYFUNCTION("GOOGLETRANSLATE('대전도시공사_청년임대주택 현황_20240630'!F4,""ko"",""en"")"),"23.8")</f>
        <v>23.8</v>
      </c>
      <c r="G4" s="1" t="str">
        <f ca="1">IFERROR(__xludf.DUMMYFUNCTION("GOOGLETRANSLATE('대전도시공사_청년임대주택 현황_20240630'!G4,""ko"",""en"")"),"5.045")</f>
        <v>5.045</v>
      </c>
      <c r="H4" s="1" t="str">
        <f ca="1">IFERROR(__xludf.DUMMYFUNCTION("GOOGLETRANSLATE('대전도시공사_청년임대주택 현황_20240630'!H4,""ko"",""en"")"),"3rd place for youth rental")</f>
        <v>3rd place for youth rental</v>
      </c>
      <c r="I4" s="1" t="str">
        <f ca="1">IFERROR(__xludf.DUMMYFUNCTION("GOOGLETRANSLATE('대전도시공사_청년임대주택 현황_20240630'!I4,""ko"",""en"")"),"2000000")</f>
        <v>2000000</v>
      </c>
      <c r="J4" s="1" t="str">
        <f ca="1">IFERROR(__xludf.DUMMYFUNCTION("GOOGLETRANSLATE('대전도시공사_청년임대주택 현황_20240630'!J4,""ko"",""en"")"),"185600")</f>
        <v>185600</v>
      </c>
    </row>
    <row r="5" spans="1:10" ht="15.75" customHeight="1" x14ac:dyDescent="0.25">
      <c r="A5" s="1" t="str">
        <f ca="1">IFERROR(__xludf.DUMMYFUNCTION("GOOGLETRANSLATE('대전도시공사_청년임대주택 현황_20240630'!A5,""ko"",""en"")"),"Munhwa-dong 311-43 (Sayville, youth rental)")</f>
        <v>Munhwa-dong 311-43 (Sayville, youth rental)</v>
      </c>
      <c r="B5" s="1" t="str">
        <f ca="1">IFERROR(__xludf.DUMMYFUNCTION("GOOGLETRANSLATE('대전도시공사_청년임대주택 현황_20240630'!B5,""ko"",""en"")"),"4")</f>
        <v>4</v>
      </c>
      <c r="C5" s="1" t="str">
        <f ca="1">IFERROR(__xludf.DUMMYFUNCTION("GOOGLETRANSLATE('대전도시공사_청년임대주택 현황_20240630'!C5,""ko"",""en"")"),"1")</f>
        <v>1</v>
      </c>
      <c r="D5" s="1" t="str">
        <f ca="1">IFERROR(__xludf.DUMMYFUNCTION("GOOGLETRANSLATE('대전도시공사_청년임대주택 현황_20240630'!D5,""ko"",""en"")"),"201")</f>
        <v>201</v>
      </c>
      <c r="E5" s="1" t="str">
        <f ca="1">IFERROR(__xludf.DUMMYFUNCTION("GOOGLETRANSLATE('대전도시공사_청년임대주택 현황_20240630'!E5,""ko"",""en"")"),"28.845")</f>
        <v>28.845</v>
      </c>
      <c r="F5" s="1" t="str">
        <f ca="1">IFERROR(__xludf.DUMMYFUNCTION("GOOGLETRANSLATE('대전도시공사_청년임대주택 현황_20240630'!F5,""ko"",""en"")"),"23.8")</f>
        <v>23.8</v>
      </c>
      <c r="G5" s="1" t="str">
        <f ca="1">IFERROR(__xludf.DUMMYFUNCTION("GOOGLETRANSLATE('대전도시공사_청년임대주택 현황_20240630'!G5,""ko"",""en"")"),"5.045")</f>
        <v>5.045</v>
      </c>
      <c r="H5" s="1" t="str">
        <f ca="1">IFERROR(__xludf.DUMMYFUNCTION("GOOGLETRANSLATE('대전도시공사_청년임대주택 현황_20240630'!H5,""ko"",""en"")"),"4th place for youth rental")</f>
        <v>4th place for youth rental</v>
      </c>
      <c r="I5" s="1" t="str">
        <f ca="1">IFERROR(__xludf.DUMMYFUNCTION("GOOGLETRANSLATE('대전도시공사_청년임대주택 현황_20240630'!I5,""ko"",""en"")"),"2000000")</f>
        <v>2000000</v>
      </c>
      <c r="J5" s="1" t="str">
        <f ca="1">IFERROR(__xludf.DUMMYFUNCTION("GOOGLETRANSLATE('대전도시공사_청년임대주택 현황_20240630'!J5,""ko"",""en"")"),"185600")</f>
        <v>185600</v>
      </c>
    </row>
    <row r="6" spans="1:10" ht="15.75" customHeight="1" x14ac:dyDescent="0.25">
      <c r="A6" s="1" t="str">
        <f ca="1">IFERROR(__xludf.DUMMYFUNCTION("GOOGLETRANSLATE('대전도시공사_청년임대주택 현황_20240630'!A6,""ko"",""en"")"),"Munhwa-dong 311-43 (Sayville, youth rental)")</f>
        <v>Munhwa-dong 311-43 (Sayville, youth rental)</v>
      </c>
      <c r="B6" s="1" t="str">
        <f ca="1">IFERROR(__xludf.DUMMYFUNCTION("GOOGLETRANSLATE('대전도시공사_청년임대주택 현황_20240630'!B6,""ko"",""en"")"),"5")</f>
        <v>5</v>
      </c>
      <c r="C6" s="1" t="str">
        <f ca="1">IFERROR(__xludf.DUMMYFUNCTION("GOOGLETRANSLATE('대전도시공사_청년임대주택 현황_20240630'!C6,""ko"",""en"")"),"1")</f>
        <v>1</v>
      </c>
      <c r="D6" s="1" t="str">
        <f ca="1">IFERROR(__xludf.DUMMYFUNCTION("GOOGLETRANSLATE('대전도시공사_청년임대주택 현황_20240630'!D6,""ko"",""en"")"),"202")</f>
        <v>202</v>
      </c>
      <c r="E6" s="1" t="str">
        <f ca="1">IFERROR(__xludf.DUMMYFUNCTION("GOOGLETRANSLATE('대전도시공사_청년임대주택 현황_20240630'!E6,""ko"",""en"")"),"27.463")</f>
        <v>27.463</v>
      </c>
      <c r="F6" s="1" t="str">
        <f ca="1">IFERROR(__xludf.DUMMYFUNCTION("GOOGLETRANSLATE('대전도시공사_청년임대주택 현황_20240630'!F6,""ko"",""en"")"),"22.66")</f>
        <v>22.66</v>
      </c>
      <c r="G6" s="1" t="str">
        <f ca="1">IFERROR(__xludf.DUMMYFUNCTION("GOOGLETRANSLATE('대전도시공사_청년임대주택 현황_20240630'!G6,""ko"",""en"")"),"4.803")</f>
        <v>4.803</v>
      </c>
      <c r="H6" s="1" t="str">
        <f ca="1">IFERROR(__xludf.DUMMYFUNCTION("GOOGLETRANSLATE('대전도시공사_청년임대주택 현황_20240630'!H6,""ko"",""en"")"),"Youth Rent 1st Place")</f>
        <v>Youth Rent 1st Place</v>
      </c>
      <c r="I6" s="1" t="str">
        <f ca="1">IFERROR(__xludf.DUMMYFUNCTION("GOOGLETRANSLATE('대전도시공사_청년임대주택 현황_20240630'!I6,""ko"",""en"")"),"1000000")</f>
        <v>1000000</v>
      </c>
      <c r="J6" s="1" t="str">
        <f ca="1">IFERROR(__xludf.DUMMYFUNCTION("GOOGLETRANSLATE('대전도시공사_청년임대주택 현황_20240630'!J6,""ko"",""en"")"),"104900")</f>
        <v>104900</v>
      </c>
    </row>
    <row r="7" spans="1:10" ht="15.75" customHeight="1" x14ac:dyDescent="0.25">
      <c r="A7" s="1" t="str">
        <f ca="1">IFERROR(__xludf.DUMMYFUNCTION("GOOGLETRANSLATE('대전도시공사_청년임대주택 현황_20240630'!A7,""ko"",""en"")"),"Munhwa-dong 311-43 (Sayville, youth rental)")</f>
        <v>Munhwa-dong 311-43 (Sayville, youth rental)</v>
      </c>
      <c r="B7" s="1" t="str">
        <f ca="1">IFERROR(__xludf.DUMMYFUNCTION("GOOGLETRANSLATE('대전도시공사_청년임대주택 현황_20240630'!B7,""ko"",""en"")"),"6")</f>
        <v>6</v>
      </c>
      <c r="C7" s="1" t="str">
        <f ca="1">IFERROR(__xludf.DUMMYFUNCTION("GOOGLETRANSLATE('대전도시공사_청년임대주택 현황_20240630'!C7,""ko"",""en"")"),"1")</f>
        <v>1</v>
      </c>
      <c r="D7" s="1" t="str">
        <f ca="1">IFERROR(__xludf.DUMMYFUNCTION("GOOGLETRANSLATE('대전도시공사_청년임대주택 현황_20240630'!D7,""ko"",""en"")"),"202")</f>
        <v>202</v>
      </c>
      <c r="E7" s="1" t="str">
        <f ca="1">IFERROR(__xludf.DUMMYFUNCTION("GOOGLETRANSLATE('대전도시공사_청년임대주택 현황_20240630'!E7,""ko"",""en"")"),"27.463")</f>
        <v>27.463</v>
      </c>
      <c r="F7" s="1" t="str">
        <f ca="1">IFERROR(__xludf.DUMMYFUNCTION("GOOGLETRANSLATE('대전도시공사_청년임대주택 현황_20240630'!F7,""ko"",""en"")"),"22.66")</f>
        <v>22.66</v>
      </c>
      <c r="G7" s="1" t="str">
        <f ca="1">IFERROR(__xludf.DUMMYFUNCTION("GOOGLETRANSLATE('대전도시공사_청년임대주택 현황_20240630'!G7,""ko"",""en"")"),"4.803")</f>
        <v>4.803</v>
      </c>
      <c r="H7" s="1" t="str">
        <f ca="1">IFERROR(__xludf.DUMMYFUNCTION("GOOGLETRANSLATE('대전도시공사_청년임대주택 현황_20240630'!H7,""ko"",""en"")"),"Youth Rental 2nd Place")</f>
        <v>Youth Rental 2nd Place</v>
      </c>
      <c r="I7" s="1" t="str">
        <f ca="1">IFERROR(__xludf.DUMMYFUNCTION("GOOGLETRANSLATE('대전도시공사_청년임대주택 현황_20240630'!I7,""ko"",""en"")"),"2000000")</f>
        <v>2000000</v>
      </c>
      <c r="J7" s="1" t="str">
        <f ca="1">IFERROR(__xludf.DUMMYFUNCTION("GOOGLETRANSLATE('대전도시공사_청년임대주택 현황_20240630'!J7,""ko"",""en"")"),"172400")</f>
        <v>172400</v>
      </c>
    </row>
    <row r="8" spans="1:10" ht="15.75" customHeight="1" x14ac:dyDescent="0.25">
      <c r="A8" s="1" t="str">
        <f ca="1">IFERROR(__xludf.DUMMYFUNCTION("GOOGLETRANSLATE('대전도시공사_청년임대주택 현황_20240630'!A8,""ko"",""en"")"),"Munhwa-dong 311-43 (Sayville, youth rental)")</f>
        <v>Munhwa-dong 311-43 (Sayville, youth rental)</v>
      </c>
      <c r="B8" s="1" t="str">
        <f ca="1">IFERROR(__xludf.DUMMYFUNCTION("GOOGLETRANSLATE('대전도시공사_청년임대주택 현황_20240630'!B8,""ko"",""en"")"),"7")</f>
        <v>7</v>
      </c>
      <c r="C8" s="1" t="str">
        <f ca="1">IFERROR(__xludf.DUMMYFUNCTION("GOOGLETRANSLATE('대전도시공사_청년임대주택 현황_20240630'!C8,""ko"",""en"")"),"1")</f>
        <v>1</v>
      </c>
      <c r="D8" s="1" t="str">
        <f ca="1">IFERROR(__xludf.DUMMYFUNCTION("GOOGLETRANSLATE('대전도시공사_청년임대주택 현황_20240630'!D8,""ko"",""en"")"),"202")</f>
        <v>202</v>
      </c>
      <c r="E8" s="1" t="str">
        <f ca="1">IFERROR(__xludf.DUMMYFUNCTION("GOOGLETRANSLATE('대전도시공사_청년임대주택 현황_20240630'!E8,""ko"",""en"")"),"27.463")</f>
        <v>27.463</v>
      </c>
      <c r="F8" s="1" t="str">
        <f ca="1">IFERROR(__xludf.DUMMYFUNCTION("GOOGLETRANSLATE('대전도시공사_청년임대주택 현황_20240630'!F8,""ko"",""en"")"),"22.66")</f>
        <v>22.66</v>
      </c>
      <c r="G8" s="1" t="str">
        <f ca="1">IFERROR(__xludf.DUMMYFUNCTION("GOOGLETRANSLATE('대전도시공사_청년임대주택 현황_20240630'!G8,""ko"",""en"")"),"4.803")</f>
        <v>4.803</v>
      </c>
      <c r="H8" s="1" t="str">
        <f ca="1">IFERROR(__xludf.DUMMYFUNCTION("GOOGLETRANSLATE('대전도시공사_청년임대주택 현황_20240630'!H8,""ko"",""en"")"),"3rd place for youth rental")</f>
        <v>3rd place for youth rental</v>
      </c>
      <c r="I8" s="1" t="str">
        <f ca="1">IFERROR(__xludf.DUMMYFUNCTION("GOOGLETRANSLATE('대전도시공사_청년임대주택 현황_20240630'!I8,""ko"",""en"")"),"2000000")</f>
        <v>2000000</v>
      </c>
      <c r="J8" s="1" t="str">
        <f ca="1">IFERROR(__xludf.DUMMYFUNCTION("GOOGLETRANSLATE('대전도시공사_청년임대주택 현황_20240630'!J8,""ko"",""en"")"),"172400")</f>
        <v>172400</v>
      </c>
    </row>
    <row r="9" spans="1:10" ht="15.75" customHeight="1" x14ac:dyDescent="0.25">
      <c r="A9" s="1" t="str">
        <f ca="1">IFERROR(__xludf.DUMMYFUNCTION("GOOGLETRANSLATE('대전도시공사_청년임대주택 현황_20240630'!A9,""ko"",""en"")"),"Munhwa-dong 311-43 (Sayville, youth rental)")</f>
        <v>Munhwa-dong 311-43 (Sayville, youth rental)</v>
      </c>
      <c r="B9" s="1" t="str">
        <f ca="1">IFERROR(__xludf.DUMMYFUNCTION("GOOGLETRANSLATE('대전도시공사_청년임대주택 현황_20240630'!B9,""ko"",""en"")"),"8")</f>
        <v>8</v>
      </c>
      <c r="C9" s="1" t="str">
        <f ca="1">IFERROR(__xludf.DUMMYFUNCTION("GOOGLETRANSLATE('대전도시공사_청년임대주택 현황_20240630'!C9,""ko"",""en"")"),"1")</f>
        <v>1</v>
      </c>
      <c r="D9" s="1" t="str">
        <f ca="1">IFERROR(__xludf.DUMMYFUNCTION("GOOGLETRANSLATE('대전도시공사_청년임대주택 현황_20240630'!D9,""ko"",""en"")"),"202")</f>
        <v>202</v>
      </c>
      <c r="E9" s="1" t="str">
        <f ca="1">IFERROR(__xludf.DUMMYFUNCTION("GOOGLETRANSLATE('대전도시공사_청년임대주택 현황_20240630'!E9,""ko"",""en"")"),"27.463")</f>
        <v>27.463</v>
      </c>
      <c r="F9" s="1" t="str">
        <f ca="1">IFERROR(__xludf.DUMMYFUNCTION("GOOGLETRANSLATE('대전도시공사_청년임대주택 현황_20240630'!F9,""ko"",""en"")"),"22.66")</f>
        <v>22.66</v>
      </c>
      <c r="G9" s="1" t="str">
        <f ca="1">IFERROR(__xludf.DUMMYFUNCTION("GOOGLETRANSLATE('대전도시공사_청년임대주택 현황_20240630'!G9,""ko"",""en"")"),"4.803")</f>
        <v>4.803</v>
      </c>
      <c r="H9" s="1" t="str">
        <f ca="1">IFERROR(__xludf.DUMMYFUNCTION("GOOGLETRANSLATE('대전도시공사_청년임대주택 현황_20240630'!H9,""ko"",""en"")"),"4th place for youth rental")</f>
        <v>4th place for youth rental</v>
      </c>
      <c r="I9" s="1" t="str">
        <f ca="1">IFERROR(__xludf.DUMMYFUNCTION("GOOGLETRANSLATE('대전도시공사_청년임대주택 현황_20240630'!I9,""ko"",""en"")"),"2000000")</f>
        <v>2000000</v>
      </c>
      <c r="J9" s="1" t="str">
        <f ca="1">IFERROR(__xludf.DUMMYFUNCTION("GOOGLETRANSLATE('대전도시공사_청년임대주택 현황_20240630'!J9,""ko"",""en"")"),"172400")</f>
        <v>172400</v>
      </c>
    </row>
    <row r="10" spans="1:10" ht="15.75" customHeight="1" x14ac:dyDescent="0.25">
      <c r="A10" s="1" t="str">
        <f ca="1">IFERROR(__xludf.DUMMYFUNCTION("GOOGLETRANSLATE('대전도시공사_청년임대주택 현황_20240630'!A10,""ko"",""en"")"),"Munhwa-dong 311-43 (Sayville, youth rental)")</f>
        <v>Munhwa-dong 311-43 (Sayville, youth rental)</v>
      </c>
      <c r="B10" s="1" t="str">
        <f ca="1">IFERROR(__xludf.DUMMYFUNCTION("GOOGLETRANSLATE('대전도시공사_청년임대주택 현황_20240630'!B10,""ko"",""en"")"),"9")</f>
        <v>9</v>
      </c>
      <c r="C10" s="1" t="str">
        <f ca="1">IFERROR(__xludf.DUMMYFUNCTION("GOOGLETRANSLATE('대전도시공사_청년임대주택 현황_20240630'!C10,""ko"",""en"")"),"1")</f>
        <v>1</v>
      </c>
      <c r="D10" s="1" t="str">
        <f ca="1">IFERROR(__xludf.DUMMYFUNCTION("GOOGLETRANSLATE('대전도시공사_청년임대주택 현황_20240630'!D10,""ko"",""en"")"),"203")</f>
        <v>203</v>
      </c>
      <c r="E10" s="1" t="str">
        <f ca="1">IFERROR(__xludf.DUMMYFUNCTION("GOOGLETRANSLATE('대전도시공사_청년임대주택 현황_20240630'!E10,""ko"",""en"")"),"27.463")</f>
        <v>27.463</v>
      </c>
      <c r="F10" s="1" t="str">
        <f ca="1">IFERROR(__xludf.DUMMYFUNCTION("GOOGLETRANSLATE('대전도시공사_청년임대주택 현황_20240630'!F10,""ko"",""en"")"),"22.66")</f>
        <v>22.66</v>
      </c>
      <c r="G10" s="1" t="str">
        <f ca="1">IFERROR(__xludf.DUMMYFUNCTION("GOOGLETRANSLATE('대전도시공사_청년임대주택 현황_20240630'!G10,""ko"",""en"")"),"4.803")</f>
        <v>4.803</v>
      </c>
      <c r="H10" s="1" t="str">
        <f ca="1">IFERROR(__xludf.DUMMYFUNCTION("GOOGLETRANSLATE('대전도시공사_청년임대주택 현황_20240630'!H10,""ko"",""en"")"),"Youth Rent 1st Place")</f>
        <v>Youth Rent 1st Place</v>
      </c>
      <c r="I10" s="1" t="str">
        <f ca="1">IFERROR(__xludf.DUMMYFUNCTION("GOOGLETRANSLATE('대전도시공사_청년임대주택 현황_20240630'!I10,""ko"",""en"")"),"1000000")</f>
        <v>1000000</v>
      </c>
      <c r="J10" s="1" t="str">
        <f ca="1">IFERROR(__xludf.DUMMYFUNCTION("GOOGLETRANSLATE('대전도시공사_청년임대주택 현황_20240630'!J10,""ko"",""en"")"),"104900")</f>
        <v>104900</v>
      </c>
    </row>
    <row r="11" spans="1:10" ht="15.75" customHeight="1" x14ac:dyDescent="0.25">
      <c r="A11" s="1" t="str">
        <f ca="1">IFERROR(__xludf.DUMMYFUNCTION("GOOGLETRANSLATE('대전도시공사_청년임대주택 현황_20240630'!A11,""ko"",""en"")"),"Munhwa-dong 311-43 (Sayville, youth rental)")</f>
        <v>Munhwa-dong 311-43 (Sayville, youth rental)</v>
      </c>
      <c r="B11" s="1" t="str">
        <f ca="1">IFERROR(__xludf.DUMMYFUNCTION("GOOGLETRANSLATE('대전도시공사_청년임대주택 현황_20240630'!B11,""ko"",""en"")"),"10")</f>
        <v>10</v>
      </c>
      <c r="C11" s="1" t="str">
        <f ca="1">IFERROR(__xludf.DUMMYFUNCTION("GOOGLETRANSLATE('대전도시공사_청년임대주택 현황_20240630'!C11,""ko"",""en"")"),"1")</f>
        <v>1</v>
      </c>
      <c r="D11" s="1" t="str">
        <f ca="1">IFERROR(__xludf.DUMMYFUNCTION("GOOGLETRANSLATE('대전도시공사_청년임대주택 현황_20240630'!D11,""ko"",""en"")"),"203")</f>
        <v>203</v>
      </c>
      <c r="E11" s="1" t="str">
        <f ca="1">IFERROR(__xludf.DUMMYFUNCTION("GOOGLETRANSLATE('대전도시공사_청년임대주택 현황_20240630'!E11,""ko"",""en"")"),"27.463")</f>
        <v>27.463</v>
      </c>
      <c r="F11" s="1" t="str">
        <f ca="1">IFERROR(__xludf.DUMMYFUNCTION("GOOGLETRANSLATE('대전도시공사_청년임대주택 현황_20240630'!F11,""ko"",""en"")"),"22.66")</f>
        <v>22.66</v>
      </c>
      <c r="G11" s="1" t="str">
        <f ca="1">IFERROR(__xludf.DUMMYFUNCTION("GOOGLETRANSLATE('대전도시공사_청년임대주택 현황_20240630'!G11,""ko"",""en"")"),"4.803")</f>
        <v>4.803</v>
      </c>
      <c r="H11" s="1" t="str">
        <f ca="1">IFERROR(__xludf.DUMMYFUNCTION("GOOGLETRANSLATE('대전도시공사_청년임대주택 현황_20240630'!H11,""ko"",""en"")"),"Youth Rental 2nd Place")</f>
        <v>Youth Rental 2nd Place</v>
      </c>
      <c r="I11" s="1" t="str">
        <f ca="1">IFERROR(__xludf.DUMMYFUNCTION("GOOGLETRANSLATE('대전도시공사_청년임대주택 현황_20240630'!I11,""ko"",""en"")"),"2000000")</f>
        <v>2000000</v>
      </c>
      <c r="J11" s="1" t="str">
        <f ca="1">IFERROR(__xludf.DUMMYFUNCTION("GOOGLETRANSLATE('대전도시공사_청년임대주택 현황_20240630'!J11,""ko"",""en"")"),"174400")</f>
        <v>174400</v>
      </c>
    </row>
    <row r="12" spans="1:10" ht="15.75" customHeight="1" x14ac:dyDescent="0.25">
      <c r="A12" s="1" t="str">
        <f ca="1">IFERROR(__xludf.DUMMYFUNCTION("GOOGLETRANSLATE('대전도시공사_청년임대주택 현황_20240630'!A12,""ko"",""en"")"),"Munhwa-dong 311-43 (Sayville, youth rental)")</f>
        <v>Munhwa-dong 311-43 (Sayville, youth rental)</v>
      </c>
      <c r="B12" s="1" t="str">
        <f ca="1">IFERROR(__xludf.DUMMYFUNCTION("GOOGLETRANSLATE('대전도시공사_청년임대주택 현황_20240630'!B12,""ko"",""en"")"),"11")</f>
        <v>11</v>
      </c>
      <c r="C12" s="1" t="str">
        <f ca="1">IFERROR(__xludf.DUMMYFUNCTION("GOOGLETRANSLATE('대전도시공사_청년임대주택 현황_20240630'!C12,""ko"",""en"")"),"1")</f>
        <v>1</v>
      </c>
      <c r="D12" s="1" t="str">
        <f ca="1">IFERROR(__xludf.DUMMYFUNCTION("GOOGLETRANSLATE('대전도시공사_청년임대주택 현황_20240630'!D12,""ko"",""en"")"),"203")</f>
        <v>203</v>
      </c>
      <c r="E12" s="1" t="str">
        <f ca="1">IFERROR(__xludf.DUMMYFUNCTION("GOOGLETRANSLATE('대전도시공사_청년임대주택 현황_20240630'!E12,""ko"",""en"")"),"27.463")</f>
        <v>27.463</v>
      </c>
      <c r="F12" s="1" t="str">
        <f ca="1">IFERROR(__xludf.DUMMYFUNCTION("GOOGLETRANSLATE('대전도시공사_청년임대주택 현황_20240630'!F12,""ko"",""en"")"),"22.66")</f>
        <v>22.66</v>
      </c>
      <c r="G12" s="1" t="str">
        <f ca="1">IFERROR(__xludf.DUMMYFUNCTION("GOOGLETRANSLATE('대전도시공사_청년임대주택 현황_20240630'!G12,""ko"",""en"")"),"4.803")</f>
        <v>4.803</v>
      </c>
      <c r="H12" s="1" t="str">
        <f ca="1">IFERROR(__xludf.DUMMYFUNCTION("GOOGLETRANSLATE('대전도시공사_청년임대주택 현황_20240630'!H12,""ko"",""en"")"),"3rd place for youth rental")</f>
        <v>3rd place for youth rental</v>
      </c>
      <c r="I12" s="1" t="str">
        <f ca="1">IFERROR(__xludf.DUMMYFUNCTION("GOOGLETRANSLATE('대전도시공사_청년임대주택 현황_20240630'!I12,""ko"",""en"")"),"2000000")</f>
        <v>2000000</v>
      </c>
      <c r="J12" s="1" t="str">
        <f ca="1">IFERROR(__xludf.DUMMYFUNCTION("GOOGLETRANSLATE('대전도시공사_청년임대주택 현황_20240630'!J12,""ko"",""en"")"),"172400")</f>
        <v>172400</v>
      </c>
    </row>
    <row r="13" spans="1:10" ht="15.75" customHeight="1" x14ac:dyDescent="0.25">
      <c r="A13" s="1" t="str">
        <f ca="1">IFERROR(__xludf.DUMMYFUNCTION("GOOGLETRANSLATE('대전도시공사_청년임대주택 현황_20240630'!A13,""ko"",""en"")"),"Munhwa-dong 311-43 (Sayville, youth rental)")</f>
        <v>Munhwa-dong 311-43 (Sayville, youth rental)</v>
      </c>
      <c r="B13" s="1" t="str">
        <f ca="1">IFERROR(__xludf.DUMMYFUNCTION("GOOGLETRANSLATE('대전도시공사_청년임대주택 현황_20240630'!B13,""ko"",""en"")"),"12")</f>
        <v>12</v>
      </c>
      <c r="C13" s="1" t="str">
        <f ca="1">IFERROR(__xludf.DUMMYFUNCTION("GOOGLETRANSLATE('대전도시공사_청년임대주택 현황_20240630'!C13,""ko"",""en"")"),"1")</f>
        <v>1</v>
      </c>
      <c r="D13" s="1" t="str">
        <f ca="1">IFERROR(__xludf.DUMMYFUNCTION("GOOGLETRANSLATE('대전도시공사_청년임대주택 현황_20240630'!D13,""ko"",""en"")"),"203")</f>
        <v>203</v>
      </c>
      <c r="E13" s="1" t="str">
        <f ca="1">IFERROR(__xludf.DUMMYFUNCTION("GOOGLETRANSLATE('대전도시공사_청년임대주택 현황_20240630'!E13,""ko"",""en"")"),"27.463")</f>
        <v>27.463</v>
      </c>
      <c r="F13" s="1" t="str">
        <f ca="1">IFERROR(__xludf.DUMMYFUNCTION("GOOGLETRANSLATE('대전도시공사_청년임대주택 현황_20240630'!F13,""ko"",""en"")"),"22.66")</f>
        <v>22.66</v>
      </c>
      <c r="G13" s="1" t="str">
        <f ca="1">IFERROR(__xludf.DUMMYFUNCTION("GOOGLETRANSLATE('대전도시공사_청년임대주택 현황_20240630'!G13,""ko"",""en"")"),"4.803")</f>
        <v>4.803</v>
      </c>
      <c r="H13" s="1" t="str">
        <f ca="1">IFERROR(__xludf.DUMMYFUNCTION("GOOGLETRANSLATE('대전도시공사_청년임대주택 현황_20240630'!H13,""ko"",""en"")"),"4th place for youth rental")</f>
        <v>4th place for youth rental</v>
      </c>
      <c r="I13" s="1" t="str">
        <f ca="1">IFERROR(__xludf.DUMMYFUNCTION("GOOGLETRANSLATE('대전도시공사_청년임대주택 현황_20240630'!I13,""ko"",""en"")"),"2000000")</f>
        <v>2000000</v>
      </c>
      <c r="J13" s="1" t="str">
        <f ca="1">IFERROR(__xludf.DUMMYFUNCTION("GOOGLETRANSLATE('대전도시공사_청년임대주택 현황_20240630'!J13,""ko"",""en"")"),"172400")</f>
        <v>172400</v>
      </c>
    </row>
    <row r="14" spans="1:10" ht="15.75" customHeight="1" x14ac:dyDescent="0.25">
      <c r="A14" s="1" t="str">
        <f ca="1">IFERROR(__xludf.DUMMYFUNCTION("GOOGLETRANSLATE('대전도시공사_청년임대주택 현황_20240630'!A14,""ko"",""en"")"),"Munhwa-dong 311-43 (Sayville, youth rental)")</f>
        <v>Munhwa-dong 311-43 (Sayville, youth rental)</v>
      </c>
      <c r="B14" s="1" t="str">
        <f ca="1">IFERROR(__xludf.DUMMYFUNCTION("GOOGLETRANSLATE('대전도시공사_청년임대주택 현황_20240630'!B14,""ko"",""en"")"),"13")</f>
        <v>13</v>
      </c>
      <c r="C14" s="1" t="str">
        <f ca="1">IFERROR(__xludf.DUMMYFUNCTION("GOOGLETRANSLATE('대전도시공사_청년임대주택 현황_20240630'!C14,""ko"",""en"")"),"1")</f>
        <v>1</v>
      </c>
      <c r="D14" s="1" t="str">
        <f ca="1">IFERROR(__xludf.DUMMYFUNCTION("GOOGLETRANSLATE('대전도시공사_청년임대주택 현황_20240630'!D14,""ko"",""en"")"),"204")</f>
        <v>204</v>
      </c>
      <c r="E14" s="1" t="str">
        <f ca="1">IFERROR(__xludf.DUMMYFUNCTION("GOOGLETRANSLATE('대전도시공사_청년임대주택 현황_20240630'!E14,""ko"",""en"")"),"28.845")</f>
        <v>28.845</v>
      </c>
      <c r="F14" s="1" t="str">
        <f ca="1">IFERROR(__xludf.DUMMYFUNCTION("GOOGLETRANSLATE('대전도시공사_청년임대주택 현황_20240630'!F14,""ko"",""en"")"),"23.8")</f>
        <v>23.8</v>
      </c>
      <c r="G14" s="1" t="str">
        <f ca="1">IFERROR(__xludf.DUMMYFUNCTION("GOOGLETRANSLATE('대전도시공사_청년임대주택 현황_20240630'!G14,""ko"",""en"")"),"5.045")</f>
        <v>5.045</v>
      </c>
      <c r="H14" s="1" t="str">
        <f ca="1">IFERROR(__xludf.DUMMYFUNCTION("GOOGLETRANSLATE('대전도시공사_청년임대주택 현황_20240630'!H14,""ko"",""en"")"),"Youth Rent 1st Place")</f>
        <v>Youth Rent 1st Place</v>
      </c>
      <c r="I14" s="1" t="str">
        <f ca="1">IFERROR(__xludf.DUMMYFUNCTION("GOOGLETRANSLATE('대전도시공사_청년임대주택 현황_20240630'!I14,""ko"",""en"")"),"1000000")</f>
        <v>1000000</v>
      </c>
      <c r="J14" s="1" t="str">
        <f ca="1">IFERROR(__xludf.DUMMYFUNCTION("GOOGLETRANSLATE('대전도시공사_청년임대주택 현황_20240630'!J14,""ko"",""en"")"),"112800")</f>
        <v>112800</v>
      </c>
    </row>
    <row r="15" spans="1:10" ht="15.75" customHeight="1" x14ac:dyDescent="0.25">
      <c r="A15" s="1" t="str">
        <f ca="1">IFERROR(__xludf.DUMMYFUNCTION("GOOGLETRANSLATE('대전도시공사_청년임대주택 현황_20240630'!A15,""ko"",""en"")"),"Munhwa-dong 311-43 (Sayville, youth rental)")</f>
        <v>Munhwa-dong 311-43 (Sayville, youth rental)</v>
      </c>
      <c r="B15" s="1" t="str">
        <f ca="1">IFERROR(__xludf.DUMMYFUNCTION("GOOGLETRANSLATE('대전도시공사_청년임대주택 현황_20240630'!B15,""ko"",""en"")"),"14")</f>
        <v>14</v>
      </c>
      <c r="C15" s="1" t="str">
        <f ca="1">IFERROR(__xludf.DUMMYFUNCTION("GOOGLETRANSLATE('대전도시공사_청년임대주택 현황_20240630'!C15,""ko"",""en"")"),"1")</f>
        <v>1</v>
      </c>
      <c r="D15" s="1" t="str">
        <f ca="1">IFERROR(__xludf.DUMMYFUNCTION("GOOGLETRANSLATE('대전도시공사_청년임대주택 현황_20240630'!D15,""ko"",""en"")"),"204")</f>
        <v>204</v>
      </c>
      <c r="E15" s="1" t="str">
        <f ca="1">IFERROR(__xludf.DUMMYFUNCTION("GOOGLETRANSLATE('대전도시공사_청년임대주택 현황_20240630'!E15,""ko"",""en"")"),"28.845")</f>
        <v>28.845</v>
      </c>
      <c r="F15" s="1" t="str">
        <f ca="1">IFERROR(__xludf.DUMMYFUNCTION("GOOGLETRANSLATE('대전도시공사_청년임대주택 현황_20240630'!F15,""ko"",""en"")"),"23.8")</f>
        <v>23.8</v>
      </c>
      <c r="G15" s="1" t="str">
        <f ca="1">IFERROR(__xludf.DUMMYFUNCTION("GOOGLETRANSLATE('대전도시공사_청년임대주택 현황_20240630'!G15,""ko"",""en"")"),"5.045")</f>
        <v>5.045</v>
      </c>
      <c r="H15" s="1" t="str">
        <f ca="1">IFERROR(__xludf.DUMMYFUNCTION("GOOGLETRANSLATE('대전도시공사_청년임대주택 현황_20240630'!H15,""ko"",""en"")"),"Youth Rental 2nd Place")</f>
        <v>Youth Rental 2nd Place</v>
      </c>
      <c r="I15" s="1" t="str">
        <f ca="1">IFERROR(__xludf.DUMMYFUNCTION("GOOGLETRANSLATE('대전도시공사_청년임대주택 현황_20240630'!I15,""ko"",""en"")"),"2000000")</f>
        <v>2000000</v>
      </c>
      <c r="J15" s="1" t="str">
        <f ca="1">IFERROR(__xludf.DUMMYFUNCTION("GOOGLETRANSLATE('대전도시공사_청년임대주택 현황_20240630'!J15,""ko"",""en"")"),"185600")</f>
        <v>185600</v>
      </c>
    </row>
    <row r="16" spans="1:10" ht="15.75" customHeight="1" x14ac:dyDescent="0.25">
      <c r="A16" s="1" t="str">
        <f ca="1">IFERROR(__xludf.DUMMYFUNCTION("GOOGLETRANSLATE('대전도시공사_청년임대주택 현황_20240630'!A16,""ko"",""en"")"),"Munhwa-dong 311-43 (Sayville, youth rental)")</f>
        <v>Munhwa-dong 311-43 (Sayville, youth rental)</v>
      </c>
      <c r="B16" s="1" t="str">
        <f ca="1">IFERROR(__xludf.DUMMYFUNCTION("GOOGLETRANSLATE('대전도시공사_청년임대주택 현황_20240630'!B16,""ko"",""en"")"),"15")</f>
        <v>15</v>
      </c>
      <c r="C16" s="1" t="str">
        <f ca="1">IFERROR(__xludf.DUMMYFUNCTION("GOOGLETRANSLATE('대전도시공사_청년임대주택 현황_20240630'!C16,""ko"",""en"")"),"1")</f>
        <v>1</v>
      </c>
      <c r="D16" s="1" t="str">
        <f ca="1">IFERROR(__xludf.DUMMYFUNCTION("GOOGLETRANSLATE('대전도시공사_청년임대주택 현황_20240630'!D16,""ko"",""en"")"),"204")</f>
        <v>204</v>
      </c>
      <c r="E16" s="1" t="str">
        <f ca="1">IFERROR(__xludf.DUMMYFUNCTION("GOOGLETRANSLATE('대전도시공사_청년임대주택 현황_20240630'!E16,""ko"",""en"")"),"28.845")</f>
        <v>28.845</v>
      </c>
      <c r="F16" s="1" t="str">
        <f ca="1">IFERROR(__xludf.DUMMYFUNCTION("GOOGLETRANSLATE('대전도시공사_청년임대주택 현황_20240630'!F16,""ko"",""en"")"),"23.8")</f>
        <v>23.8</v>
      </c>
      <c r="G16" s="1" t="str">
        <f ca="1">IFERROR(__xludf.DUMMYFUNCTION("GOOGLETRANSLATE('대전도시공사_청년임대주택 현황_20240630'!G16,""ko"",""en"")"),"5.045")</f>
        <v>5.045</v>
      </c>
      <c r="H16" s="1" t="str">
        <f ca="1">IFERROR(__xludf.DUMMYFUNCTION("GOOGLETRANSLATE('대전도시공사_청년임대주택 현황_20240630'!H16,""ko"",""en"")"),"3rd place for youth rental")</f>
        <v>3rd place for youth rental</v>
      </c>
      <c r="I16" s="1" t="str">
        <f ca="1">IFERROR(__xludf.DUMMYFUNCTION("GOOGLETRANSLATE('대전도시공사_청년임대주택 현황_20240630'!I16,""ko"",""en"")"),"2000000")</f>
        <v>2000000</v>
      </c>
      <c r="J16" s="1" t="str">
        <f ca="1">IFERROR(__xludf.DUMMYFUNCTION("GOOGLETRANSLATE('대전도시공사_청년임대주택 현황_20240630'!J16,""ko"",""en"")"),"185600")</f>
        <v>185600</v>
      </c>
    </row>
    <row r="17" spans="1:10" ht="15.75" customHeight="1" x14ac:dyDescent="0.25">
      <c r="A17" s="1" t="str">
        <f ca="1">IFERROR(__xludf.DUMMYFUNCTION("GOOGLETRANSLATE('대전도시공사_청년임대주택 현황_20240630'!A17,""ko"",""en"")"),"Munhwa-dong 311-43 (Sayville, youth rental)")</f>
        <v>Munhwa-dong 311-43 (Sayville, youth rental)</v>
      </c>
      <c r="B17" s="1" t="str">
        <f ca="1">IFERROR(__xludf.DUMMYFUNCTION("GOOGLETRANSLATE('대전도시공사_청년임대주택 현황_20240630'!B17,""ko"",""en"")"),"16")</f>
        <v>16</v>
      </c>
      <c r="C17" s="1" t="str">
        <f ca="1">IFERROR(__xludf.DUMMYFUNCTION("GOOGLETRANSLATE('대전도시공사_청년임대주택 현황_20240630'!C17,""ko"",""en"")"),"1")</f>
        <v>1</v>
      </c>
      <c r="D17" s="1" t="str">
        <f ca="1">IFERROR(__xludf.DUMMYFUNCTION("GOOGLETRANSLATE('대전도시공사_청년임대주택 현황_20240630'!D17,""ko"",""en"")"),"204")</f>
        <v>204</v>
      </c>
      <c r="E17" s="1" t="str">
        <f ca="1">IFERROR(__xludf.DUMMYFUNCTION("GOOGLETRANSLATE('대전도시공사_청년임대주택 현황_20240630'!E17,""ko"",""en"")"),"28.845")</f>
        <v>28.845</v>
      </c>
      <c r="F17" s="1" t="str">
        <f ca="1">IFERROR(__xludf.DUMMYFUNCTION("GOOGLETRANSLATE('대전도시공사_청년임대주택 현황_20240630'!F17,""ko"",""en"")"),"23.8")</f>
        <v>23.8</v>
      </c>
      <c r="G17" s="1" t="str">
        <f ca="1">IFERROR(__xludf.DUMMYFUNCTION("GOOGLETRANSLATE('대전도시공사_청년임대주택 현황_20240630'!G17,""ko"",""en"")"),"5.045")</f>
        <v>5.045</v>
      </c>
      <c r="H17" s="1" t="str">
        <f ca="1">IFERROR(__xludf.DUMMYFUNCTION("GOOGLETRANSLATE('대전도시공사_청년임대주택 현황_20240630'!H17,""ko"",""en"")"),"4th place for youth rental")</f>
        <v>4th place for youth rental</v>
      </c>
      <c r="I17" s="1" t="str">
        <f ca="1">IFERROR(__xludf.DUMMYFUNCTION("GOOGLETRANSLATE('대전도시공사_청년임대주택 현황_20240630'!I17,""ko"",""en"")"),"2000000")</f>
        <v>2000000</v>
      </c>
      <c r="J17" s="1" t="str">
        <f ca="1">IFERROR(__xludf.DUMMYFUNCTION("GOOGLETRANSLATE('대전도시공사_청년임대주택 현황_20240630'!J17,""ko"",""en"")"),"185600")</f>
        <v>185600</v>
      </c>
    </row>
    <row r="18" spans="1:10" ht="15.75" customHeight="1" x14ac:dyDescent="0.25">
      <c r="A18" s="1" t="str">
        <f ca="1">IFERROR(__xludf.DUMMYFUNCTION("GOOGLETRANSLATE('대전도시공사_청년임대주택 현황_20240630'!A18,""ko"",""en"")"),"Munhwa-dong 311-43 (Sayville, youth rental)")</f>
        <v>Munhwa-dong 311-43 (Sayville, youth rental)</v>
      </c>
      <c r="B18" s="1" t="str">
        <f ca="1">IFERROR(__xludf.DUMMYFUNCTION("GOOGLETRANSLATE('대전도시공사_청년임대주택 현황_20240630'!B18,""ko"",""en"")"),"17")</f>
        <v>17</v>
      </c>
      <c r="C18" s="1" t="str">
        <f ca="1">IFERROR(__xludf.DUMMYFUNCTION("GOOGLETRANSLATE('대전도시공사_청년임대주택 현황_20240630'!C18,""ko"",""en"")"),"1")</f>
        <v>1</v>
      </c>
      <c r="D18" s="1" t="str">
        <f ca="1">IFERROR(__xludf.DUMMYFUNCTION("GOOGLETRANSLATE('대전도시공사_청년임대주택 현황_20240630'!D18,""ko"",""en"")"),"301")</f>
        <v>301</v>
      </c>
      <c r="E18" s="1" t="str">
        <f ca="1">IFERROR(__xludf.DUMMYFUNCTION("GOOGLETRANSLATE('대전도시공사_청년임대주택 현황_20240630'!E18,""ko"",""en"")"),"28.845")</f>
        <v>28.845</v>
      </c>
      <c r="F18" s="1" t="str">
        <f ca="1">IFERROR(__xludf.DUMMYFUNCTION("GOOGLETRANSLATE('대전도시공사_청년임대주택 현황_20240630'!F18,""ko"",""en"")"),"23.8")</f>
        <v>23.8</v>
      </c>
      <c r="G18" s="1" t="str">
        <f ca="1">IFERROR(__xludf.DUMMYFUNCTION("GOOGLETRANSLATE('대전도시공사_청년임대주택 현황_20240630'!G18,""ko"",""en"")"),"5.045")</f>
        <v>5.045</v>
      </c>
      <c r="H18" s="1" t="str">
        <f ca="1">IFERROR(__xludf.DUMMYFUNCTION("GOOGLETRANSLATE('대전도시공사_청년임대주택 현황_20240630'!H18,""ko"",""en"")"),"Youth Rent 1st Place")</f>
        <v>Youth Rent 1st Place</v>
      </c>
      <c r="I18" s="1" t="str">
        <f ca="1">IFERROR(__xludf.DUMMYFUNCTION("GOOGLETRANSLATE('대전도시공사_청년임대주택 현황_20240630'!I18,""ko"",""en"")"),"1000000")</f>
        <v>1000000</v>
      </c>
      <c r="J18" s="1" t="str">
        <f ca="1">IFERROR(__xludf.DUMMYFUNCTION("GOOGLETRANSLATE('대전도시공사_청년임대주택 현황_20240630'!J18,""ko"",""en"")"),"112800")</f>
        <v>112800</v>
      </c>
    </row>
    <row r="19" spans="1:10" ht="15.75" customHeight="1" x14ac:dyDescent="0.25">
      <c r="A19" s="1" t="str">
        <f ca="1">IFERROR(__xludf.DUMMYFUNCTION("GOOGLETRANSLATE('대전도시공사_청년임대주택 현황_20240630'!A19,""ko"",""en"")"),"Munhwa-dong 311-43 (Sayville, youth rental)")</f>
        <v>Munhwa-dong 311-43 (Sayville, youth rental)</v>
      </c>
      <c r="B19" s="1" t="str">
        <f ca="1">IFERROR(__xludf.DUMMYFUNCTION("GOOGLETRANSLATE('대전도시공사_청년임대주택 현황_20240630'!B19,""ko"",""en"")"),"18")</f>
        <v>18</v>
      </c>
      <c r="C19" s="1" t="str">
        <f ca="1">IFERROR(__xludf.DUMMYFUNCTION("GOOGLETRANSLATE('대전도시공사_청년임대주택 현황_20240630'!C19,""ko"",""en"")"),"1")</f>
        <v>1</v>
      </c>
      <c r="D19" s="1" t="str">
        <f ca="1">IFERROR(__xludf.DUMMYFUNCTION("GOOGLETRANSLATE('대전도시공사_청년임대주택 현황_20240630'!D19,""ko"",""en"")"),"301")</f>
        <v>301</v>
      </c>
      <c r="E19" s="1" t="str">
        <f ca="1">IFERROR(__xludf.DUMMYFUNCTION("GOOGLETRANSLATE('대전도시공사_청년임대주택 현황_20240630'!E19,""ko"",""en"")"),"28.845")</f>
        <v>28.845</v>
      </c>
      <c r="F19" s="1" t="str">
        <f ca="1">IFERROR(__xludf.DUMMYFUNCTION("GOOGLETRANSLATE('대전도시공사_청년임대주택 현황_20240630'!F19,""ko"",""en"")"),"23.8")</f>
        <v>23.8</v>
      </c>
      <c r="G19" s="1" t="str">
        <f ca="1">IFERROR(__xludf.DUMMYFUNCTION("GOOGLETRANSLATE('대전도시공사_청년임대주택 현황_20240630'!G19,""ko"",""en"")"),"5.045")</f>
        <v>5.045</v>
      </c>
      <c r="H19" s="1" t="str">
        <f ca="1">IFERROR(__xludf.DUMMYFUNCTION("GOOGLETRANSLATE('대전도시공사_청년임대주택 현황_20240630'!H19,""ko"",""en"")"),"Youth Rental 2nd Place")</f>
        <v>Youth Rental 2nd Place</v>
      </c>
      <c r="I19" s="1" t="str">
        <f ca="1">IFERROR(__xludf.DUMMYFUNCTION("GOOGLETRANSLATE('대전도시공사_청년임대주택 현황_20240630'!I19,""ko"",""en"")"),"1000000")</f>
        <v>1000000</v>
      </c>
      <c r="J19" s="1" t="str">
        <f ca="1">IFERROR(__xludf.DUMMYFUNCTION("GOOGLETRANSLATE('대전도시공사_청년임대주택 현황_20240630'!J19,""ko"",""en"")"),"112800")</f>
        <v>112800</v>
      </c>
    </row>
    <row r="20" spans="1:10" ht="15.75" customHeight="1" x14ac:dyDescent="0.25">
      <c r="A20" s="1" t="str">
        <f ca="1">IFERROR(__xludf.DUMMYFUNCTION("GOOGLETRANSLATE('대전도시공사_청년임대주택 현황_20240630'!A20,""ko"",""en"")"),"Munhwa-dong 311-43 (Sayville, youth rental)")</f>
        <v>Munhwa-dong 311-43 (Sayville, youth rental)</v>
      </c>
      <c r="B20" s="1" t="str">
        <f ca="1">IFERROR(__xludf.DUMMYFUNCTION("GOOGLETRANSLATE('대전도시공사_청년임대주택 현황_20240630'!B20,""ko"",""en"")"),"19")</f>
        <v>19</v>
      </c>
      <c r="C20" s="1" t="str">
        <f ca="1">IFERROR(__xludf.DUMMYFUNCTION("GOOGLETRANSLATE('대전도시공사_청년임대주택 현황_20240630'!C20,""ko"",""en"")"),"1")</f>
        <v>1</v>
      </c>
      <c r="D20" s="1" t="str">
        <f ca="1">IFERROR(__xludf.DUMMYFUNCTION("GOOGLETRANSLATE('대전도시공사_청년임대주택 현황_20240630'!D20,""ko"",""en"")"),"301")</f>
        <v>301</v>
      </c>
      <c r="E20" s="1" t="str">
        <f ca="1">IFERROR(__xludf.DUMMYFUNCTION("GOOGLETRANSLATE('대전도시공사_청년임대주택 현황_20240630'!E20,""ko"",""en"")"),"28.845")</f>
        <v>28.845</v>
      </c>
      <c r="F20" s="1" t="str">
        <f ca="1">IFERROR(__xludf.DUMMYFUNCTION("GOOGLETRANSLATE('대전도시공사_청년임대주택 현황_20240630'!F20,""ko"",""en"")"),"23.8")</f>
        <v>23.8</v>
      </c>
      <c r="G20" s="1" t="str">
        <f ca="1">IFERROR(__xludf.DUMMYFUNCTION("GOOGLETRANSLATE('대전도시공사_청년임대주택 현황_20240630'!G20,""ko"",""en"")"),"5.045")</f>
        <v>5.045</v>
      </c>
      <c r="H20" s="1" t="str">
        <f ca="1">IFERROR(__xludf.DUMMYFUNCTION("GOOGLETRANSLATE('대전도시공사_청년임대주택 현황_20240630'!H20,""ko"",""en"")"),"3rd place for youth rental")</f>
        <v>3rd place for youth rental</v>
      </c>
      <c r="I20" s="1" t="str">
        <f ca="1">IFERROR(__xludf.DUMMYFUNCTION("GOOGLETRANSLATE('대전도시공사_청년임대주택 현황_20240630'!I20,""ko"",""en"")"),"2000000")</f>
        <v>2000000</v>
      </c>
      <c r="J20" s="1" t="str">
        <f ca="1">IFERROR(__xludf.DUMMYFUNCTION("GOOGLETRANSLATE('대전도시공사_청년임대주택 현황_20240630'!J20,""ko"",""en"")"),"185600")</f>
        <v>185600</v>
      </c>
    </row>
    <row r="21" spans="1:10" ht="15.75" customHeight="1" x14ac:dyDescent="0.25">
      <c r="A21" s="1" t="str">
        <f ca="1">IFERROR(__xludf.DUMMYFUNCTION("GOOGLETRANSLATE('대전도시공사_청년임대주택 현황_20240630'!A21,""ko"",""en"")"),"Munhwa-dong 311-43 (Sayville, youth rental)")</f>
        <v>Munhwa-dong 311-43 (Sayville, youth rental)</v>
      </c>
      <c r="B21" s="1" t="str">
        <f ca="1">IFERROR(__xludf.DUMMYFUNCTION("GOOGLETRANSLATE('대전도시공사_청년임대주택 현황_20240630'!B21,""ko"",""en"")"),"20")</f>
        <v>20</v>
      </c>
      <c r="C21" s="1" t="str">
        <f ca="1">IFERROR(__xludf.DUMMYFUNCTION("GOOGLETRANSLATE('대전도시공사_청년임대주택 현황_20240630'!C21,""ko"",""en"")"),"1")</f>
        <v>1</v>
      </c>
      <c r="D21" s="1" t="str">
        <f ca="1">IFERROR(__xludf.DUMMYFUNCTION("GOOGLETRANSLATE('대전도시공사_청년임대주택 현황_20240630'!D21,""ko"",""en"")"),"301")</f>
        <v>301</v>
      </c>
      <c r="E21" s="1" t="str">
        <f ca="1">IFERROR(__xludf.DUMMYFUNCTION("GOOGLETRANSLATE('대전도시공사_청년임대주택 현황_20240630'!E21,""ko"",""en"")"),"28.845")</f>
        <v>28.845</v>
      </c>
      <c r="F21" s="1" t="str">
        <f ca="1">IFERROR(__xludf.DUMMYFUNCTION("GOOGLETRANSLATE('대전도시공사_청년임대주택 현황_20240630'!F21,""ko"",""en"")"),"23.8")</f>
        <v>23.8</v>
      </c>
      <c r="G21" s="1" t="str">
        <f ca="1">IFERROR(__xludf.DUMMYFUNCTION("GOOGLETRANSLATE('대전도시공사_청년임대주택 현황_20240630'!G21,""ko"",""en"")"),"5.045")</f>
        <v>5.045</v>
      </c>
      <c r="H21" s="1" t="str">
        <f ca="1">IFERROR(__xludf.DUMMYFUNCTION("GOOGLETRANSLATE('대전도시공사_청년임대주택 현황_20240630'!H21,""ko"",""en"")"),"4th place for youth rental")</f>
        <v>4th place for youth rental</v>
      </c>
      <c r="I21" s="1" t="str">
        <f ca="1">IFERROR(__xludf.DUMMYFUNCTION("GOOGLETRANSLATE('대전도시공사_청년임대주택 현황_20240630'!I21,""ko"",""en"")"),"2000000")</f>
        <v>2000000</v>
      </c>
      <c r="J21" s="1" t="str">
        <f ca="1">IFERROR(__xludf.DUMMYFUNCTION("GOOGLETRANSLATE('대전도시공사_청년임대주택 현황_20240630'!J21,""ko"",""en"")"),"185600")</f>
        <v>185600</v>
      </c>
    </row>
    <row r="22" spans="1:10" ht="15.75" customHeight="1" x14ac:dyDescent="0.25">
      <c r="A22" s="1" t="str">
        <f ca="1">IFERROR(__xludf.DUMMYFUNCTION("GOOGLETRANSLATE('대전도시공사_청년임대주택 현황_20240630'!A22,""ko"",""en"")"),"Munhwa-dong 311-43 (Sayville, youth rental)")</f>
        <v>Munhwa-dong 311-43 (Sayville, youth rental)</v>
      </c>
      <c r="B22" s="1" t="str">
        <f ca="1">IFERROR(__xludf.DUMMYFUNCTION("GOOGLETRANSLATE('대전도시공사_청년임대주택 현황_20240630'!B22,""ko"",""en"")"),"21")</f>
        <v>21</v>
      </c>
      <c r="C22" s="1" t="str">
        <f ca="1">IFERROR(__xludf.DUMMYFUNCTION("GOOGLETRANSLATE('대전도시공사_청년임대주택 현황_20240630'!C22,""ko"",""en"")"),"1")</f>
        <v>1</v>
      </c>
      <c r="D22" s="1" t="str">
        <f ca="1">IFERROR(__xludf.DUMMYFUNCTION("GOOGLETRANSLATE('대전도시공사_청년임대주택 현황_20240630'!D22,""ko"",""en"")"),"302")</f>
        <v>302</v>
      </c>
      <c r="E22" s="1" t="str">
        <f ca="1">IFERROR(__xludf.DUMMYFUNCTION("GOOGLETRANSLATE('대전도시공사_청년임대주택 현황_20240630'!E22,""ko"",""en"")"),"27.463")</f>
        <v>27.463</v>
      </c>
      <c r="F22" s="1" t="str">
        <f ca="1">IFERROR(__xludf.DUMMYFUNCTION("GOOGLETRANSLATE('대전도시공사_청년임대주택 현황_20240630'!F22,""ko"",""en"")"),"22.66")</f>
        <v>22.66</v>
      </c>
      <c r="G22" s="1" t="str">
        <f ca="1">IFERROR(__xludf.DUMMYFUNCTION("GOOGLETRANSLATE('대전도시공사_청년임대주택 현황_20240630'!G22,""ko"",""en"")"),"4.803")</f>
        <v>4.803</v>
      </c>
      <c r="H22" s="1" t="str">
        <f ca="1">IFERROR(__xludf.DUMMYFUNCTION("GOOGLETRANSLATE('대전도시공사_청년임대주택 현황_20240630'!H22,""ko"",""en"")"),"Youth Rent 1st Place")</f>
        <v>Youth Rent 1st Place</v>
      </c>
      <c r="I22" s="1" t="str">
        <f ca="1">IFERROR(__xludf.DUMMYFUNCTION("GOOGLETRANSLATE('대전도시공사_청년임대주택 현황_20240630'!I22,""ko"",""en"")"),"1000000")</f>
        <v>1000000</v>
      </c>
      <c r="J22" s="1" t="str">
        <f ca="1">IFERROR(__xludf.DUMMYFUNCTION("GOOGLETRANSLATE('대전도시공사_청년임대주택 현황_20240630'!J22,""ko"",""en"")"),"104900")</f>
        <v>104900</v>
      </c>
    </row>
    <row r="23" spans="1:10" ht="15.75" customHeight="1" x14ac:dyDescent="0.25">
      <c r="A23" s="1" t="str">
        <f ca="1">IFERROR(__xludf.DUMMYFUNCTION("GOOGLETRANSLATE('대전도시공사_청년임대주택 현황_20240630'!A23,""ko"",""en"")"),"Munhwa-dong 311-43 (Sayville, youth rental)")</f>
        <v>Munhwa-dong 311-43 (Sayville, youth rental)</v>
      </c>
      <c r="B23" s="1" t="str">
        <f ca="1">IFERROR(__xludf.DUMMYFUNCTION("GOOGLETRANSLATE('대전도시공사_청년임대주택 현황_20240630'!B23,""ko"",""en"")"),"22")</f>
        <v>22</v>
      </c>
      <c r="C23" s="1" t="str">
        <f ca="1">IFERROR(__xludf.DUMMYFUNCTION("GOOGLETRANSLATE('대전도시공사_청년임대주택 현황_20240630'!C23,""ko"",""en"")"),"1")</f>
        <v>1</v>
      </c>
      <c r="D23" s="1" t="str">
        <f ca="1">IFERROR(__xludf.DUMMYFUNCTION("GOOGLETRANSLATE('대전도시공사_청년임대주택 현황_20240630'!D23,""ko"",""en"")"),"302")</f>
        <v>302</v>
      </c>
      <c r="E23" s="1" t="str">
        <f ca="1">IFERROR(__xludf.DUMMYFUNCTION("GOOGLETRANSLATE('대전도시공사_청년임대주택 현황_20240630'!E23,""ko"",""en"")"),"27.463")</f>
        <v>27.463</v>
      </c>
      <c r="F23" s="1" t="str">
        <f ca="1">IFERROR(__xludf.DUMMYFUNCTION("GOOGLETRANSLATE('대전도시공사_청년임대주택 현황_20240630'!F23,""ko"",""en"")"),"22.66")</f>
        <v>22.66</v>
      </c>
      <c r="G23" s="1" t="str">
        <f ca="1">IFERROR(__xludf.DUMMYFUNCTION("GOOGLETRANSLATE('대전도시공사_청년임대주택 현황_20240630'!G23,""ko"",""en"")"),"4.803")</f>
        <v>4.803</v>
      </c>
      <c r="H23" s="1" t="str">
        <f ca="1">IFERROR(__xludf.DUMMYFUNCTION("GOOGLETRANSLATE('대전도시공사_청년임대주택 현황_20240630'!H23,""ko"",""en"")"),"Youth Rental 2nd Place")</f>
        <v>Youth Rental 2nd Place</v>
      </c>
      <c r="I23" s="1" t="str">
        <f ca="1">IFERROR(__xludf.DUMMYFUNCTION("GOOGLETRANSLATE('대전도시공사_청년임대주택 현황_20240630'!I23,""ko"",""en"")"),"2000000")</f>
        <v>2000000</v>
      </c>
      <c r="J23" s="1" t="str">
        <f ca="1">IFERROR(__xludf.DUMMYFUNCTION("GOOGLETRANSLATE('대전도시공사_청년임대주택 현황_20240630'!J23,""ko"",""en"")"),"172400")</f>
        <v>172400</v>
      </c>
    </row>
    <row r="24" spans="1:10" ht="15.75" customHeight="1" x14ac:dyDescent="0.25">
      <c r="A24" s="1" t="str">
        <f ca="1">IFERROR(__xludf.DUMMYFUNCTION("GOOGLETRANSLATE('대전도시공사_청년임대주택 현황_20240630'!A24,""ko"",""en"")"),"Munhwa-dong 311-43 (Sayville, youth rental)")</f>
        <v>Munhwa-dong 311-43 (Sayville, youth rental)</v>
      </c>
      <c r="B24" s="1" t="str">
        <f ca="1">IFERROR(__xludf.DUMMYFUNCTION("GOOGLETRANSLATE('대전도시공사_청년임대주택 현황_20240630'!B24,""ko"",""en"")"),"23")</f>
        <v>23</v>
      </c>
      <c r="C24" s="1" t="str">
        <f ca="1">IFERROR(__xludf.DUMMYFUNCTION("GOOGLETRANSLATE('대전도시공사_청년임대주택 현황_20240630'!C24,""ko"",""en"")"),"1")</f>
        <v>1</v>
      </c>
      <c r="D24" s="1" t="str">
        <f ca="1">IFERROR(__xludf.DUMMYFUNCTION("GOOGLETRANSLATE('대전도시공사_청년임대주택 현황_20240630'!D24,""ko"",""en"")"),"302")</f>
        <v>302</v>
      </c>
      <c r="E24" s="1" t="str">
        <f ca="1">IFERROR(__xludf.DUMMYFUNCTION("GOOGLETRANSLATE('대전도시공사_청년임대주택 현황_20240630'!E24,""ko"",""en"")"),"27.463")</f>
        <v>27.463</v>
      </c>
      <c r="F24" s="1" t="str">
        <f ca="1">IFERROR(__xludf.DUMMYFUNCTION("GOOGLETRANSLATE('대전도시공사_청년임대주택 현황_20240630'!F24,""ko"",""en"")"),"22.66")</f>
        <v>22.66</v>
      </c>
      <c r="G24" s="1" t="str">
        <f ca="1">IFERROR(__xludf.DUMMYFUNCTION("GOOGLETRANSLATE('대전도시공사_청년임대주택 현황_20240630'!G24,""ko"",""en"")"),"4.803")</f>
        <v>4.803</v>
      </c>
      <c r="H24" s="1" t="str">
        <f ca="1">IFERROR(__xludf.DUMMYFUNCTION("GOOGLETRANSLATE('대전도시공사_청년임대주택 현황_20240630'!H24,""ko"",""en"")"),"3rd place for youth rental")</f>
        <v>3rd place for youth rental</v>
      </c>
      <c r="I24" s="1" t="str">
        <f ca="1">IFERROR(__xludf.DUMMYFUNCTION("GOOGLETRANSLATE('대전도시공사_청년임대주택 현황_20240630'!I24,""ko"",""en"")"),"2000000")</f>
        <v>2000000</v>
      </c>
      <c r="J24" s="1" t="str">
        <f ca="1">IFERROR(__xludf.DUMMYFUNCTION("GOOGLETRANSLATE('대전도시공사_청년임대주택 현황_20240630'!J24,""ko"",""en"")"),"172400")</f>
        <v>172400</v>
      </c>
    </row>
    <row r="25" spans="1:10" ht="15.75" customHeight="1" x14ac:dyDescent="0.25">
      <c r="A25" s="1" t="str">
        <f ca="1">IFERROR(__xludf.DUMMYFUNCTION("GOOGLETRANSLATE('대전도시공사_청년임대주택 현황_20240630'!A25,""ko"",""en"")"),"Munhwa-dong 311-43 (Sayville, youth rental)")</f>
        <v>Munhwa-dong 311-43 (Sayville, youth rental)</v>
      </c>
      <c r="B25" s="1" t="str">
        <f ca="1">IFERROR(__xludf.DUMMYFUNCTION("GOOGLETRANSLATE('대전도시공사_청년임대주택 현황_20240630'!B25,""ko"",""en"")"),"24")</f>
        <v>24</v>
      </c>
      <c r="C25" s="1" t="str">
        <f ca="1">IFERROR(__xludf.DUMMYFUNCTION("GOOGLETRANSLATE('대전도시공사_청년임대주택 현황_20240630'!C25,""ko"",""en"")"),"1")</f>
        <v>1</v>
      </c>
      <c r="D25" s="1" t="str">
        <f ca="1">IFERROR(__xludf.DUMMYFUNCTION("GOOGLETRANSLATE('대전도시공사_청년임대주택 현황_20240630'!D25,""ko"",""en"")"),"302")</f>
        <v>302</v>
      </c>
      <c r="E25" s="1" t="str">
        <f ca="1">IFERROR(__xludf.DUMMYFUNCTION("GOOGLETRANSLATE('대전도시공사_청년임대주택 현황_20240630'!E25,""ko"",""en"")"),"27.463")</f>
        <v>27.463</v>
      </c>
      <c r="F25" s="1" t="str">
        <f ca="1">IFERROR(__xludf.DUMMYFUNCTION("GOOGLETRANSLATE('대전도시공사_청년임대주택 현황_20240630'!F25,""ko"",""en"")"),"22.66")</f>
        <v>22.66</v>
      </c>
      <c r="G25" s="1" t="str">
        <f ca="1">IFERROR(__xludf.DUMMYFUNCTION("GOOGLETRANSLATE('대전도시공사_청년임대주택 현황_20240630'!G25,""ko"",""en"")"),"4.803")</f>
        <v>4.803</v>
      </c>
      <c r="H25" s="1" t="str">
        <f ca="1">IFERROR(__xludf.DUMMYFUNCTION("GOOGLETRANSLATE('대전도시공사_청년임대주택 현황_20240630'!H25,""ko"",""en"")"),"4th place for youth rental")</f>
        <v>4th place for youth rental</v>
      </c>
      <c r="I25" s="1" t="str">
        <f ca="1">IFERROR(__xludf.DUMMYFUNCTION("GOOGLETRANSLATE('대전도시공사_청년임대주택 현황_20240630'!I25,""ko"",""en"")"),"2000000")</f>
        <v>2000000</v>
      </c>
      <c r="J25" s="1" t="str">
        <f ca="1">IFERROR(__xludf.DUMMYFUNCTION("GOOGLETRANSLATE('대전도시공사_청년임대주택 현황_20240630'!J25,""ko"",""en"")"),"172400")</f>
        <v>172400</v>
      </c>
    </row>
    <row r="26" spans="1:10" ht="15.75" customHeight="1" x14ac:dyDescent="0.25">
      <c r="A26" s="1" t="str">
        <f ca="1">IFERROR(__xludf.DUMMYFUNCTION("GOOGLETRANSLATE('대전도시공사_청년임대주택 현황_20240630'!A26,""ko"",""en"")"),"Munhwa-dong 311-43 (Sayville, youth rental)")</f>
        <v>Munhwa-dong 311-43 (Sayville, youth rental)</v>
      </c>
      <c r="B26" s="1" t="str">
        <f ca="1">IFERROR(__xludf.DUMMYFUNCTION("GOOGLETRANSLATE('대전도시공사_청년임대주택 현황_20240630'!B26,""ko"",""en"")"),"25")</f>
        <v>25</v>
      </c>
      <c r="C26" s="1" t="str">
        <f ca="1">IFERROR(__xludf.DUMMYFUNCTION("GOOGLETRANSLATE('대전도시공사_청년임대주택 현황_20240630'!C26,""ko"",""en"")"),"1")</f>
        <v>1</v>
      </c>
      <c r="D26" s="1" t="str">
        <f ca="1">IFERROR(__xludf.DUMMYFUNCTION("GOOGLETRANSLATE('대전도시공사_청년임대주택 현황_20240630'!D26,""ko"",""en"")"),"303")</f>
        <v>303</v>
      </c>
      <c r="E26" s="1" t="str">
        <f ca="1">IFERROR(__xludf.DUMMYFUNCTION("GOOGLETRANSLATE('대전도시공사_청년임대주택 현황_20240630'!E26,""ko"",""en"")"),"27.463")</f>
        <v>27.463</v>
      </c>
      <c r="F26" s="1" t="str">
        <f ca="1">IFERROR(__xludf.DUMMYFUNCTION("GOOGLETRANSLATE('대전도시공사_청년임대주택 현황_20240630'!F26,""ko"",""en"")"),"22.66")</f>
        <v>22.66</v>
      </c>
      <c r="G26" s="1" t="str">
        <f ca="1">IFERROR(__xludf.DUMMYFUNCTION("GOOGLETRANSLATE('대전도시공사_청년임대주택 현황_20240630'!G26,""ko"",""en"")"),"4.803")</f>
        <v>4.803</v>
      </c>
      <c r="H26" s="1" t="str">
        <f ca="1">IFERROR(__xludf.DUMMYFUNCTION("GOOGLETRANSLATE('대전도시공사_청년임대주택 현황_20240630'!H26,""ko"",""en"")"),"Youth Rent 1st Place")</f>
        <v>Youth Rent 1st Place</v>
      </c>
      <c r="I26" s="1" t="str">
        <f ca="1">IFERROR(__xludf.DUMMYFUNCTION("GOOGLETRANSLATE('대전도시공사_청년임대주택 현황_20240630'!I26,""ko"",""en"")"),"1000000")</f>
        <v>1000000</v>
      </c>
      <c r="J26" s="1" t="str">
        <f ca="1">IFERROR(__xludf.DUMMYFUNCTION("GOOGLETRANSLATE('대전도시공사_청년임대주택 현황_20240630'!J26,""ko"",""en"")"),"104900")</f>
        <v>104900</v>
      </c>
    </row>
    <row r="27" spans="1:10" ht="15.75" customHeight="1" x14ac:dyDescent="0.25">
      <c r="A27" s="1" t="str">
        <f ca="1">IFERROR(__xludf.DUMMYFUNCTION("GOOGLETRANSLATE('대전도시공사_청년임대주택 현황_20240630'!A27,""ko"",""en"")"),"Munhwa-dong 311-43 (Sayville, youth rental)")</f>
        <v>Munhwa-dong 311-43 (Sayville, youth rental)</v>
      </c>
      <c r="B27" s="1" t="str">
        <f ca="1">IFERROR(__xludf.DUMMYFUNCTION("GOOGLETRANSLATE('대전도시공사_청년임대주택 현황_20240630'!B27,""ko"",""en"")"),"26")</f>
        <v>26</v>
      </c>
      <c r="C27" s="1" t="str">
        <f ca="1">IFERROR(__xludf.DUMMYFUNCTION("GOOGLETRANSLATE('대전도시공사_청년임대주택 현황_20240630'!C27,""ko"",""en"")"),"1")</f>
        <v>1</v>
      </c>
      <c r="D27" s="1" t="str">
        <f ca="1">IFERROR(__xludf.DUMMYFUNCTION("GOOGLETRANSLATE('대전도시공사_청년임대주택 현황_20240630'!D27,""ko"",""en"")"),"303")</f>
        <v>303</v>
      </c>
      <c r="E27" s="1" t="str">
        <f ca="1">IFERROR(__xludf.DUMMYFUNCTION("GOOGLETRANSLATE('대전도시공사_청년임대주택 현황_20240630'!E27,""ko"",""en"")"),"27.463")</f>
        <v>27.463</v>
      </c>
      <c r="F27" s="1" t="str">
        <f ca="1">IFERROR(__xludf.DUMMYFUNCTION("GOOGLETRANSLATE('대전도시공사_청년임대주택 현황_20240630'!F27,""ko"",""en"")"),"22.66")</f>
        <v>22.66</v>
      </c>
      <c r="G27" s="1" t="str">
        <f ca="1">IFERROR(__xludf.DUMMYFUNCTION("GOOGLETRANSLATE('대전도시공사_청년임대주택 현황_20240630'!G27,""ko"",""en"")"),"4.803")</f>
        <v>4.803</v>
      </c>
      <c r="H27" s="1" t="str">
        <f ca="1">IFERROR(__xludf.DUMMYFUNCTION("GOOGLETRANSLATE('대전도시공사_청년임대주택 현황_20240630'!H27,""ko"",""en"")"),"Youth Rental 2nd Place")</f>
        <v>Youth Rental 2nd Place</v>
      </c>
      <c r="I27" s="1" t="str">
        <f ca="1">IFERROR(__xludf.DUMMYFUNCTION("GOOGLETRANSLATE('대전도시공사_청년임대주택 현황_20240630'!I27,""ko"",""en"")"),"2000000")</f>
        <v>2000000</v>
      </c>
      <c r="J27" s="1" t="str">
        <f ca="1">IFERROR(__xludf.DUMMYFUNCTION("GOOGLETRANSLATE('대전도시공사_청년임대주택 현황_20240630'!J27,""ko"",""en"")"),"172400")</f>
        <v>172400</v>
      </c>
    </row>
    <row r="28" spans="1:10" ht="12.5" x14ac:dyDescent="0.25">
      <c r="A28" s="1" t="str">
        <f ca="1">IFERROR(__xludf.DUMMYFUNCTION("GOOGLETRANSLATE('대전도시공사_청년임대주택 현황_20240630'!A28,""ko"",""en"")"),"Munhwa-dong 311-43 (Sayville, youth rental)")</f>
        <v>Munhwa-dong 311-43 (Sayville, youth rental)</v>
      </c>
      <c r="B28" s="1" t="str">
        <f ca="1">IFERROR(__xludf.DUMMYFUNCTION("GOOGLETRANSLATE('대전도시공사_청년임대주택 현황_20240630'!B28,""ko"",""en"")"),"27")</f>
        <v>27</v>
      </c>
      <c r="C28" s="1" t="str">
        <f ca="1">IFERROR(__xludf.DUMMYFUNCTION("GOOGLETRANSLATE('대전도시공사_청년임대주택 현황_20240630'!C28,""ko"",""en"")"),"1")</f>
        <v>1</v>
      </c>
      <c r="D28" s="1" t="str">
        <f ca="1">IFERROR(__xludf.DUMMYFUNCTION("GOOGLETRANSLATE('대전도시공사_청년임대주택 현황_20240630'!D28,""ko"",""en"")"),"303")</f>
        <v>303</v>
      </c>
      <c r="E28" s="1" t="str">
        <f ca="1">IFERROR(__xludf.DUMMYFUNCTION("GOOGLETRANSLATE('대전도시공사_청년임대주택 현황_20240630'!E28,""ko"",""en"")"),"27.463")</f>
        <v>27.463</v>
      </c>
      <c r="F28" s="1" t="str">
        <f ca="1">IFERROR(__xludf.DUMMYFUNCTION("GOOGLETRANSLATE('대전도시공사_청년임대주택 현황_20240630'!F28,""ko"",""en"")"),"22.66")</f>
        <v>22.66</v>
      </c>
      <c r="G28" s="1" t="str">
        <f ca="1">IFERROR(__xludf.DUMMYFUNCTION("GOOGLETRANSLATE('대전도시공사_청년임대주택 현황_20240630'!G28,""ko"",""en"")"),"4.803")</f>
        <v>4.803</v>
      </c>
      <c r="H28" s="1" t="str">
        <f ca="1">IFERROR(__xludf.DUMMYFUNCTION("GOOGLETRANSLATE('대전도시공사_청년임대주택 현황_20240630'!H28,""ko"",""en"")"),"3rd place for youth rental")</f>
        <v>3rd place for youth rental</v>
      </c>
      <c r="I28" s="1" t="str">
        <f ca="1">IFERROR(__xludf.DUMMYFUNCTION("GOOGLETRANSLATE('대전도시공사_청년임대주택 현황_20240630'!I28,""ko"",""en"")"),"2000000")</f>
        <v>2000000</v>
      </c>
      <c r="J28" s="1" t="str">
        <f ca="1">IFERROR(__xludf.DUMMYFUNCTION("GOOGLETRANSLATE('대전도시공사_청년임대주택 현황_20240630'!J28,""ko"",""en"")"),"172400")</f>
        <v>172400</v>
      </c>
    </row>
    <row r="29" spans="1:10" ht="12.5" x14ac:dyDescent="0.25">
      <c r="A29" s="1" t="str">
        <f ca="1">IFERROR(__xludf.DUMMYFUNCTION("GOOGLETRANSLATE('대전도시공사_청년임대주택 현황_20240630'!A29,""ko"",""en"")"),"Munhwa-dong 311-43 (Sayville, youth rental)")</f>
        <v>Munhwa-dong 311-43 (Sayville, youth rental)</v>
      </c>
      <c r="B29" s="1" t="str">
        <f ca="1">IFERROR(__xludf.DUMMYFUNCTION("GOOGLETRANSLATE('대전도시공사_청년임대주택 현황_20240630'!B29,""ko"",""en"")"),"28")</f>
        <v>28</v>
      </c>
      <c r="C29" s="1" t="str">
        <f ca="1">IFERROR(__xludf.DUMMYFUNCTION("GOOGLETRANSLATE('대전도시공사_청년임대주택 현황_20240630'!C29,""ko"",""en"")"),"1")</f>
        <v>1</v>
      </c>
      <c r="D29" s="1" t="str">
        <f ca="1">IFERROR(__xludf.DUMMYFUNCTION("GOOGLETRANSLATE('대전도시공사_청년임대주택 현황_20240630'!D29,""ko"",""en"")"),"303")</f>
        <v>303</v>
      </c>
      <c r="E29" s="1" t="str">
        <f ca="1">IFERROR(__xludf.DUMMYFUNCTION("GOOGLETRANSLATE('대전도시공사_청년임대주택 현황_20240630'!E29,""ko"",""en"")"),"27.463")</f>
        <v>27.463</v>
      </c>
      <c r="F29" s="1" t="str">
        <f ca="1">IFERROR(__xludf.DUMMYFUNCTION("GOOGLETRANSLATE('대전도시공사_청년임대주택 현황_20240630'!F29,""ko"",""en"")"),"22.66")</f>
        <v>22.66</v>
      </c>
      <c r="G29" s="1" t="str">
        <f ca="1">IFERROR(__xludf.DUMMYFUNCTION("GOOGLETRANSLATE('대전도시공사_청년임대주택 현황_20240630'!G29,""ko"",""en"")"),"4.803")</f>
        <v>4.803</v>
      </c>
      <c r="H29" s="1" t="str">
        <f ca="1">IFERROR(__xludf.DUMMYFUNCTION("GOOGLETRANSLATE('대전도시공사_청년임대주택 현황_20240630'!H29,""ko"",""en"")"),"4th place for youth rental")</f>
        <v>4th place for youth rental</v>
      </c>
      <c r="I29" s="1" t="str">
        <f ca="1">IFERROR(__xludf.DUMMYFUNCTION("GOOGLETRANSLATE('대전도시공사_청년임대주택 현황_20240630'!I29,""ko"",""en"")"),"2000000")</f>
        <v>2000000</v>
      </c>
      <c r="J29" s="1" t="str">
        <f ca="1">IFERROR(__xludf.DUMMYFUNCTION("GOOGLETRANSLATE('대전도시공사_청년임대주택 현황_20240630'!J29,""ko"",""en"")"),"172400")</f>
        <v>172400</v>
      </c>
    </row>
    <row r="30" spans="1:10" ht="12.5" x14ac:dyDescent="0.25">
      <c r="A30" s="1" t="str">
        <f ca="1">IFERROR(__xludf.DUMMYFUNCTION("GOOGLETRANSLATE('대전도시공사_청년임대주택 현황_20240630'!A30,""ko"",""en"")"),"Munhwa-dong 311-43 (Sayville, youth rental)")</f>
        <v>Munhwa-dong 311-43 (Sayville, youth rental)</v>
      </c>
      <c r="B30" s="1" t="str">
        <f ca="1">IFERROR(__xludf.DUMMYFUNCTION("GOOGLETRANSLATE('대전도시공사_청년임대주택 현황_20240630'!B30,""ko"",""en"")"),"29")</f>
        <v>29</v>
      </c>
      <c r="C30" s="1" t="str">
        <f ca="1">IFERROR(__xludf.DUMMYFUNCTION("GOOGLETRANSLATE('대전도시공사_청년임대주택 현황_20240630'!C30,""ko"",""en"")"),"1")</f>
        <v>1</v>
      </c>
      <c r="D30" s="1" t="str">
        <f ca="1">IFERROR(__xludf.DUMMYFUNCTION("GOOGLETRANSLATE('대전도시공사_청년임대주택 현황_20240630'!D30,""ko"",""en"")"),"304")</f>
        <v>304</v>
      </c>
      <c r="E30" s="1" t="str">
        <f ca="1">IFERROR(__xludf.DUMMYFUNCTION("GOOGLETRANSLATE('대전도시공사_청년임대주택 현황_20240630'!E30,""ko"",""en"")"),"28.845")</f>
        <v>28.845</v>
      </c>
      <c r="F30" s="1" t="str">
        <f ca="1">IFERROR(__xludf.DUMMYFUNCTION("GOOGLETRANSLATE('대전도시공사_청년임대주택 현황_20240630'!F30,""ko"",""en"")"),"23.8")</f>
        <v>23.8</v>
      </c>
      <c r="G30" s="1" t="str">
        <f ca="1">IFERROR(__xludf.DUMMYFUNCTION("GOOGLETRANSLATE('대전도시공사_청년임대주택 현황_20240630'!G30,""ko"",""en"")"),"5.045")</f>
        <v>5.045</v>
      </c>
      <c r="H30" s="1" t="str">
        <f ca="1">IFERROR(__xludf.DUMMYFUNCTION("GOOGLETRANSLATE('대전도시공사_청년임대주택 현황_20240630'!H30,""ko"",""en"")"),"Youth Rent 1st Place")</f>
        <v>Youth Rent 1st Place</v>
      </c>
      <c r="I30" s="1" t="str">
        <f ca="1">IFERROR(__xludf.DUMMYFUNCTION("GOOGLETRANSLATE('대전도시공사_청년임대주택 현황_20240630'!I30,""ko"",""en"")"),"1000000")</f>
        <v>1000000</v>
      </c>
      <c r="J30" s="1" t="str">
        <f ca="1">IFERROR(__xludf.DUMMYFUNCTION("GOOGLETRANSLATE('대전도시공사_청년임대주택 현황_20240630'!J30,""ko"",""en"")"),"112800")</f>
        <v>112800</v>
      </c>
    </row>
    <row r="31" spans="1:10" ht="12.5" x14ac:dyDescent="0.25">
      <c r="A31" s="1" t="str">
        <f ca="1">IFERROR(__xludf.DUMMYFUNCTION("GOOGLETRANSLATE('대전도시공사_청년임대주택 현황_20240630'!A31,""ko"",""en"")"),"Munhwa-dong 311-43 (Sayville, youth rental)")</f>
        <v>Munhwa-dong 311-43 (Sayville, youth rental)</v>
      </c>
      <c r="B31" s="1" t="str">
        <f ca="1">IFERROR(__xludf.DUMMYFUNCTION("GOOGLETRANSLATE('대전도시공사_청년임대주택 현황_20240630'!B31,""ko"",""en"")"),"30")</f>
        <v>30</v>
      </c>
      <c r="C31" s="1" t="str">
        <f ca="1">IFERROR(__xludf.DUMMYFUNCTION("GOOGLETRANSLATE('대전도시공사_청년임대주택 현황_20240630'!C31,""ko"",""en"")"),"1")</f>
        <v>1</v>
      </c>
      <c r="D31" s="1" t="str">
        <f ca="1">IFERROR(__xludf.DUMMYFUNCTION("GOOGLETRANSLATE('대전도시공사_청년임대주택 현황_20240630'!D31,""ko"",""en"")"),"304")</f>
        <v>304</v>
      </c>
      <c r="E31" s="1" t="str">
        <f ca="1">IFERROR(__xludf.DUMMYFUNCTION("GOOGLETRANSLATE('대전도시공사_청년임대주택 현황_20240630'!E31,""ko"",""en"")"),"28.845")</f>
        <v>28.845</v>
      </c>
      <c r="F31" s="1" t="str">
        <f ca="1">IFERROR(__xludf.DUMMYFUNCTION("GOOGLETRANSLATE('대전도시공사_청년임대주택 현황_20240630'!F31,""ko"",""en"")"),"23.8")</f>
        <v>23.8</v>
      </c>
      <c r="G31" s="1" t="str">
        <f ca="1">IFERROR(__xludf.DUMMYFUNCTION("GOOGLETRANSLATE('대전도시공사_청년임대주택 현황_20240630'!G31,""ko"",""en"")"),"5.045")</f>
        <v>5.045</v>
      </c>
      <c r="H31" s="1" t="str">
        <f ca="1">IFERROR(__xludf.DUMMYFUNCTION("GOOGLETRANSLATE('대전도시공사_청년임대주택 현황_20240630'!H31,""ko"",""en"")"),"Youth Rental 2nd Place")</f>
        <v>Youth Rental 2nd Place</v>
      </c>
      <c r="I31" s="1" t="str">
        <f ca="1">IFERROR(__xludf.DUMMYFUNCTION("GOOGLETRANSLATE('대전도시공사_청년임대주택 현황_20240630'!I31,""ko"",""en"")"),"2000000")</f>
        <v>2000000</v>
      </c>
      <c r="J31" s="1" t="str">
        <f ca="1">IFERROR(__xludf.DUMMYFUNCTION("GOOGLETRANSLATE('대전도시공사_청년임대주택 현황_20240630'!J31,""ko"",""en"")"),"185600")</f>
        <v>185600</v>
      </c>
    </row>
    <row r="32" spans="1:10" ht="12.5" x14ac:dyDescent="0.25">
      <c r="A32" s="1" t="str">
        <f ca="1">IFERROR(__xludf.DUMMYFUNCTION("GOOGLETRANSLATE('대전도시공사_청년임대주택 현황_20240630'!A32,""ko"",""en"")"),"Munhwa-dong 311-43 (Sayville, youth rental)")</f>
        <v>Munhwa-dong 311-43 (Sayville, youth rental)</v>
      </c>
      <c r="B32" s="1" t="str">
        <f ca="1">IFERROR(__xludf.DUMMYFUNCTION("GOOGLETRANSLATE('대전도시공사_청년임대주택 현황_20240630'!B32,""ko"",""en"")"),"31")</f>
        <v>31</v>
      </c>
      <c r="C32" s="1" t="str">
        <f ca="1">IFERROR(__xludf.DUMMYFUNCTION("GOOGLETRANSLATE('대전도시공사_청년임대주택 현황_20240630'!C32,""ko"",""en"")"),"1")</f>
        <v>1</v>
      </c>
      <c r="D32" s="1" t="str">
        <f ca="1">IFERROR(__xludf.DUMMYFUNCTION("GOOGLETRANSLATE('대전도시공사_청년임대주택 현황_20240630'!D32,""ko"",""en"")"),"304")</f>
        <v>304</v>
      </c>
      <c r="E32" s="1" t="str">
        <f ca="1">IFERROR(__xludf.DUMMYFUNCTION("GOOGLETRANSLATE('대전도시공사_청년임대주택 현황_20240630'!E32,""ko"",""en"")"),"28.845")</f>
        <v>28.845</v>
      </c>
      <c r="F32" s="1" t="str">
        <f ca="1">IFERROR(__xludf.DUMMYFUNCTION("GOOGLETRANSLATE('대전도시공사_청년임대주택 현황_20240630'!F32,""ko"",""en"")"),"23.8")</f>
        <v>23.8</v>
      </c>
      <c r="G32" s="1" t="str">
        <f ca="1">IFERROR(__xludf.DUMMYFUNCTION("GOOGLETRANSLATE('대전도시공사_청년임대주택 현황_20240630'!G32,""ko"",""en"")"),"5.045")</f>
        <v>5.045</v>
      </c>
      <c r="H32" s="1" t="str">
        <f ca="1">IFERROR(__xludf.DUMMYFUNCTION("GOOGLETRANSLATE('대전도시공사_청년임대주택 현황_20240630'!H32,""ko"",""en"")"),"3rd place for youth rental")</f>
        <v>3rd place for youth rental</v>
      </c>
      <c r="I32" s="1" t="str">
        <f ca="1">IFERROR(__xludf.DUMMYFUNCTION("GOOGLETRANSLATE('대전도시공사_청년임대주택 현황_20240630'!I32,""ko"",""en"")"),"2000000")</f>
        <v>2000000</v>
      </c>
      <c r="J32" s="1" t="str">
        <f ca="1">IFERROR(__xludf.DUMMYFUNCTION("GOOGLETRANSLATE('대전도시공사_청년임대주택 현황_20240630'!J32,""ko"",""en"")"),"185600")</f>
        <v>185600</v>
      </c>
    </row>
    <row r="33" spans="1:10" ht="12.5" x14ac:dyDescent="0.25">
      <c r="A33" s="1" t="str">
        <f ca="1">IFERROR(__xludf.DUMMYFUNCTION("GOOGLETRANSLATE('대전도시공사_청년임대주택 현황_20240630'!A33,""ko"",""en"")"),"Munhwa-dong 311-43 (Sayville, youth rental)")</f>
        <v>Munhwa-dong 311-43 (Sayville, youth rental)</v>
      </c>
      <c r="B33" s="1" t="str">
        <f ca="1">IFERROR(__xludf.DUMMYFUNCTION("GOOGLETRANSLATE('대전도시공사_청년임대주택 현황_20240630'!B33,""ko"",""en"")"),"32")</f>
        <v>32</v>
      </c>
      <c r="C33" s="1" t="str">
        <f ca="1">IFERROR(__xludf.DUMMYFUNCTION("GOOGLETRANSLATE('대전도시공사_청년임대주택 현황_20240630'!C33,""ko"",""en"")"),"1")</f>
        <v>1</v>
      </c>
      <c r="D33" s="1" t="str">
        <f ca="1">IFERROR(__xludf.DUMMYFUNCTION("GOOGLETRANSLATE('대전도시공사_청년임대주택 현황_20240630'!D33,""ko"",""en"")"),"304")</f>
        <v>304</v>
      </c>
      <c r="E33" s="1" t="str">
        <f ca="1">IFERROR(__xludf.DUMMYFUNCTION("GOOGLETRANSLATE('대전도시공사_청년임대주택 현황_20240630'!E33,""ko"",""en"")"),"28.845")</f>
        <v>28.845</v>
      </c>
      <c r="F33" s="1" t="str">
        <f ca="1">IFERROR(__xludf.DUMMYFUNCTION("GOOGLETRANSLATE('대전도시공사_청년임대주택 현황_20240630'!F33,""ko"",""en"")"),"23.8")</f>
        <v>23.8</v>
      </c>
      <c r="G33" s="1" t="str">
        <f ca="1">IFERROR(__xludf.DUMMYFUNCTION("GOOGLETRANSLATE('대전도시공사_청년임대주택 현황_20240630'!G33,""ko"",""en"")"),"5.045")</f>
        <v>5.045</v>
      </c>
      <c r="H33" s="1" t="str">
        <f ca="1">IFERROR(__xludf.DUMMYFUNCTION("GOOGLETRANSLATE('대전도시공사_청년임대주택 현황_20240630'!H33,""ko"",""en"")"),"4th place for youth rental")</f>
        <v>4th place for youth rental</v>
      </c>
      <c r="I33" s="1" t="str">
        <f ca="1">IFERROR(__xludf.DUMMYFUNCTION("GOOGLETRANSLATE('대전도시공사_청년임대주택 현황_20240630'!I33,""ko"",""en"")"),"2000000")</f>
        <v>2000000</v>
      </c>
      <c r="J33" s="1" t="str">
        <f ca="1">IFERROR(__xludf.DUMMYFUNCTION("GOOGLETRANSLATE('대전도시공사_청년임대주택 현황_20240630'!J33,""ko"",""en"")"),"185600")</f>
        <v>185600</v>
      </c>
    </row>
    <row r="34" spans="1:10" ht="12.5" x14ac:dyDescent="0.25">
      <c r="A34" s="1" t="str">
        <f ca="1">IFERROR(__xludf.DUMMYFUNCTION("GOOGLETRANSLATE('대전도시공사_청년임대주택 현황_20240630'!A34,""ko"",""en"")"),"Munhwa-dong 311-43 (Sayville, youth rental)")</f>
        <v>Munhwa-dong 311-43 (Sayville, youth rental)</v>
      </c>
      <c r="B34" s="1" t="str">
        <f ca="1">IFERROR(__xludf.DUMMYFUNCTION("GOOGLETRANSLATE('대전도시공사_청년임대주택 현황_20240630'!B34,""ko"",""en"")"),"33")</f>
        <v>33</v>
      </c>
      <c r="C34" s="1" t="str">
        <f ca="1">IFERROR(__xludf.DUMMYFUNCTION("GOOGLETRANSLATE('대전도시공사_청년임대주택 현황_20240630'!C34,""ko"",""en"")"),"1")</f>
        <v>1</v>
      </c>
      <c r="D34" s="1" t="str">
        <f ca="1">IFERROR(__xludf.DUMMYFUNCTION("GOOGLETRANSLATE('대전도시공사_청년임대주택 현황_20240630'!D34,""ko"",""en"")"),"401")</f>
        <v>401</v>
      </c>
      <c r="E34" s="1" t="str">
        <f ca="1">IFERROR(__xludf.DUMMYFUNCTION("GOOGLETRANSLATE('대전도시공사_청년임대주택 현황_20240630'!E34,""ko"",""en"")"),"36.867")</f>
        <v>36.867</v>
      </c>
      <c r="F34" s="1" t="str">
        <f ca="1">IFERROR(__xludf.DUMMYFUNCTION("GOOGLETRANSLATE('대전도시공사_청년임대주택 현황_20240630'!F34,""ko"",""en"")"),"30.42")</f>
        <v>30.42</v>
      </c>
      <c r="G34" s="1" t="str">
        <f ca="1">IFERROR(__xludf.DUMMYFUNCTION("GOOGLETRANSLATE('대전도시공사_청년임대주택 현황_20240630'!G34,""ko"",""en"")"),"6.447")</f>
        <v>6.447</v>
      </c>
      <c r="H34" s="1" t="str">
        <f ca="1">IFERROR(__xludf.DUMMYFUNCTION("GOOGLETRANSLATE('대전도시공사_청년임대주택 현황_20240630'!H34,""ko"",""en"")"),"Youth Rent 1st Place")</f>
        <v>Youth Rent 1st Place</v>
      </c>
      <c r="I34" s="1" t="str">
        <f ca="1">IFERROR(__xludf.DUMMYFUNCTION("GOOGLETRANSLATE('대전도시공사_청년임대주택 현황_20240630'!I34,""ko"",""en"")"),"1000000")</f>
        <v>1000000</v>
      </c>
      <c r="J34" s="1" t="str">
        <f ca="1">IFERROR(__xludf.DUMMYFUNCTION("GOOGLETRANSLATE('대전도시공사_청년임대주택 현황_20240630'!J34,""ko"",""en"")"),"144400")</f>
        <v>144400</v>
      </c>
    </row>
    <row r="35" spans="1:10" ht="12.5" x14ac:dyDescent="0.25">
      <c r="A35" s="1" t="str">
        <f ca="1">IFERROR(__xludf.DUMMYFUNCTION("GOOGLETRANSLATE('대전도시공사_청년임대주택 현황_20240630'!A35,""ko"",""en"")"),"Munhwa-dong 311-43 (Sayville, youth rental)")</f>
        <v>Munhwa-dong 311-43 (Sayville, youth rental)</v>
      </c>
      <c r="B35" s="1" t="str">
        <f ca="1">IFERROR(__xludf.DUMMYFUNCTION("GOOGLETRANSLATE('대전도시공사_청년임대주택 현황_20240630'!B35,""ko"",""en"")"),"34")</f>
        <v>34</v>
      </c>
      <c r="C35" s="1" t="str">
        <f ca="1">IFERROR(__xludf.DUMMYFUNCTION("GOOGLETRANSLATE('대전도시공사_청년임대주택 현황_20240630'!C35,""ko"",""en"")"),"1")</f>
        <v>1</v>
      </c>
      <c r="D35" s="1" t="str">
        <f ca="1">IFERROR(__xludf.DUMMYFUNCTION("GOOGLETRANSLATE('대전도시공사_청년임대주택 현황_20240630'!D35,""ko"",""en"")"),"401")</f>
        <v>401</v>
      </c>
      <c r="E35" s="1" t="str">
        <f ca="1">IFERROR(__xludf.DUMMYFUNCTION("GOOGLETRANSLATE('대전도시공사_청년임대주택 현황_20240630'!E35,""ko"",""en"")"),"36.867")</f>
        <v>36.867</v>
      </c>
      <c r="F35" s="1" t="str">
        <f ca="1">IFERROR(__xludf.DUMMYFUNCTION("GOOGLETRANSLATE('대전도시공사_청년임대주택 현황_20240630'!F35,""ko"",""en"")"),"30.42")</f>
        <v>30.42</v>
      </c>
      <c r="G35" s="1" t="str">
        <f ca="1">IFERROR(__xludf.DUMMYFUNCTION("GOOGLETRANSLATE('대전도시공사_청년임대주택 현황_20240630'!G35,""ko"",""en"")"),"6.447")</f>
        <v>6.447</v>
      </c>
      <c r="H35" s="1" t="str">
        <f ca="1">IFERROR(__xludf.DUMMYFUNCTION("GOOGLETRANSLATE('대전도시공사_청년임대주택 현황_20240630'!H35,""ko"",""en"")"),"Youth Rental 2nd Place")</f>
        <v>Youth Rental 2nd Place</v>
      </c>
      <c r="I35" s="1" t="str">
        <f ca="1">IFERROR(__xludf.DUMMYFUNCTION("GOOGLETRANSLATE('대전도시공사_청년임대주택 현황_20240630'!I35,""ko"",""en"")"),"2000000")</f>
        <v>2000000</v>
      </c>
      <c r="J35" s="1" t="str">
        <f ca="1">IFERROR(__xludf.DUMMYFUNCTION("GOOGLETRANSLATE('대전도시공사_청년임대주택 현황_20240630'!J35,""ko"",""en"")"),"238100")</f>
        <v>238100</v>
      </c>
    </row>
    <row r="36" spans="1:10" ht="12.5" x14ac:dyDescent="0.25">
      <c r="A36" s="1" t="str">
        <f ca="1">IFERROR(__xludf.DUMMYFUNCTION("GOOGLETRANSLATE('대전도시공사_청년임대주택 현황_20240630'!A36,""ko"",""en"")"),"Munhwa-dong 311-43 (Sayville, youth rental)")</f>
        <v>Munhwa-dong 311-43 (Sayville, youth rental)</v>
      </c>
      <c r="B36" s="1" t="str">
        <f ca="1">IFERROR(__xludf.DUMMYFUNCTION("GOOGLETRANSLATE('대전도시공사_청년임대주택 현황_20240630'!B36,""ko"",""en"")"),"35")</f>
        <v>35</v>
      </c>
      <c r="C36" s="1" t="str">
        <f ca="1">IFERROR(__xludf.DUMMYFUNCTION("GOOGLETRANSLATE('대전도시공사_청년임대주택 현황_20240630'!C36,""ko"",""en"")"),"1")</f>
        <v>1</v>
      </c>
      <c r="D36" s="1" t="str">
        <f ca="1">IFERROR(__xludf.DUMMYFUNCTION("GOOGLETRANSLATE('대전도시공사_청년임대주택 현황_20240630'!D36,""ko"",""en"")"),"401")</f>
        <v>401</v>
      </c>
      <c r="E36" s="1" t="str">
        <f ca="1">IFERROR(__xludf.DUMMYFUNCTION("GOOGLETRANSLATE('대전도시공사_청년임대주택 현황_20240630'!E36,""ko"",""en"")"),"36.867")</f>
        <v>36.867</v>
      </c>
      <c r="F36" s="1" t="str">
        <f ca="1">IFERROR(__xludf.DUMMYFUNCTION("GOOGLETRANSLATE('대전도시공사_청년임대주택 현황_20240630'!F36,""ko"",""en"")"),"30.42")</f>
        <v>30.42</v>
      </c>
      <c r="G36" s="1" t="str">
        <f ca="1">IFERROR(__xludf.DUMMYFUNCTION("GOOGLETRANSLATE('대전도시공사_청년임대주택 현황_20240630'!G36,""ko"",""en"")"),"6.447")</f>
        <v>6.447</v>
      </c>
      <c r="H36" s="1" t="str">
        <f ca="1">IFERROR(__xludf.DUMMYFUNCTION("GOOGLETRANSLATE('대전도시공사_청년임대주택 현황_20240630'!H36,""ko"",""en"")"),"3rd place for youth rental")</f>
        <v>3rd place for youth rental</v>
      </c>
      <c r="I36" s="1" t="str">
        <f ca="1">IFERROR(__xludf.DUMMYFUNCTION("GOOGLETRANSLATE('대전도시공사_청년임대주택 현황_20240630'!I36,""ko"",""en"")"),"2000000")</f>
        <v>2000000</v>
      </c>
      <c r="J36" s="1" t="str">
        <f ca="1">IFERROR(__xludf.DUMMYFUNCTION("GOOGLETRANSLATE('대전도시공사_청년임대주택 현황_20240630'!J36,""ko"",""en"")"),"238100")</f>
        <v>238100</v>
      </c>
    </row>
    <row r="37" spans="1:10" ht="12.5" x14ac:dyDescent="0.25">
      <c r="A37" s="1" t="str">
        <f ca="1">IFERROR(__xludf.DUMMYFUNCTION("GOOGLETRANSLATE('대전도시공사_청년임대주택 현황_20240630'!A37,""ko"",""en"")"),"Munhwa-dong 311-43 (Sayville, youth rental)")</f>
        <v>Munhwa-dong 311-43 (Sayville, youth rental)</v>
      </c>
      <c r="B37" s="1" t="str">
        <f ca="1">IFERROR(__xludf.DUMMYFUNCTION("GOOGLETRANSLATE('대전도시공사_청년임대주택 현황_20240630'!B37,""ko"",""en"")"),"36")</f>
        <v>36</v>
      </c>
      <c r="C37" s="1" t="str">
        <f ca="1">IFERROR(__xludf.DUMMYFUNCTION("GOOGLETRANSLATE('대전도시공사_청년임대주택 현황_20240630'!C37,""ko"",""en"")"),"1")</f>
        <v>1</v>
      </c>
      <c r="D37" s="1" t="str">
        <f ca="1">IFERROR(__xludf.DUMMYFUNCTION("GOOGLETRANSLATE('대전도시공사_청년임대주택 현황_20240630'!D37,""ko"",""en"")"),"401")</f>
        <v>401</v>
      </c>
      <c r="E37" s="1" t="str">
        <f ca="1">IFERROR(__xludf.DUMMYFUNCTION("GOOGLETRANSLATE('대전도시공사_청년임대주택 현황_20240630'!E37,""ko"",""en"")"),"36.867")</f>
        <v>36.867</v>
      </c>
      <c r="F37" s="1" t="str">
        <f ca="1">IFERROR(__xludf.DUMMYFUNCTION("GOOGLETRANSLATE('대전도시공사_청년임대주택 현황_20240630'!F37,""ko"",""en"")"),"30.42")</f>
        <v>30.42</v>
      </c>
      <c r="G37" s="1" t="str">
        <f ca="1">IFERROR(__xludf.DUMMYFUNCTION("GOOGLETRANSLATE('대전도시공사_청년임대주택 현황_20240630'!G37,""ko"",""en"")"),"6.447")</f>
        <v>6.447</v>
      </c>
      <c r="H37" s="1" t="str">
        <f ca="1">IFERROR(__xludf.DUMMYFUNCTION("GOOGLETRANSLATE('대전도시공사_청년임대주택 현황_20240630'!H37,""ko"",""en"")"),"4th place for youth rental")</f>
        <v>4th place for youth rental</v>
      </c>
      <c r="I37" s="1" t="str">
        <f ca="1">IFERROR(__xludf.DUMMYFUNCTION("GOOGLETRANSLATE('대전도시공사_청년임대주택 현황_20240630'!I37,""ko"",""en"")"),"2000000")</f>
        <v>2000000</v>
      </c>
      <c r="J37" s="1" t="str">
        <f ca="1">IFERROR(__xludf.DUMMYFUNCTION("GOOGLETRANSLATE('대전도시공사_청년임대주택 현황_20240630'!J37,""ko"",""en"")"),"238100")</f>
        <v>238100</v>
      </c>
    </row>
    <row r="38" spans="1:10" ht="12.5" x14ac:dyDescent="0.25">
      <c r="A38" s="1" t="str">
        <f ca="1">IFERROR(__xludf.DUMMYFUNCTION("GOOGLETRANSLATE('대전도시공사_청년임대주택 현황_20240630'!A38,""ko"",""en"")"),"Munhwa-dong 311-43 (Sayville, youth rental)")</f>
        <v>Munhwa-dong 311-43 (Sayville, youth rental)</v>
      </c>
      <c r="B38" s="1" t="str">
        <f ca="1">IFERROR(__xludf.DUMMYFUNCTION("GOOGLETRANSLATE('대전도시공사_청년임대주택 현황_20240630'!B38,""ko"",""en"")"),"37")</f>
        <v>37</v>
      </c>
      <c r="C38" s="1" t="str">
        <f ca="1">IFERROR(__xludf.DUMMYFUNCTION("GOOGLETRANSLATE('대전도시공사_청년임대주택 현황_20240630'!C38,""ko"",""en"")"),"1")</f>
        <v>1</v>
      </c>
      <c r="D38" s="1" t="str">
        <f ca="1">IFERROR(__xludf.DUMMYFUNCTION("GOOGLETRANSLATE('대전도시공사_청년임대주택 현황_20240630'!D38,""ko"",""en"")"),"402")</f>
        <v>402</v>
      </c>
      <c r="E38" s="1" t="str">
        <f ca="1">IFERROR(__xludf.DUMMYFUNCTION("GOOGLETRANSLATE('대전도시공사_청년임대주택 현황_20240630'!E38,""ko"",""en"")"),"31.681")</f>
        <v>31.681</v>
      </c>
      <c r="F38" s="1" t="str">
        <f ca="1">IFERROR(__xludf.DUMMYFUNCTION("GOOGLETRANSLATE('대전도시공사_청년임대주택 현황_20240630'!F38,""ko"",""en"")"),"26.14")</f>
        <v>26.14</v>
      </c>
      <c r="G38" s="1" t="str">
        <f ca="1">IFERROR(__xludf.DUMMYFUNCTION("GOOGLETRANSLATE('대전도시공사_청년임대주택 현황_20240630'!G38,""ko"",""en"")"),"5.541")</f>
        <v>5.541</v>
      </c>
      <c r="H38" s="1" t="str">
        <f ca="1">IFERROR(__xludf.DUMMYFUNCTION("GOOGLETRANSLATE('대전도시공사_청년임대주택 현황_20240630'!H38,""ko"",""en"")"),"Youth Rent 1st Place")</f>
        <v>Youth Rent 1st Place</v>
      </c>
      <c r="I38" s="1" t="str">
        <f ca="1">IFERROR(__xludf.DUMMYFUNCTION("GOOGLETRANSLATE('대전도시공사_청년임대주택 현황_20240630'!I38,""ko"",""en"")"),"1000000")</f>
        <v>1000000</v>
      </c>
      <c r="J38" s="1" t="str">
        <f ca="1">IFERROR(__xludf.DUMMYFUNCTION("GOOGLETRANSLATE('대전도시공사_청년임대주택 현황_20240630'!J38,""ko"",""en"")"),"123200")</f>
        <v>123200</v>
      </c>
    </row>
    <row r="39" spans="1:10" ht="12.5" x14ac:dyDescent="0.25">
      <c r="A39" s="1" t="str">
        <f ca="1">IFERROR(__xludf.DUMMYFUNCTION("GOOGLETRANSLATE('대전도시공사_청년임대주택 현황_20240630'!A39,""ko"",""en"")"),"Munhwa-dong 311-43 (Sayville, youth rental)")</f>
        <v>Munhwa-dong 311-43 (Sayville, youth rental)</v>
      </c>
      <c r="B39" s="1" t="str">
        <f ca="1">IFERROR(__xludf.DUMMYFUNCTION("GOOGLETRANSLATE('대전도시공사_청년임대주택 현황_20240630'!B39,""ko"",""en"")"),"38")</f>
        <v>38</v>
      </c>
      <c r="C39" s="1" t="str">
        <f ca="1">IFERROR(__xludf.DUMMYFUNCTION("GOOGLETRANSLATE('대전도시공사_청년임대주택 현황_20240630'!C39,""ko"",""en"")"),"1")</f>
        <v>1</v>
      </c>
      <c r="D39" s="1" t="str">
        <f ca="1">IFERROR(__xludf.DUMMYFUNCTION("GOOGLETRANSLATE('대전도시공사_청년임대주택 현황_20240630'!D39,""ko"",""en"")"),"402")</f>
        <v>402</v>
      </c>
      <c r="E39" s="1" t="str">
        <f ca="1">IFERROR(__xludf.DUMMYFUNCTION("GOOGLETRANSLATE('대전도시공사_청년임대주택 현황_20240630'!E39,""ko"",""en"")"),"31.681")</f>
        <v>31.681</v>
      </c>
      <c r="F39" s="1" t="str">
        <f ca="1">IFERROR(__xludf.DUMMYFUNCTION("GOOGLETRANSLATE('대전도시공사_청년임대주택 현황_20240630'!F39,""ko"",""en"")"),"26.14")</f>
        <v>26.14</v>
      </c>
      <c r="G39" s="1" t="str">
        <f ca="1">IFERROR(__xludf.DUMMYFUNCTION("GOOGLETRANSLATE('대전도시공사_청년임대주택 현황_20240630'!G39,""ko"",""en"")"),"5.541")</f>
        <v>5.541</v>
      </c>
      <c r="H39" s="1" t="str">
        <f ca="1">IFERROR(__xludf.DUMMYFUNCTION("GOOGLETRANSLATE('대전도시공사_청년임대주택 현황_20240630'!H39,""ko"",""en"")"),"Youth Rental 2nd Place")</f>
        <v>Youth Rental 2nd Place</v>
      </c>
      <c r="I39" s="1" t="str">
        <f ca="1">IFERROR(__xludf.DUMMYFUNCTION("GOOGLETRANSLATE('대전도시공사_청년임대주택 현황_20240630'!I39,""ko"",""en"")"),"2000000")</f>
        <v>2000000</v>
      </c>
      <c r="J39" s="1" t="str">
        <f ca="1">IFERROR(__xludf.DUMMYFUNCTION("GOOGLETRANSLATE('대전도시공사_청년임대주택 현황_20240630'!J39,""ko"",""en"")"),"202800")</f>
        <v>202800</v>
      </c>
    </row>
    <row r="40" spans="1:10" ht="12.5" x14ac:dyDescent="0.25">
      <c r="A40" s="1" t="str">
        <f ca="1">IFERROR(__xludf.DUMMYFUNCTION("GOOGLETRANSLATE('대전도시공사_청년임대주택 현황_20240630'!A40,""ko"",""en"")"),"Munhwa-dong 311-43 (Sayville, youth rental)")</f>
        <v>Munhwa-dong 311-43 (Sayville, youth rental)</v>
      </c>
      <c r="B40" s="1" t="str">
        <f ca="1">IFERROR(__xludf.DUMMYFUNCTION("GOOGLETRANSLATE('대전도시공사_청년임대주택 현황_20240630'!B40,""ko"",""en"")"),"39")</f>
        <v>39</v>
      </c>
      <c r="C40" s="1" t="str">
        <f ca="1">IFERROR(__xludf.DUMMYFUNCTION("GOOGLETRANSLATE('대전도시공사_청년임대주택 현황_20240630'!C40,""ko"",""en"")"),"1")</f>
        <v>1</v>
      </c>
      <c r="D40" s="1" t="str">
        <f ca="1">IFERROR(__xludf.DUMMYFUNCTION("GOOGLETRANSLATE('대전도시공사_청년임대주택 현황_20240630'!D40,""ko"",""en"")"),"402")</f>
        <v>402</v>
      </c>
      <c r="E40" s="1" t="str">
        <f ca="1">IFERROR(__xludf.DUMMYFUNCTION("GOOGLETRANSLATE('대전도시공사_청년임대주택 현황_20240630'!E40,""ko"",""en"")"),"31.681")</f>
        <v>31.681</v>
      </c>
      <c r="F40" s="1" t="str">
        <f ca="1">IFERROR(__xludf.DUMMYFUNCTION("GOOGLETRANSLATE('대전도시공사_청년임대주택 현황_20240630'!F40,""ko"",""en"")"),"26.14")</f>
        <v>26.14</v>
      </c>
      <c r="G40" s="1" t="str">
        <f ca="1">IFERROR(__xludf.DUMMYFUNCTION("GOOGLETRANSLATE('대전도시공사_청년임대주택 현황_20240630'!G40,""ko"",""en"")"),"5.541")</f>
        <v>5.541</v>
      </c>
      <c r="H40" s="1" t="str">
        <f ca="1">IFERROR(__xludf.DUMMYFUNCTION("GOOGLETRANSLATE('대전도시공사_청년임대주택 현황_20240630'!H40,""ko"",""en"")"),"3rd place for youth rental")</f>
        <v>3rd place for youth rental</v>
      </c>
      <c r="I40" s="1" t="str">
        <f ca="1">IFERROR(__xludf.DUMMYFUNCTION("GOOGLETRANSLATE('대전도시공사_청년임대주택 현황_20240630'!I40,""ko"",""en"")"),"2000000")</f>
        <v>2000000</v>
      </c>
      <c r="J40" s="1" t="str">
        <f ca="1">IFERROR(__xludf.DUMMYFUNCTION("GOOGLETRANSLATE('대전도시공사_청년임대주택 현황_20240630'!J40,""ko"",""en"")"),"202800")</f>
        <v>202800</v>
      </c>
    </row>
    <row r="41" spans="1:10" ht="12.5" x14ac:dyDescent="0.25">
      <c r="A41" s="1" t="str">
        <f ca="1">IFERROR(__xludf.DUMMYFUNCTION("GOOGLETRANSLATE('대전도시공사_청년임대주택 현황_20240630'!A41,""ko"",""en"")"),"Munhwa-dong 311-43 (Sayville, youth rental)")</f>
        <v>Munhwa-dong 311-43 (Sayville, youth rental)</v>
      </c>
      <c r="B41" s="1" t="str">
        <f ca="1">IFERROR(__xludf.DUMMYFUNCTION("GOOGLETRANSLATE('대전도시공사_청년임대주택 현황_20240630'!B41,""ko"",""en"")"),"40")</f>
        <v>40</v>
      </c>
      <c r="C41" s="1" t="str">
        <f ca="1">IFERROR(__xludf.DUMMYFUNCTION("GOOGLETRANSLATE('대전도시공사_청년임대주택 현황_20240630'!C41,""ko"",""en"")"),"1")</f>
        <v>1</v>
      </c>
      <c r="D41" s="1" t="str">
        <f ca="1">IFERROR(__xludf.DUMMYFUNCTION("GOOGLETRANSLATE('대전도시공사_청년임대주택 현황_20240630'!D41,""ko"",""en"")"),"402")</f>
        <v>402</v>
      </c>
      <c r="E41" s="1" t="str">
        <f ca="1">IFERROR(__xludf.DUMMYFUNCTION("GOOGLETRANSLATE('대전도시공사_청년임대주택 현황_20240630'!E41,""ko"",""en"")"),"31.681")</f>
        <v>31.681</v>
      </c>
      <c r="F41" s="1" t="str">
        <f ca="1">IFERROR(__xludf.DUMMYFUNCTION("GOOGLETRANSLATE('대전도시공사_청년임대주택 현황_20240630'!F41,""ko"",""en"")"),"26.14")</f>
        <v>26.14</v>
      </c>
      <c r="G41" s="1" t="str">
        <f ca="1">IFERROR(__xludf.DUMMYFUNCTION("GOOGLETRANSLATE('대전도시공사_청년임대주택 현황_20240630'!G41,""ko"",""en"")"),"5.541")</f>
        <v>5.541</v>
      </c>
      <c r="H41" s="1" t="str">
        <f ca="1">IFERROR(__xludf.DUMMYFUNCTION("GOOGLETRANSLATE('대전도시공사_청년임대주택 현황_20240630'!H41,""ko"",""en"")"),"4th place for youth rental")</f>
        <v>4th place for youth rental</v>
      </c>
      <c r="I41" s="1" t="str">
        <f ca="1">IFERROR(__xludf.DUMMYFUNCTION("GOOGLETRANSLATE('대전도시공사_청년임대주택 현황_20240630'!I41,""ko"",""en"")"),"2000000")</f>
        <v>2000000</v>
      </c>
      <c r="J41" s="1" t="str">
        <f ca="1">IFERROR(__xludf.DUMMYFUNCTION("GOOGLETRANSLATE('대전도시공사_청년임대주택 현황_20240630'!J41,""ko"",""en"")"),"202800")</f>
        <v>202800</v>
      </c>
    </row>
    <row r="42" spans="1:10" ht="12.5" x14ac:dyDescent="0.25">
      <c r="A42" s="1" t="str">
        <f ca="1">IFERROR(__xludf.DUMMYFUNCTION("GOOGLETRANSLATE('대전도시공사_청년임대주택 현황_20240630'!A42,""ko"",""en"")"),"52-37, Gajeong-dong (Urban Hills 3, youth rental)")</f>
        <v>52-37, Gajeong-dong (Urban Hills 3, youth rental)</v>
      </c>
      <c r="B42" s="1" t="str">
        <f ca="1">IFERROR(__xludf.DUMMYFUNCTION("GOOGLETRANSLATE('대전도시공사_청년임대주택 현황_20240630'!B42,""ko"",""en"")"),"1")</f>
        <v>1</v>
      </c>
      <c r="C42" s="1" t="str">
        <f ca="1">IFERROR(__xludf.DUMMYFUNCTION("GOOGLETRANSLATE('대전도시공사_청년임대주택 현황_20240630'!C42,""ko"",""en"")"),"1")</f>
        <v>1</v>
      </c>
      <c r="D42" s="1" t="str">
        <f ca="1">IFERROR(__xludf.DUMMYFUNCTION("GOOGLETRANSLATE('대전도시공사_청년임대주택 현황_20240630'!D42,""ko"",""en"")"),"201")</f>
        <v>201</v>
      </c>
      <c r="E42" s="1" t="str">
        <f ca="1">IFERROR(__xludf.DUMMYFUNCTION("GOOGLETRANSLATE('대전도시공사_청년임대주택 현황_20240630'!E42,""ko"",""en"")"),"35.326")</f>
        <v>35.326</v>
      </c>
      <c r="F42" s="1" t="str">
        <f ca="1">IFERROR(__xludf.DUMMYFUNCTION("GOOGLETRANSLATE('대전도시공사_청년임대주택 현황_20240630'!F42,""ko"",""en"")"),"29.71")</f>
        <v>29.71</v>
      </c>
      <c r="G42" s="1" t="str">
        <f ca="1">IFERROR(__xludf.DUMMYFUNCTION("GOOGLETRANSLATE('대전도시공사_청년임대주택 현황_20240630'!G42,""ko"",""en"")"),"5.616")</f>
        <v>5.616</v>
      </c>
      <c r="H42" s="1" t="str">
        <f ca="1">IFERROR(__xludf.DUMMYFUNCTION("GOOGLETRANSLATE('대전도시공사_청년임대주택 현황_20240630'!H42,""ko"",""en"")"),"Newlyweds 1 (30% of the total price)")</f>
        <v>Newlyweds 1 (30% of the total price)</v>
      </c>
      <c r="I42" s="1" t="str">
        <f ca="1">IFERROR(__xludf.DUMMYFUNCTION("GOOGLETRANSLATE('대전도시공사_청년임대주택 현황_20240630'!I42,""ko"",""en"")"),"4936000")</f>
        <v>4936000</v>
      </c>
      <c r="J42" s="1" t="str">
        <f ca="1">IFERROR(__xludf.DUMMYFUNCTION("GOOGLETRANSLATE('대전도시공사_청년임대주택 현황_20240630'!J42,""ko"",""en"")"),"166000")</f>
        <v>166000</v>
      </c>
    </row>
    <row r="43" spans="1:10" ht="12.5" x14ac:dyDescent="0.25">
      <c r="A43" s="1" t="str">
        <f ca="1">IFERROR(__xludf.DUMMYFUNCTION("GOOGLETRANSLATE('대전도시공사_청년임대주택 현황_20240630'!A43,""ko"",""en"")"),"52-37, Gajeong-dong (Urban Hills 3, youth rental)")</f>
        <v>52-37, Gajeong-dong (Urban Hills 3, youth rental)</v>
      </c>
      <c r="B43" s="1" t="str">
        <f ca="1">IFERROR(__xludf.DUMMYFUNCTION("GOOGLETRANSLATE('대전도시공사_청년임대주택 현황_20240630'!B43,""ko"",""en"")"),"2")</f>
        <v>2</v>
      </c>
      <c r="C43" s="1" t="str">
        <f ca="1">IFERROR(__xludf.DUMMYFUNCTION("GOOGLETRANSLATE('대전도시공사_청년임대주택 현황_20240630'!C43,""ko"",""en"")"),"1")</f>
        <v>1</v>
      </c>
      <c r="D43" s="1" t="str">
        <f ca="1">IFERROR(__xludf.DUMMYFUNCTION("GOOGLETRANSLATE('대전도시공사_청년임대주택 현황_20240630'!D43,""ko"",""en"")"),"201")</f>
        <v>201</v>
      </c>
      <c r="E43" s="1" t="str">
        <f ca="1">IFERROR(__xludf.DUMMYFUNCTION("GOOGLETRANSLATE('대전도시공사_청년임대주택 현황_20240630'!E43,""ko"",""en"")"),"35.326")</f>
        <v>35.326</v>
      </c>
      <c r="F43" s="1" t="str">
        <f ca="1">IFERROR(__xludf.DUMMYFUNCTION("GOOGLETRANSLATE('대전도시공사_청년임대주택 현황_20240630'!F43,""ko"",""en"")"),"29.71")</f>
        <v>29.71</v>
      </c>
      <c r="G43" s="1" t="str">
        <f ca="1">IFERROR(__xludf.DUMMYFUNCTION("GOOGLETRANSLATE('대전도시공사_청년임대주택 현황_20240630'!G43,""ko"",""en"")"),"5.616")</f>
        <v>5.616</v>
      </c>
      <c r="H43" s="1" t="str">
        <f ca="1">IFERROR(__xludf.DUMMYFUNCTION("GOOGLETRANSLATE('대전도시공사_청년임대주택 현황_20240630'!H43,""ko"",""en"")"),"Newlyweds 1 (40% of the total price)")</f>
        <v>Newlyweds 1 (40% of the total price)</v>
      </c>
      <c r="I43" s="1" t="str">
        <f ca="1">IFERROR(__xludf.DUMMYFUNCTION("GOOGLETRANSLATE('대전도시공사_청년임대주택 현황_20240630'!I43,""ko"",""en"")"),"4936000")</f>
        <v>4936000</v>
      </c>
      <c r="J43" s="1" t="str">
        <f ca="1">IFERROR(__xludf.DUMMYFUNCTION("GOOGLETRANSLATE('대전도시공사_청년임대주택 현황_20240630'!J43,""ko"",""en"")"),"231300")</f>
        <v>231300</v>
      </c>
    </row>
    <row r="44" spans="1:10" ht="12.5" x14ac:dyDescent="0.25">
      <c r="A44" s="1" t="str">
        <f ca="1">IFERROR(__xludf.DUMMYFUNCTION("GOOGLETRANSLATE('대전도시공사_청년임대주택 현황_20240630'!A44,""ko"",""en"")"),"52-37, Gajeong-dong (Urban Hills 3, youth rental)")</f>
        <v>52-37, Gajeong-dong (Urban Hills 3, youth rental)</v>
      </c>
      <c r="B44" s="1" t="str">
        <f ca="1">IFERROR(__xludf.DUMMYFUNCTION("GOOGLETRANSLATE('대전도시공사_청년임대주택 현황_20240630'!B44,""ko"",""en"")"),"3")</f>
        <v>3</v>
      </c>
      <c r="C44" s="1" t="str">
        <f ca="1">IFERROR(__xludf.DUMMYFUNCTION("GOOGLETRANSLATE('대전도시공사_청년임대주택 현황_20240630'!C44,""ko"",""en"")"),"1")</f>
        <v>1</v>
      </c>
      <c r="D44" s="1" t="str">
        <f ca="1">IFERROR(__xludf.DUMMYFUNCTION("GOOGLETRANSLATE('대전도시공사_청년임대주택 현황_20240630'!D44,""ko"",""en"")"),"201")</f>
        <v>201</v>
      </c>
      <c r="E44" s="1" t="str">
        <f ca="1">IFERROR(__xludf.DUMMYFUNCTION("GOOGLETRANSLATE('대전도시공사_청년임대주택 현황_20240630'!E44,""ko"",""en"")"),"35.326")</f>
        <v>35.326</v>
      </c>
      <c r="F44" s="1" t="str">
        <f ca="1">IFERROR(__xludf.DUMMYFUNCTION("GOOGLETRANSLATE('대전도시공사_청년임대주택 현황_20240630'!F44,""ko"",""en"")"),"29.71")</f>
        <v>29.71</v>
      </c>
      <c r="G44" s="1" t="str">
        <f ca="1">IFERROR(__xludf.DUMMYFUNCTION("GOOGLETRANSLATE('대전도시공사_청년임대주택 현황_20240630'!G44,""ko"",""en"")"),"5.616")</f>
        <v>5.616</v>
      </c>
      <c r="H44" s="1" t="str">
        <f ca="1">IFERROR(__xludf.DUMMYFUNCTION("GOOGLETRANSLATE('대전도시공사_청년임대주택 현황_20240630'!H44,""ko"",""en"")"),"Newlyweds 2 (70% of the total price)")</f>
        <v>Newlyweds 2 (70% of the total price)</v>
      </c>
      <c r="I44" s="1" t="str">
        <f ca="1">IFERROR(__xludf.DUMMYFUNCTION("GOOGLETRANSLATE('대전도시공사_청년임대주택 현황_20240630'!I44,""ko"",""en"")"),"4936000")</f>
        <v>4936000</v>
      </c>
      <c r="J44" s="1" t="str">
        <f ca="1">IFERROR(__xludf.DUMMYFUNCTION("GOOGLETRANSLATE('대전도시공사_청년임대주택 현황_20240630'!J44,""ko"",""en"")"),"427200")</f>
        <v>427200</v>
      </c>
    </row>
    <row r="45" spans="1:10" ht="12.5" x14ac:dyDescent="0.25">
      <c r="A45" s="1" t="str">
        <f ca="1">IFERROR(__xludf.DUMMYFUNCTION("GOOGLETRANSLATE('대전도시공사_청년임대주택 현황_20240630'!A45,""ko"",""en"")"),"52-37, Gajeong-dong (Urban Hills 3, youth rental)")</f>
        <v>52-37, Gajeong-dong (Urban Hills 3, youth rental)</v>
      </c>
      <c r="B45" s="1" t="str">
        <f ca="1">IFERROR(__xludf.DUMMYFUNCTION("GOOGLETRANSLATE('대전도시공사_청년임대주택 현황_20240630'!B45,""ko"",""en"")"),"4")</f>
        <v>4</v>
      </c>
      <c r="C45" s="1" t="str">
        <f ca="1">IFERROR(__xludf.DUMMYFUNCTION("GOOGLETRANSLATE('대전도시공사_청년임대주택 현황_20240630'!C45,""ko"",""en"")"),"1")</f>
        <v>1</v>
      </c>
      <c r="D45" s="1" t="str">
        <f ca="1">IFERROR(__xludf.DUMMYFUNCTION("GOOGLETRANSLATE('대전도시공사_청년임대주택 현황_20240630'!D45,""ko"",""en"")"),"201")</f>
        <v>201</v>
      </c>
      <c r="E45" s="1" t="str">
        <f ca="1">IFERROR(__xludf.DUMMYFUNCTION("GOOGLETRANSLATE('대전도시공사_청년임대주택 현황_20240630'!E45,""ko"",""en"")"),"35.326")</f>
        <v>35.326</v>
      </c>
      <c r="F45" s="1" t="str">
        <f ca="1">IFERROR(__xludf.DUMMYFUNCTION("GOOGLETRANSLATE('대전도시공사_청년임대주택 현황_20240630'!F45,""ko"",""en"")"),"29.71")</f>
        <v>29.71</v>
      </c>
      <c r="G45" s="1" t="str">
        <f ca="1">IFERROR(__xludf.DUMMYFUNCTION("GOOGLETRANSLATE('대전도시공사_청년임대주택 현황_20240630'!G45,""ko"",""en"")"),"5.616")</f>
        <v>5.616</v>
      </c>
      <c r="H45" s="1" t="str">
        <f ca="1">IFERROR(__xludf.DUMMYFUNCTION("GOOGLETRANSLATE('대전도시공사_청년임대주택 현황_20240630'!H45,""ko"",""en"")"),"Newlyweds 2 (80% of the total price)")</f>
        <v>Newlyweds 2 (80% of the total price)</v>
      </c>
      <c r="I45" s="1" t="str">
        <f ca="1">IFERROR(__xludf.DUMMYFUNCTION("GOOGLETRANSLATE('대전도시공사_청년임대주택 현황_20240630'!I45,""ko"",""en"")"),"4936000")</f>
        <v>4936000</v>
      </c>
      <c r="J45" s="1" t="str">
        <f ca="1">IFERROR(__xludf.DUMMYFUNCTION("GOOGLETRANSLATE('대전도시공사_청년임대주택 현황_20240630'!J45,""ko"",""en"")"),"492500")</f>
        <v>492500</v>
      </c>
    </row>
    <row r="46" spans="1:10" ht="12.5" x14ac:dyDescent="0.25">
      <c r="A46" s="1" t="str">
        <f ca="1">IFERROR(__xludf.DUMMYFUNCTION("GOOGLETRANSLATE('대전도시공사_청년임대주택 현황_20240630'!A46,""ko"",""en"")"),"52-37, Gajeong-dong (Urban Hills 3, youth rental)")</f>
        <v>52-37, Gajeong-dong (Urban Hills 3, youth rental)</v>
      </c>
      <c r="B46" s="1" t="str">
        <f ca="1">IFERROR(__xludf.DUMMYFUNCTION("GOOGLETRANSLATE('대전도시공사_청년임대주택 현황_20240630'!B46,""ko"",""en"")"),"5")</f>
        <v>5</v>
      </c>
      <c r="C46" s="1" t="str">
        <f ca="1">IFERROR(__xludf.DUMMYFUNCTION("GOOGLETRANSLATE('대전도시공사_청년임대주택 현황_20240630'!C46,""ko"",""en"")"),"1")</f>
        <v>1</v>
      </c>
      <c r="D46" s="1" t="str">
        <f ca="1">IFERROR(__xludf.DUMMYFUNCTION("GOOGLETRANSLATE('대전도시공사_청년임대주택 현황_20240630'!D46,""ko"",""en"")"),"202")</f>
        <v>202</v>
      </c>
      <c r="E46" s="1" t="str">
        <f ca="1">IFERROR(__xludf.DUMMYFUNCTION("GOOGLETRANSLATE('대전도시공사_청년임대주택 현황_20240630'!E46,""ko"",""en"")"),"34.577")</f>
        <v>34.577</v>
      </c>
      <c r="F46" s="1" t="str">
        <f ca="1">IFERROR(__xludf.DUMMYFUNCTION("GOOGLETRANSLATE('대전도시공사_청년임대주택 현황_20240630'!F46,""ko"",""en"")"),"29.08")</f>
        <v>29.08</v>
      </c>
      <c r="G46" s="1" t="str">
        <f ca="1">IFERROR(__xludf.DUMMYFUNCTION("GOOGLETRANSLATE('대전도시공사_청년임대주택 현황_20240630'!G46,""ko"",""en"")"),"5.497")</f>
        <v>5.497</v>
      </c>
      <c r="H46" s="1" t="str">
        <f ca="1">IFERROR(__xludf.DUMMYFUNCTION("GOOGLETRANSLATE('대전도시공사_청년임대주택 현황_20240630'!H46,""ko"",""en"")"),"Beneficiary")</f>
        <v>Beneficiary</v>
      </c>
      <c r="I46" s="1" t="str">
        <f ca="1">IFERROR(__xludf.DUMMYFUNCTION("GOOGLETRANSLATE('대전도시공사_청년임대주택 현황_20240630'!I46,""ko"",""en"")"),"1000000")</f>
        <v>1000000</v>
      </c>
      <c r="J46" s="1" t="str">
        <f ca="1">IFERROR(__xludf.DUMMYFUNCTION("GOOGLETRANSLATE('대전도시공사_청년임대주택 현황_20240630'!J46,""ko"",""en"")"),"175600")</f>
        <v>175600</v>
      </c>
    </row>
    <row r="47" spans="1:10" ht="12.5" x14ac:dyDescent="0.25">
      <c r="A47" s="1" t="str">
        <f ca="1">IFERROR(__xludf.DUMMYFUNCTION("GOOGLETRANSLATE('대전도시공사_청년임대주택 현황_20240630'!A47,""ko"",""en"")"),"52-37, Gajeong-dong (Urban Hills 3, youth rental)")</f>
        <v>52-37, Gajeong-dong (Urban Hills 3, youth rental)</v>
      </c>
      <c r="B47" s="1" t="str">
        <f ca="1">IFERROR(__xludf.DUMMYFUNCTION("GOOGLETRANSLATE('대전도시공사_청년임대주택 현황_20240630'!B47,""ko"",""en"")"),"6")</f>
        <v>6</v>
      </c>
      <c r="C47" s="1" t="str">
        <f ca="1">IFERROR(__xludf.DUMMYFUNCTION("GOOGLETRANSLATE('대전도시공사_청년임대주택 현황_20240630'!C47,""ko"",""en"")"),"1")</f>
        <v>1</v>
      </c>
      <c r="D47" s="1" t="str">
        <f ca="1">IFERROR(__xludf.DUMMYFUNCTION("GOOGLETRANSLATE('대전도시공사_청년임대주택 현황_20240630'!D47,""ko"",""en"")"),"202")</f>
        <v>202</v>
      </c>
      <c r="E47" s="1" t="str">
        <f ca="1">IFERROR(__xludf.DUMMYFUNCTION("GOOGLETRANSLATE('대전도시공사_청년임대주택 현황_20240630'!E47,""ko"",""en"")"),"34.577")</f>
        <v>34.577</v>
      </c>
      <c r="F47" s="1" t="str">
        <f ca="1">IFERROR(__xludf.DUMMYFUNCTION("GOOGLETRANSLATE('대전도시공사_청년임대주택 현황_20240630'!F47,""ko"",""en"")"),"29.08")</f>
        <v>29.08</v>
      </c>
      <c r="G47" s="1" t="str">
        <f ca="1">IFERROR(__xludf.DUMMYFUNCTION("GOOGLETRANSLATE('대전도시공사_청년임대주택 현황_20240630'!G47,""ko"",""en"")"),"5.497")</f>
        <v>5.497</v>
      </c>
      <c r="H47" s="1" t="str">
        <f ca="1">IFERROR(__xludf.DUMMYFUNCTION("GOOGLETRANSLATE('대전도시공사_청년임대주택 현황_20240630'!H47,""ko"",""en"")"),"Youth Rent 1st Place")</f>
        <v>Youth Rent 1st Place</v>
      </c>
      <c r="I47" s="1" t="str">
        <f ca="1">IFERROR(__xludf.DUMMYFUNCTION("GOOGLETRANSLATE('대전도시공사_청년임대주택 현황_20240630'!I47,""ko"",""en"")"),"1000000")</f>
        <v>1000000</v>
      </c>
      <c r="J47" s="1" t="str">
        <f ca="1">IFERROR(__xludf.DUMMYFUNCTION("GOOGLETRANSLATE('대전도시공사_청년임대주택 현황_20240630'!J47,""ko"",""en"")"),"175600")</f>
        <v>175600</v>
      </c>
    </row>
    <row r="48" spans="1:10" ht="12.5" x14ac:dyDescent="0.25">
      <c r="A48" s="1" t="str">
        <f ca="1">IFERROR(__xludf.DUMMYFUNCTION("GOOGLETRANSLATE('대전도시공사_청년임대주택 현황_20240630'!A48,""ko"",""en"")"),"52-37, Gajeong-dong (Urban Hills 3, youth rental)")</f>
        <v>52-37, Gajeong-dong (Urban Hills 3, youth rental)</v>
      </c>
      <c r="B48" s="1" t="str">
        <f ca="1">IFERROR(__xludf.DUMMYFUNCTION("GOOGLETRANSLATE('대전도시공사_청년임대주택 현황_20240630'!B48,""ko"",""en"")"),"7")</f>
        <v>7</v>
      </c>
      <c r="C48" s="1" t="str">
        <f ca="1">IFERROR(__xludf.DUMMYFUNCTION("GOOGLETRANSLATE('대전도시공사_청년임대주택 현황_20240630'!C48,""ko"",""en"")"),"1")</f>
        <v>1</v>
      </c>
      <c r="D48" s="1" t="str">
        <f ca="1">IFERROR(__xludf.DUMMYFUNCTION("GOOGLETRANSLATE('대전도시공사_청년임대주택 현황_20240630'!D48,""ko"",""en"")"),"202")</f>
        <v>202</v>
      </c>
      <c r="E48" s="1" t="str">
        <f ca="1">IFERROR(__xludf.DUMMYFUNCTION("GOOGLETRANSLATE('대전도시공사_청년임대주택 현황_20240630'!E48,""ko"",""en"")"),"34.577")</f>
        <v>34.577</v>
      </c>
      <c r="F48" s="1" t="str">
        <f ca="1">IFERROR(__xludf.DUMMYFUNCTION("GOOGLETRANSLATE('대전도시공사_청년임대주택 현황_20240630'!F48,""ko"",""en"")"),"29.08")</f>
        <v>29.08</v>
      </c>
      <c r="G48" s="1" t="str">
        <f ca="1">IFERROR(__xludf.DUMMYFUNCTION("GOOGLETRANSLATE('대전도시공사_청년임대주택 현황_20240630'!G48,""ko"",""en"")"),"5.497")</f>
        <v>5.497</v>
      </c>
      <c r="H48" s="1" t="str">
        <f ca="1">IFERROR(__xludf.DUMMYFUNCTION("GOOGLETRANSLATE('대전도시공사_청년임대주택 현황_20240630'!H48,""ko"",""en"")"),"Youth Rental 2nd Place")</f>
        <v>Youth Rental 2nd Place</v>
      </c>
      <c r="I48" s="1" t="str">
        <f ca="1">IFERROR(__xludf.DUMMYFUNCTION("GOOGLETRANSLATE('대전도시공사_청년임대주택 현황_20240630'!I48,""ko"",""en"")"),"2000000")</f>
        <v>2000000</v>
      </c>
      <c r="J48" s="1" t="str">
        <f ca="1">IFERROR(__xludf.DUMMYFUNCTION("GOOGLETRANSLATE('대전도시공사_청년임대주택 현황_20240630'!J48,""ko"",""en"")"),"290100")</f>
        <v>290100</v>
      </c>
    </row>
    <row r="49" spans="1:10" ht="12.5" x14ac:dyDescent="0.25">
      <c r="A49" s="1" t="str">
        <f ca="1">IFERROR(__xludf.DUMMYFUNCTION("GOOGLETRANSLATE('대전도시공사_청년임대주택 현황_20240630'!A49,""ko"",""en"")"),"52-37, Gajeong-dong (Urban Hills 3, youth rental)")</f>
        <v>52-37, Gajeong-dong (Urban Hills 3, youth rental)</v>
      </c>
      <c r="B49" s="1" t="str">
        <f ca="1">IFERROR(__xludf.DUMMYFUNCTION("GOOGLETRANSLATE('대전도시공사_청년임대주택 현황_20240630'!B49,""ko"",""en"")"),"8")</f>
        <v>8</v>
      </c>
      <c r="C49" s="1" t="str">
        <f ca="1">IFERROR(__xludf.DUMMYFUNCTION("GOOGLETRANSLATE('대전도시공사_청년임대주택 현황_20240630'!C49,""ko"",""en"")"),"1")</f>
        <v>1</v>
      </c>
      <c r="D49" s="1" t="str">
        <f ca="1">IFERROR(__xludf.DUMMYFUNCTION("GOOGLETRANSLATE('대전도시공사_청년임대주택 현황_20240630'!D49,""ko"",""en"")"),"202")</f>
        <v>202</v>
      </c>
      <c r="E49" s="1" t="str">
        <f ca="1">IFERROR(__xludf.DUMMYFUNCTION("GOOGLETRANSLATE('대전도시공사_청년임대주택 현황_20240630'!E49,""ko"",""en"")"),"34.577")</f>
        <v>34.577</v>
      </c>
      <c r="F49" s="1" t="str">
        <f ca="1">IFERROR(__xludf.DUMMYFUNCTION("GOOGLETRANSLATE('대전도시공사_청년임대주택 현황_20240630'!F49,""ko"",""en"")"),"29.08")</f>
        <v>29.08</v>
      </c>
      <c r="G49" s="1" t="str">
        <f ca="1">IFERROR(__xludf.DUMMYFUNCTION("GOOGLETRANSLATE('대전도시공사_청년임대주택 현황_20240630'!G49,""ko"",""en"")"),"5.497")</f>
        <v>5.497</v>
      </c>
      <c r="H49" s="1" t="str">
        <f ca="1">IFERROR(__xludf.DUMMYFUNCTION("GOOGLETRANSLATE('대전도시공사_청년임대주택 현황_20240630'!H49,""ko"",""en"")"),"3rd place for youth rental")</f>
        <v>3rd place for youth rental</v>
      </c>
      <c r="I49" s="1" t="str">
        <f ca="1">IFERROR(__xludf.DUMMYFUNCTION("GOOGLETRANSLATE('대전도시공사_청년임대주택 현황_20240630'!I49,""ko"",""en"")"),"2000000")</f>
        <v>2000000</v>
      </c>
      <c r="J49" s="1" t="str">
        <f ca="1">IFERROR(__xludf.DUMMYFUNCTION("GOOGLETRANSLATE('대전도시공사_청년임대주택 현황_20240630'!J49,""ko"",""en"")"),"290100")</f>
        <v>290100</v>
      </c>
    </row>
    <row r="50" spans="1:10" ht="12.5" x14ac:dyDescent="0.25">
      <c r="A50" s="1" t="str">
        <f ca="1">IFERROR(__xludf.DUMMYFUNCTION("GOOGLETRANSLATE('대전도시공사_청년임대주택 현황_20240630'!A50,""ko"",""en"")"),"52-37, Gajeong-dong (Urban Hills 3, youth rental)")</f>
        <v>52-37, Gajeong-dong (Urban Hills 3, youth rental)</v>
      </c>
      <c r="B50" s="1" t="str">
        <f ca="1">IFERROR(__xludf.DUMMYFUNCTION("GOOGLETRANSLATE('대전도시공사_청년임대주택 현황_20240630'!B50,""ko"",""en"")"),"9")</f>
        <v>9</v>
      </c>
      <c r="C50" s="1" t="str">
        <f ca="1">IFERROR(__xludf.DUMMYFUNCTION("GOOGLETRANSLATE('대전도시공사_청년임대주택 현황_20240630'!C50,""ko"",""en"")"),"1")</f>
        <v>1</v>
      </c>
      <c r="D50" s="1" t="str">
        <f ca="1">IFERROR(__xludf.DUMMYFUNCTION("GOOGLETRANSLATE('대전도시공사_청년임대주택 현황_20240630'!D50,""ko"",""en"")"),"202")</f>
        <v>202</v>
      </c>
      <c r="E50" s="1" t="str">
        <f ca="1">IFERROR(__xludf.DUMMYFUNCTION("GOOGLETRANSLATE('대전도시공사_청년임대주택 현황_20240630'!E50,""ko"",""en"")"),"34.577")</f>
        <v>34.577</v>
      </c>
      <c r="F50" s="1" t="str">
        <f ca="1">IFERROR(__xludf.DUMMYFUNCTION("GOOGLETRANSLATE('대전도시공사_청년임대주택 현황_20240630'!F50,""ko"",""en"")"),"29.08")</f>
        <v>29.08</v>
      </c>
      <c r="G50" s="1" t="str">
        <f ca="1">IFERROR(__xludf.DUMMYFUNCTION("GOOGLETRANSLATE('대전도시공사_청년임대주택 현황_20240630'!G50,""ko"",""en"")"),"5.497")</f>
        <v>5.497</v>
      </c>
      <c r="H50" s="1" t="str">
        <f ca="1">IFERROR(__xludf.DUMMYFUNCTION("GOOGLETRANSLATE('대전도시공사_청년임대주택 현황_20240630'!H50,""ko"",""en"")"),"4th place for youth rental")</f>
        <v>4th place for youth rental</v>
      </c>
      <c r="I50" s="1" t="str">
        <f ca="1">IFERROR(__xludf.DUMMYFUNCTION("GOOGLETRANSLATE('대전도시공사_청년임대주택 현황_20240630'!I50,""ko"",""en"")"),"2000000")</f>
        <v>2000000</v>
      </c>
      <c r="J50" s="1" t="str">
        <f ca="1">IFERROR(__xludf.DUMMYFUNCTION("GOOGLETRANSLATE('대전도시공사_청년임대주택 현황_20240630'!J50,""ko"",""en"")"),"290100")</f>
        <v>290100</v>
      </c>
    </row>
    <row r="51" spans="1:10" ht="12.5" x14ac:dyDescent="0.25">
      <c r="A51" s="1" t="str">
        <f ca="1">IFERROR(__xludf.DUMMYFUNCTION("GOOGLETRANSLATE('대전도시공사_청년임대주택 현황_20240630'!A51,""ko"",""en"")"),"52-37, Gajeong-dong (Urban Hills 3, youth rental)")</f>
        <v>52-37, Gajeong-dong (Urban Hills 3, youth rental)</v>
      </c>
      <c r="B51" s="1" t="str">
        <f ca="1">IFERROR(__xludf.DUMMYFUNCTION("GOOGLETRANSLATE('대전도시공사_청년임대주택 현황_20240630'!B51,""ko"",""en"")"),"10")</f>
        <v>10</v>
      </c>
      <c r="C51" s="1" t="str">
        <f ca="1">IFERROR(__xludf.DUMMYFUNCTION("GOOGLETRANSLATE('대전도시공사_청년임대주택 현황_20240630'!C51,""ko"",""en"")"),"1")</f>
        <v>1</v>
      </c>
      <c r="D51" s="1" t="str">
        <f ca="1">IFERROR(__xludf.DUMMYFUNCTION("GOOGLETRANSLATE('대전도시공사_청년임대주택 현황_20240630'!D51,""ko"",""en"")"),"203")</f>
        <v>203</v>
      </c>
      <c r="E51" s="1" t="str">
        <f ca="1">IFERROR(__xludf.DUMMYFUNCTION("GOOGLETRANSLATE('대전도시공사_청년임대주택 현황_20240630'!E51,""ko"",""en"")"),"23.78")</f>
        <v>23.78</v>
      </c>
      <c r="F51" s="1" t="str">
        <f ca="1">IFERROR(__xludf.DUMMYFUNCTION("GOOGLETRANSLATE('대전도시공사_청년임대주택 현황_20240630'!F51,""ko"",""en"")"),"20")</f>
        <v>20</v>
      </c>
      <c r="G51" s="1" t="str">
        <f ca="1">IFERROR(__xludf.DUMMYFUNCTION("GOOGLETRANSLATE('대전도시공사_청년임대주택 현황_20240630'!G51,""ko"",""en"")"),"3.78")</f>
        <v>3.78</v>
      </c>
      <c r="H51" s="1" t="str">
        <f ca="1">IFERROR(__xludf.DUMMYFUNCTION("GOOGLETRANSLATE('대전도시공사_청년임대주택 현황_20240630'!H51,""ko"",""en"")"),"Youth Rent 1st Place")</f>
        <v>Youth Rent 1st Place</v>
      </c>
      <c r="I51" s="1" t="str">
        <f ca="1">IFERROR(__xludf.DUMMYFUNCTION("GOOGLETRANSLATE('대전도시공사_청년임대주택 현황_20240630'!I51,""ko"",""en"")"),"1000000")</f>
        <v>1000000</v>
      </c>
      <c r="J51" s="1" t="str">
        <f ca="1">IFERROR(__xludf.DUMMYFUNCTION("GOOGLETRANSLATE('대전도시공사_청년임대주택 현황_20240630'!J51,""ko"",""en"")"),"116300")</f>
        <v>116300</v>
      </c>
    </row>
    <row r="52" spans="1:10" ht="12.5" x14ac:dyDescent="0.25">
      <c r="A52" s="1" t="str">
        <f ca="1">IFERROR(__xludf.DUMMYFUNCTION("GOOGLETRANSLATE('대전도시공사_청년임대주택 현황_20240630'!A52,""ko"",""en"")"),"52-37, Gajeong-dong (Urban Hills 3, youth rental)")</f>
        <v>52-37, Gajeong-dong (Urban Hills 3, youth rental)</v>
      </c>
      <c r="B52" s="1" t="str">
        <f ca="1">IFERROR(__xludf.DUMMYFUNCTION("GOOGLETRANSLATE('대전도시공사_청년임대주택 현황_20240630'!B52,""ko"",""en"")"),"11")</f>
        <v>11</v>
      </c>
      <c r="C52" s="1" t="str">
        <f ca="1">IFERROR(__xludf.DUMMYFUNCTION("GOOGLETRANSLATE('대전도시공사_청년임대주택 현황_20240630'!C52,""ko"",""en"")"),"1")</f>
        <v>1</v>
      </c>
      <c r="D52" s="1" t="str">
        <f ca="1">IFERROR(__xludf.DUMMYFUNCTION("GOOGLETRANSLATE('대전도시공사_청년임대주택 현황_20240630'!D52,""ko"",""en"")"),"203")</f>
        <v>203</v>
      </c>
      <c r="E52" s="1" t="str">
        <f ca="1">IFERROR(__xludf.DUMMYFUNCTION("GOOGLETRANSLATE('대전도시공사_청년임대주택 현황_20240630'!E52,""ko"",""en"")"),"23.78")</f>
        <v>23.78</v>
      </c>
      <c r="F52" s="1" t="str">
        <f ca="1">IFERROR(__xludf.DUMMYFUNCTION("GOOGLETRANSLATE('대전도시공사_청년임대주택 현황_20240630'!F52,""ko"",""en"")"),"20")</f>
        <v>20</v>
      </c>
      <c r="G52" s="1" t="str">
        <f ca="1">IFERROR(__xludf.DUMMYFUNCTION("GOOGLETRANSLATE('대전도시공사_청년임대주택 현황_20240630'!G52,""ko"",""en"")"),"3.78")</f>
        <v>3.78</v>
      </c>
      <c r="H52" s="1" t="str">
        <f ca="1">IFERROR(__xludf.DUMMYFUNCTION("GOOGLETRANSLATE('대전도시공사_청년임대주택 현황_20240630'!H52,""ko"",""en"")"),"Youth Rental 2nd Place")</f>
        <v>Youth Rental 2nd Place</v>
      </c>
      <c r="I52" s="1" t="str">
        <f ca="1">IFERROR(__xludf.DUMMYFUNCTION("GOOGLETRANSLATE('대전도시공사_청년임대주택 현황_20240630'!I52,""ko"",""en"")"),"2000000")</f>
        <v>2000000</v>
      </c>
      <c r="J52" s="1" t="str">
        <f ca="1">IFERROR(__xludf.DUMMYFUNCTION("GOOGLETRANSLATE('대전도시공사_청년임대주택 현황_20240630'!J52,""ko"",""en"")"),"191400")</f>
        <v>191400</v>
      </c>
    </row>
    <row r="53" spans="1:10" ht="12.5" x14ac:dyDescent="0.25">
      <c r="A53" s="1" t="str">
        <f ca="1">IFERROR(__xludf.DUMMYFUNCTION("GOOGLETRANSLATE('대전도시공사_청년임대주택 현황_20240630'!A53,""ko"",""en"")"),"52-37, Gajeong-dong (Urban Hills 3, youth rental)")</f>
        <v>52-37, Gajeong-dong (Urban Hills 3, youth rental)</v>
      </c>
      <c r="B53" s="1" t="str">
        <f ca="1">IFERROR(__xludf.DUMMYFUNCTION("GOOGLETRANSLATE('대전도시공사_청년임대주택 현황_20240630'!B53,""ko"",""en"")"),"12")</f>
        <v>12</v>
      </c>
      <c r="C53" s="1" t="str">
        <f ca="1">IFERROR(__xludf.DUMMYFUNCTION("GOOGLETRANSLATE('대전도시공사_청년임대주택 현황_20240630'!C53,""ko"",""en"")"),"1")</f>
        <v>1</v>
      </c>
      <c r="D53" s="1" t="str">
        <f ca="1">IFERROR(__xludf.DUMMYFUNCTION("GOOGLETRANSLATE('대전도시공사_청년임대주택 현황_20240630'!D53,""ko"",""en"")"),"203")</f>
        <v>203</v>
      </c>
      <c r="E53" s="1" t="str">
        <f ca="1">IFERROR(__xludf.DUMMYFUNCTION("GOOGLETRANSLATE('대전도시공사_청년임대주택 현황_20240630'!E53,""ko"",""en"")"),"23.78")</f>
        <v>23.78</v>
      </c>
      <c r="F53" s="1" t="str">
        <f ca="1">IFERROR(__xludf.DUMMYFUNCTION("GOOGLETRANSLATE('대전도시공사_청년임대주택 현황_20240630'!F53,""ko"",""en"")"),"20")</f>
        <v>20</v>
      </c>
      <c r="G53" s="1" t="str">
        <f ca="1">IFERROR(__xludf.DUMMYFUNCTION("GOOGLETRANSLATE('대전도시공사_청년임대주택 현황_20240630'!G53,""ko"",""en"")"),"3.78")</f>
        <v>3.78</v>
      </c>
      <c r="H53" s="1" t="str">
        <f ca="1">IFERROR(__xludf.DUMMYFUNCTION("GOOGLETRANSLATE('대전도시공사_청년임대주택 현황_20240630'!H53,""ko"",""en"")"),"3rd place for youth rental")</f>
        <v>3rd place for youth rental</v>
      </c>
      <c r="I53" s="1" t="str">
        <f ca="1">IFERROR(__xludf.DUMMYFUNCTION("GOOGLETRANSLATE('대전도시공사_청년임대주택 현황_20240630'!I53,""ko"",""en"")"),"2000000")</f>
        <v>2000000</v>
      </c>
      <c r="J53" s="1" t="str">
        <f ca="1">IFERROR(__xludf.DUMMYFUNCTION("GOOGLETRANSLATE('대전도시공사_청년임대주택 현황_20240630'!J53,""ko"",""en"")"),"191400")</f>
        <v>191400</v>
      </c>
    </row>
    <row r="54" spans="1:10" ht="12.5" x14ac:dyDescent="0.25">
      <c r="A54" s="1" t="str">
        <f ca="1">IFERROR(__xludf.DUMMYFUNCTION("GOOGLETRANSLATE('대전도시공사_청년임대주택 현황_20240630'!A54,""ko"",""en"")"),"52-37, Gajeong-dong (Urban Hills 3, youth rental)")</f>
        <v>52-37, Gajeong-dong (Urban Hills 3, youth rental)</v>
      </c>
      <c r="B54" s="1" t="str">
        <f ca="1">IFERROR(__xludf.DUMMYFUNCTION("GOOGLETRANSLATE('대전도시공사_청년임대주택 현황_20240630'!B54,""ko"",""en"")"),"13")</f>
        <v>13</v>
      </c>
      <c r="C54" s="1" t="str">
        <f ca="1">IFERROR(__xludf.DUMMYFUNCTION("GOOGLETRANSLATE('대전도시공사_청년임대주택 현황_20240630'!C54,""ko"",""en"")"),"1")</f>
        <v>1</v>
      </c>
      <c r="D54" s="1" t="str">
        <f ca="1">IFERROR(__xludf.DUMMYFUNCTION("GOOGLETRANSLATE('대전도시공사_청년임대주택 현황_20240630'!D54,""ko"",""en"")"),"203")</f>
        <v>203</v>
      </c>
      <c r="E54" s="1" t="str">
        <f ca="1">IFERROR(__xludf.DUMMYFUNCTION("GOOGLETRANSLATE('대전도시공사_청년임대주택 현황_20240630'!E54,""ko"",""en"")"),"23.78")</f>
        <v>23.78</v>
      </c>
      <c r="F54" s="1" t="str">
        <f ca="1">IFERROR(__xludf.DUMMYFUNCTION("GOOGLETRANSLATE('대전도시공사_청년임대주택 현황_20240630'!F54,""ko"",""en"")"),"20")</f>
        <v>20</v>
      </c>
      <c r="G54" s="1" t="str">
        <f ca="1">IFERROR(__xludf.DUMMYFUNCTION("GOOGLETRANSLATE('대전도시공사_청년임대주택 현황_20240630'!G54,""ko"",""en"")"),"3.78")</f>
        <v>3.78</v>
      </c>
      <c r="H54" s="1" t="str">
        <f ca="1">IFERROR(__xludf.DUMMYFUNCTION("GOOGLETRANSLATE('대전도시공사_청년임대주택 현황_20240630'!H54,""ko"",""en"")"),"4th place for youth rental")</f>
        <v>4th place for youth rental</v>
      </c>
      <c r="I54" s="1" t="str">
        <f ca="1">IFERROR(__xludf.DUMMYFUNCTION("GOOGLETRANSLATE('대전도시공사_청년임대주택 현황_20240630'!I54,""ko"",""en"")"),"2000000")</f>
        <v>2000000</v>
      </c>
      <c r="J54" s="1" t="str">
        <f ca="1">IFERROR(__xludf.DUMMYFUNCTION("GOOGLETRANSLATE('대전도시공사_청년임대주택 현황_20240630'!J54,""ko"",""en"")"),"191400")</f>
        <v>191400</v>
      </c>
    </row>
    <row r="55" spans="1:10" ht="12.5" x14ac:dyDescent="0.25">
      <c r="A55" s="1" t="str">
        <f ca="1">IFERROR(__xludf.DUMMYFUNCTION("GOOGLETRANSLATE('대전도시공사_청년임대주택 현황_20240630'!A55,""ko"",""en"")"),"52-37, Gajeong-dong (Urban Hills 3, youth rental)")</f>
        <v>52-37, Gajeong-dong (Urban Hills 3, youth rental)</v>
      </c>
      <c r="B55" s="1" t="str">
        <f ca="1">IFERROR(__xludf.DUMMYFUNCTION("GOOGLETRANSLATE('대전도시공사_청년임대주택 현황_20240630'!B55,""ko"",""en"")"),"14")</f>
        <v>14</v>
      </c>
      <c r="C55" s="1" t="str">
        <f ca="1">IFERROR(__xludf.DUMMYFUNCTION("GOOGLETRANSLATE('대전도시공사_청년임대주택 현황_20240630'!C55,""ko"",""en"")"),"1")</f>
        <v>1</v>
      </c>
      <c r="D55" s="1" t="str">
        <f ca="1">IFERROR(__xludf.DUMMYFUNCTION("GOOGLETRANSLATE('대전도시공사_청년임대주택 현황_20240630'!D55,""ko"",""en"")"),"204")</f>
        <v>204</v>
      </c>
      <c r="E55" s="1" t="str">
        <f ca="1">IFERROR(__xludf.DUMMYFUNCTION("GOOGLETRANSLATE('대전도시공사_청년임대주택 현황_20240630'!E55,""ko"",""en"")"),"23.78")</f>
        <v>23.78</v>
      </c>
      <c r="F55" s="1" t="str">
        <f ca="1">IFERROR(__xludf.DUMMYFUNCTION("GOOGLETRANSLATE('대전도시공사_청년임대주택 현황_20240630'!F55,""ko"",""en"")"),"20")</f>
        <v>20</v>
      </c>
      <c r="G55" s="1" t="str">
        <f ca="1">IFERROR(__xludf.DUMMYFUNCTION("GOOGLETRANSLATE('대전도시공사_청년임대주택 현황_20240630'!G55,""ko"",""en"")"),"3.78")</f>
        <v>3.78</v>
      </c>
      <c r="H55" s="1" t="str">
        <f ca="1">IFERROR(__xludf.DUMMYFUNCTION("GOOGLETRANSLATE('대전도시공사_청년임대주택 현황_20240630'!H55,""ko"",""en"")"),"Beneficiary")</f>
        <v>Beneficiary</v>
      </c>
      <c r="I55" s="1" t="str">
        <f ca="1">IFERROR(__xludf.DUMMYFUNCTION("GOOGLETRANSLATE('대전도시공사_청년임대주택 현황_20240630'!I55,""ko"",""en"")"),"1000000")</f>
        <v>1000000</v>
      </c>
      <c r="J55" s="1" t="str">
        <f ca="1">IFERROR(__xludf.DUMMYFUNCTION("GOOGLETRANSLATE('대전도시공사_청년임대주택 현황_20240630'!J55,""ko"",""en"")"),"116300")</f>
        <v>116300</v>
      </c>
    </row>
    <row r="56" spans="1:10" ht="12.5" x14ac:dyDescent="0.25">
      <c r="A56" s="1" t="str">
        <f ca="1">IFERROR(__xludf.DUMMYFUNCTION("GOOGLETRANSLATE('대전도시공사_청년임대주택 현황_20240630'!A56,""ko"",""en"")"),"52-37, Gajeong-dong (Urban Hills 3, youth rental)")</f>
        <v>52-37, Gajeong-dong (Urban Hills 3, youth rental)</v>
      </c>
      <c r="B56" s="1" t="str">
        <f ca="1">IFERROR(__xludf.DUMMYFUNCTION("GOOGLETRANSLATE('대전도시공사_청년임대주택 현황_20240630'!B56,""ko"",""en"")"),"15")</f>
        <v>15</v>
      </c>
      <c r="C56" s="1" t="str">
        <f ca="1">IFERROR(__xludf.DUMMYFUNCTION("GOOGLETRANSLATE('대전도시공사_청년임대주택 현황_20240630'!C56,""ko"",""en"")"),"1")</f>
        <v>1</v>
      </c>
      <c r="D56" s="1" t="str">
        <f ca="1">IFERROR(__xludf.DUMMYFUNCTION("GOOGLETRANSLATE('대전도시공사_청년임대주택 현황_20240630'!D56,""ko"",""en"")"),"204")</f>
        <v>204</v>
      </c>
      <c r="E56" s="1" t="str">
        <f ca="1">IFERROR(__xludf.DUMMYFUNCTION("GOOGLETRANSLATE('대전도시공사_청년임대주택 현황_20240630'!E56,""ko"",""en"")"),"23.78")</f>
        <v>23.78</v>
      </c>
      <c r="F56" s="1" t="str">
        <f ca="1">IFERROR(__xludf.DUMMYFUNCTION("GOOGLETRANSLATE('대전도시공사_청년임대주택 현황_20240630'!F56,""ko"",""en"")"),"20")</f>
        <v>20</v>
      </c>
      <c r="G56" s="1" t="str">
        <f ca="1">IFERROR(__xludf.DUMMYFUNCTION("GOOGLETRANSLATE('대전도시공사_청년임대주택 현황_20240630'!G56,""ko"",""en"")"),"3.78")</f>
        <v>3.78</v>
      </c>
      <c r="H56" s="1" t="str">
        <f ca="1">IFERROR(__xludf.DUMMYFUNCTION("GOOGLETRANSLATE('대전도시공사_청년임대주택 현황_20240630'!H56,""ko"",""en"")"),"Youth Rent 1st Place")</f>
        <v>Youth Rent 1st Place</v>
      </c>
      <c r="I56" s="1" t="str">
        <f ca="1">IFERROR(__xludf.DUMMYFUNCTION("GOOGLETRANSLATE('대전도시공사_청년임대주택 현황_20240630'!I56,""ko"",""en"")"),"1000000")</f>
        <v>1000000</v>
      </c>
      <c r="J56" s="1" t="str">
        <f ca="1">IFERROR(__xludf.DUMMYFUNCTION("GOOGLETRANSLATE('대전도시공사_청년임대주택 현황_20240630'!J56,""ko"",""en"")"),"116300")</f>
        <v>116300</v>
      </c>
    </row>
    <row r="57" spans="1:10" ht="12.5" x14ac:dyDescent="0.25">
      <c r="A57" s="1" t="str">
        <f ca="1">IFERROR(__xludf.DUMMYFUNCTION("GOOGLETRANSLATE('대전도시공사_청년임대주택 현황_20240630'!A57,""ko"",""en"")"),"52-37, Gajeong-dong (Urban Hills 3, youth rental)")</f>
        <v>52-37, Gajeong-dong (Urban Hills 3, youth rental)</v>
      </c>
      <c r="B57" s="1" t="str">
        <f ca="1">IFERROR(__xludf.DUMMYFUNCTION("GOOGLETRANSLATE('대전도시공사_청년임대주택 현황_20240630'!B57,""ko"",""en"")"),"16")</f>
        <v>16</v>
      </c>
      <c r="C57" s="1" t="str">
        <f ca="1">IFERROR(__xludf.DUMMYFUNCTION("GOOGLETRANSLATE('대전도시공사_청년임대주택 현황_20240630'!C57,""ko"",""en"")"),"1")</f>
        <v>1</v>
      </c>
      <c r="D57" s="1" t="str">
        <f ca="1">IFERROR(__xludf.DUMMYFUNCTION("GOOGLETRANSLATE('대전도시공사_청년임대주택 현황_20240630'!D57,""ko"",""en"")"),"204")</f>
        <v>204</v>
      </c>
      <c r="E57" s="1" t="str">
        <f ca="1">IFERROR(__xludf.DUMMYFUNCTION("GOOGLETRANSLATE('대전도시공사_청년임대주택 현황_20240630'!E57,""ko"",""en"")"),"23.78")</f>
        <v>23.78</v>
      </c>
      <c r="F57" s="1" t="str">
        <f ca="1">IFERROR(__xludf.DUMMYFUNCTION("GOOGLETRANSLATE('대전도시공사_청년임대주택 현황_20240630'!F57,""ko"",""en"")"),"20")</f>
        <v>20</v>
      </c>
      <c r="G57" s="1" t="str">
        <f ca="1">IFERROR(__xludf.DUMMYFUNCTION("GOOGLETRANSLATE('대전도시공사_청년임대주택 현황_20240630'!G57,""ko"",""en"")"),"3.78")</f>
        <v>3.78</v>
      </c>
      <c r="H57" s="1" t="str">
        <f ca="1">IFERROR(__xludf.DUMMYFUNCTION("GOOGLETRANSLATE('대전도시공사_청년임대주택 현황_20240630'!H57,""ko"",""en"")"),"Youth Rental 2nd Place")</f>
        <v>Youth Rental 2nd Place</v>
      </c>
      <c r="I57" s="1" t="str">
        <f ca="1">IFERROR(__xludf.DUMMYFUNCTION("GOOGLETRANSLATE('대전도시공사_청년임대주택 현황_20240630'!I57,""ko"",""en"")"),"2000000")</f>
        <v>2000000</v>
      </c>
      <c r="J57" s="1" t="str">
        <f ca="1">IFERROR(__xludf.DUMMYFUNCTION("GOOGLETRANSLATE('대전도시공사_청년임대주택 현황_20240630'!J57,""ko"",""en"")"),"191400")</f>
        <v>191400</v>
      </c>
    </row>
    <row r="58" spans="1:10" ht="12.5" x14ac:dyDescent="0.25">
      <c r="A58" s="1" t="str">
        <f ca="1">IFERROR(__xludf.DUMMYFUNCTION("GOOGLETRANSLATE('대전도시공사_청년임대주택 현황_20240630'!A58,""ko"",""en"")"),"52-37, Gajeong-dong (Urban Hills 3, youth rental)")</f>
        <v>52-37, Gajeong-dong (Urban Hills 3, youth rental)</v>
      </c>
      <c r="B58" s="1" t="str">
        <f ca="1">IFERROR(__xludf.DUMMYFUNCTION("GOOGLETRANSLATE('대전도시공사_청년임대주택 현황_20240630'!B58,""ko"",""en"")"),"17")</f>
        <v>17</v>
      </c>
      <c r="C58" s="1" t="str">
        <f ca="1">IFERROR(__xludf.DUMMYFUNCTION("GOOGLETRANSLATE('대전도시공사_청년임대주택 현황_20240630'!C58,""ko"",""en"")"),"1")</f>
        <v>1</v>
      </c>
      <c r="D58" s="1" t="str">
        <f ca="1">IFERROR(__xludf.DUMMYFUNCTION("GOOGLETRANSLATE('대전도시공사_청년임대주택 현황_20240630'!D58,""ko"",""en"")"),"204")</f>
        <v>204</v>
      </c>
      <c r="E58" s="1" t="str">
        <f ca="1">IFERROR(__xludf.DUMMYFUNCTION("GOOGLETRANSLATE('대전도시공사_청년임대주택 현황_20240630'!E58,""ko"",""en"")"),"23.78")</f>
        <v>23.78</v>
      </c>
      <c r="F58" s="1" t="str">
        <f ca="1">IFERROR(__xludf.DUMMYFUNCTION("GOOGLETRANSLATE('대전도시공사_청년임대주택 현황_20240630'!F58,""ko"",""en"")"),"20")</f>
        <v>20</v>
      </c>
      <c r="G58" s="1" t="str">
        <f ca="1">IFERROR(__xludf.DUMMYFUNCTION("GOOGLETRANSLATE('대전도시공사_청년임대주택 현황_20240630'!G58,""ko"",""en"")"),"3.78")</f>
        <v>3.78</v>
      </c>
      <c r="H58" s="1" t="str">
        <f ca="1">IFERROR(__xludf.DUMMYFUNCTION("GOOGLETRANSLATE('대전도시공사_청년임대주택 현황_20240630'!H58,""ko"",""en"")"),"3rd place for youth rental")</f>
        <v>3rd place for youth rental</v>
      </c>
      <c r="I58" s="1" t="str">
        <f ca="1">IFERROR(__xludf.DUMMYFUNCTION("GOOGLETRANSLATE('대전도시공사_청년임대주택 현황_20240630'!I58,""ko"",""en"")"),"2000000")</f>
        <v>2000000</v>
      </c>
      <c r="J58" s="1" t="str">
        <f ca="1">IFERROR(__xludf.DUMMYFUNCTION("GOOGLETRANSLATE('대전도시공사_청년임대주택 현황_20240630'!J58,""ko"",""en"")"),"191400")</f>
        <v>191400</v>
      </c>
    </row>
    <row r="59" spans="1:10" ht="12.5" x14ac:dyDescent="0.25">
      <c r="A59" s="1" t="str">
        <f ca="1">IFERROR(__xludf.DUMMYFUNCTION("GOOGLETRANSLATE('대전도시공사_청년임대주택 현황_20240630'!A59,""ko"",""en"")"),"52-37, Gajeong-dong (Urban Hills 3, youth rental)")</f>
        <v>52-37, Gajeong-dong (Urban Hills 3, youth rental)</v>
      </c>
      <c r="B59" s="1" t="str">
        <f ca="1">IFERROR(__xludf.DUMMYFUNCTION("GOOGLETRANSLATE('대전도시공사_청년임대주택 현황_20240630'!B59,""ko"",""en"")"),"18")</f>
        <v>18</v>
      </c>
      <c r="C59" s="1" t="str">
        <f ca="1">IFERROR(__xludf.DUMMYFUNCTION("GOOGLETRANSLATE('대전도시공사_청년임대주택 현황_20240630'!C59,""ko"",""en"")"),"1")</f>
        <v>1</v>
      </c>
      <c r="D59" s="1" t="str">
        <f ca="1">IFERROR(__xludf.DUMMYFUNCTION("GOOGLETRANSLATE('대전도시공사_청년임대주택 현황_20240630'!D59,""ko"",""en"")"),"204")</f>
        <v>204</v>
      </c>
      <c r="E59" s="1" t="str">
        <f ca="1">IFERROR(__xludf.DUMMYFUNCTION("GOOGLETRANSLATE('대전도시공사_청년임대주택 현황_20240630'!E59,""ko"",""en"")"),"23.78")</f>
        <v>23.78</v>
      </c>
      <c r="F59" s="1" t="str">
        <f ca="1">IFERROR(__xludf.DUMMYFUNCTION("GOOGLETRANSLATE('대전도시공사_청년임대주택 현황_20240630'!F59,""ko"",""en"")"),"20")</f>
        <v>20</v>
      </c>
      <c r="G59" s="1" t="str">
        <f ca="1">IFERROR(__xludf.DUMMYFUNCTION("GOOGLETRANSLATE('대전도시공사_청년임대주택 현황_20240630'!G59,""ko"",""en"")"),"3.78")</f>
        <v>3.78</v>
      </c>
      <c r="H59" s="1" t="str">
        <f ca="1">IFERROR(__xludf.DUMMYFUNCTION("GOOGLETRANSLATE('대전도시공사_청년임대주택 현황_20240630'!H59,""ko"",""en"")"),"4th place for youth rental")</f>
        <v>4th place for youth rental</v>
      </c>
      <c r="I59" s="1" t="str">
        <f ca="1">IFERROR(__xludf.DUMMYFUNCTION("GOOGLETRANSLATE('대전도시공사_청년임대주택 현황_20240630'!I59,""ko"",""en"")"),"2000000")</f>
        <v>2000000</v>
      </c>
      <c r="J59" s="1" t="str">
        <f ca="1">IFERROR(__xludf.DUMMYFUNCTION("GOOGLETRANSLATE('대전도시공사_청년임대주택 현황_20240630'!J59,""ko"",""en"")"),"191400")</f>
        <v>191400</v>
      </c>
    </row>
    <row r="60" spans="1:10" ht="12.5" x14ac:dyDescent="0.25">
      <c r="A60" s="1" t="str">
        <f ca="1">IFERROR(__xludf.DUMMYFUNCTION("GOOGLETRANSLATE('대전도시공사_청년임대주택 현황_20240630'!A60,""ko"",""en"")"),"52-37, Gajeong-dong (Urban Hills 3, youth rental)")</f>
        <v>52-37, Gajeong-dong (Urban Hills 3, youth rental)</v>
      </c>
      <c r="B60" s="1" t="str">
        <f ca="1">IFERROR(__xludf.DUMMYFUNCTION("GOOGLETRANSLATE('대전도시공사_청년임대주택 현황_20240630'!B60,""ko"",""en"")"),"19")</f>
        <v>19</v>
      </c>
      <c r="C60" s="1" t="str">
        <f ca="1">IFERROR(__xludf.DUMMYFUNCTION("GOOGLETRANSLATE('대전도시공사_청년임대주택 현황_20240630'!C60,""ko"",""en"")"),"1")</f>
        <v>1</v>
      </c>
      <c r="D60" s="1" t="str">
        <f ca="1">IFERROR(__xludf.DUMMYFUNCTION("GOOGLETRANSLATE('대전도시공사_청년임대주택 현황_20240630'!D60,""ko"",""en"")"),"205")</f>
        <v>205</v>
      </c>
      <c r="E60" s="1" t="str">
        <f ca="1">IFERROR(__xludf.DUMMYFUNCTION("GOOGLETRANSLATE('대전도시공사_청년임대주택 현황_20240630'!E60,""ko"",""en"")"),"23.78")</f>
        <v>23.78</v>
      </c>
      <c r="F60" s="1" t="str">
        <f ca="1">IFERROR(__xludf.DUMMYFUNCTION("GOOGLETRANSLATE('대전도시공사_청년임대주택 현황_20240630'!F60,""ko"",""en"")"),"20")</f>
        <v>20</v>
      </c>
      <c r="G60" s="1" t="str">
        <f ca="1">IFERROR(__xludf.DUMMYFUNCTION("GOOGLETRANSLATE('대전도시공사_청년임대주택 현황_20240630'!G60,""ko"",""en"")"),"3.78")</f>
        <v>3.78</v>
      </c>
      <c r="H60" s="1" t="str">
        <f ca="1">IFERROR(__xludf.DUMMYFUNCTION("GOOGLETRANSLATE('대전도시공사_청년임대주택 현황_20240630'!H60,""ko"",""en"")"),"Youth Rent 1st Place")</f>
        <v>Youth Rent 1st Place</v>
      </c>
      <c r="I60" s="1" t="str">
        <f ca="1">IFERROR(__xludf.DUMMYFUNCTION("GOOGLETRANSLATE('대전도시공사_청년임대주택 현황_20240630'!I60,""ko"",""en"")"),"1000000")</f>
        <v>1000000</v>
      </c>
      <c r="J60" s="1" t="str">
        <f ca="1">IFERROR(__xludf.DUMMYFUNCTION("GOOGLETRANSLATE('대전도시공사_청년임대주택 현황_20240630'!J60,""ko"",""en"")"),"116300")</f>
        <v>116300</v>
      </c>
    </row>
    <row r="61" spans="1:10" ht="12.5" x14ac:dyDescent="0.25">
      <c r="A61" s="1" t="str">
        <f ca="1">IFERROR(__xludf.DUMMYFUNCTION("GOOGLETRANSLATE('대전도시공사_청년임대주택 현황_20240630'!A61,""ko"",""en"")"),"52-37, Gajeong-dong (Urban Hills 3, youth rental)")</f>
        <v>52-37, Gajeong-dong (Urban Hills 3, youth rental)</v>
      </c>
      <c r="B61" s="1" t="str">
        <f ca="1">IFERROR(__xludf.DUMMYFUNCTION("GOOGLETRANSLATE('대전도시공사_청년임대주택 현황_20240630'!B61,""ko"",""en"")"),"20")</f>
        <v>20</v>
      </c>
      <c r="C61" s="1" t="str">
        <f ca="1">IFERROR(__xludf.DUMMYFUNCTION("GOOGLETRANSLATE('대전도시공사_청년임대주택 현황_20240630'!C61,""ko"",""en"")"),"1")</f>
        <v>1</v>
      </c>
      <c r="D61" s="1" t="str">
        <f ca="1">IFERROR(__xludf.DUMMYFUNCTION("GOOGLETRANSLATE('대전도시공사_청년임대주택 현황_20240630'!D61,""ko"",""en"")"),"205")</f>
        <v>205</v>
      </c>
      <c r="E61" s="1" t="str">
        <f ca="1">IFERROR(__xludf.DUMMYFUNCTION("GOOGLETRANSLATE('대전도시공사_청년임대주택 현황_20240630'!E61,""ko"",""en"")"),"23.78")</f>
        <v>23.78</v>
      </c>
      <c r="F61" s="1" t="str">
        <f ca="1">IFERROR(__xludf.DUMMYFUNCTION("GOOGLETRANSLATE('대전도시공사_청년임대주택 현황_20240630'!F61,""ko"",""en"")"),"20")</f>
        <v>20</v>
      </c>
      <c r="G61" s="1" t="str">
        <f ca="1">IFERROR(__xludf.DUMMYFUNCTION("GOOGLETRANSLATE('대전도시공사_청년임대주택 현황_20240630'!G61,""ko"",""en"")"),"3.78")</f>
        <v>3.78</v>
      </c>
      <c r="H61" s="1" t="str">
        <f ca="1">IFERROR(__xludf.DUMMYFUNCTION("GOOGLETRANSLATE('대전도시공사_청년임대주택 현황_20240630'!H61,""ko"",""en"")"),"Youth Rental 2nd Place")</f>
        <v>Youth Rental 2nd Place</v>
      </c>
      <c r="I61" s="1" t="str">
        <f ca="1">IFERROR(__xludf.DUMMYFUNCTION("GOOGLETRANSLATE('대전도시공사_청년임대주택 현황_20240630'!I61,""ko"",""en"")"),"2000000")</f>
        <v>2000000</v>
      </c>
      <c r="J61" s="1" t="str">
        <f ca="1">IFERROR(__xludf.DUMMYFUNCTION("GOOGLETRANSLATE('대전도시공사_청년임대주택 현황_20240630'!J61,""ko"",""en"")"),"191400")</f>
        <v>191400</v>
      </c>
    </row>
    <row r="62" spans="1:10" ht="12.5" x14ac:dyDescent="0.25">
      <c r="A62" s="1" t="str">
        <f ca="1">IFERROR(__xludf.DUMMYFUNCTION("GOOGLETRANSLATE('대전도시공사_청년임대주택 현황_20240630'!A62,""ko"",""en"")"),"52-37, Gajeong-dong (Urban Hills 3, youth rental)")</f>
        <v>52-37, Gajeong-dong (Urban Hills 3, youth rental)</v>
      </c>
      <c r="B62" s="1" t="str">
        <f ca="1">IFERROR(__xludf.DUMMYFUNCTION("GOOGLETRANSLATE('대전도시공사_청년임대주택 현황_20240630'!B62,""ko"",""en"")"),"21")</f>
        <v>21</v>
      </c>
      <c r="C62" s="1" t="str">
        <f ca="1">IFERROR(__xludf.DUMMYFUNCTION("GOOGLETRANSLATE('대전도시공사_청년임대주택 현황_20240630'!C62,""ko"",""en"")"),"1")</f>
        <v>1</v>
      </c>
      <c r="D62" s="1" t="str">
        <f ca="1">IFERROR(__xludf.DUMMYFUNCTION("GOOGLETRANSLATE('대전도시공사_청년임대주택 현황_20240630'!D62,""ko"",""en"")"),"205")</f>
        <v>205</v>
      </c>
      <c r="E62" s="1" t="str">
        <f ca="1">IFERROR(__xludf.DUMMYFUNCTION("GOOGLETRANSLATE('대전도시공사_청년임대주택 현황_20240630'!E62,""ko"",""en"")"),"23.78")</f>
        <v>23.78</v>
      </c>
      <c r="F62" s="1" t="str">
        <f ca="1">IFERROR(__xludf.DUMMYFUNCTION("GOOGLETRANSLATE('대전도시공사_청년임대주택 현황_20240630'!F62,""ko"",""en"")"),"20")</f>
        <v>20</v>
      </c>
      <c r="G62" s="1" t="str">
        <f ca="1">IFERROR(__xludf.DUMMYFUNCTION("GOOGLETRANSLATE('대전도시공사_청년임대주택 현황_20240630'!G62,""ko"",""en"")"),"3.78")</f>
        <v>3.78</v>
      </c>
      <c r="H62" s="1" t="str">
        <f ca="1">IFERROR(__xludf.DUMMYFUNCTION("GOOGLETRANSLATE('대전도시공사_청년임대주택 현황_20240630'!H62,""ko"",""en"")"),"3rd place for youth rental")</f>
        <v>3rd place for youth rental</v>
      </c>
      <c r="I62" s="1" t="str">
        <f ca="1">IFERROR(__xludf.DUMMYFUNCTION("GOOGLETRANSLATE('대전도시공사_청년임대주택 현황_20240630'!I62,""ko"",""en"")"),"2000000")</f>
        <v>2000000</v>
      </c>
      <c r="J62" s="1" t="str">
        <f ca="1">IFERROR(__xludf.DUMMYFUNCTION("GOOGLETRANSLATE('대전도시공사_청년임대주택 현황_20240630'!J62,""ko"",""en"")"),"191400")</f>
        <v>191400</v>
      </c>
    </row>
    <row r="63" spans="1:10" ht="12.5" x14ac:dyDescent="0.25">
      <c r="A63" s="1" t="str">
        <f ca="1">IFERROR(__xludf.DUMMYFUNCTION("GOOGLETRANSLATE('대전도시공사_청년임대주택 현황_20240630'!A63,""ko"",""en"")"),"52-37, Gajeong-dong (Urban Hills 3, youth rental)")</f>
        <v>52-37, Gajeong-dong (Urban Hills 3, youth rental)</v>
      </c>
      <c r="B63" s="1" t="str">
        <f ca="1">IFERROR(__xludf.DUMMYFUNCTION("GOOGLETRANSLATE('대전도시공사_청년임대주택 현황_20240630'!B63,""ko"",""en"")"),"22")</f>
        <v>22</v>
      </c>
      <c r="C63" s="1" t="str">
        <f ca="1">IFERROR(__xludf.DUMMYFUNCTION("GOOGLETRANSLATE('대전도시공사_청년임대주택 현황_20240630'!C63,""ko"",""en"")"),"1")</f>
        <v>1</v>
      </c>
      <c r="D63" s="1" t="str">
        <f ca="1">IFERROR(__xludf.DUMMYFUNCTION("GOOGLETRANSLATE('대전도시공사_청년임대주택 현황_20240630'!D63,""ko"",""en"")"),"205")</f>
        <v>205</v>
      </c>
      <c r="E63" s="1" t="str">
        <f ca="1">IFERROR(__xludf.DUMMYFUNCTION("GOOGLETRANSLATE('대전도시공사_청년임대주택 현황_20240630'!E63,""ko"",""en"")"),"23.78")</f>
        <v>23.78</v>
      </c>
      <c r="F63" s="1" t="str">
        <f ca="1">IFERROR(__xludf.DUMMYFUNCTION("GOOGLETRANSLATE('대전도시공사_청년임대주택 현황_20240630'!F63,""ko"",""en"")"),"20")</f>
        <v>20</v>
      </c>
      <c r="G63" s="1" t="str">
        <f ca="1">IFERROR(__xludf.DUMMYFUNCTION("GOOGLETRANSLATE('대전도시공사_청년임대주택 현황_20240630'!G63,""ko"",""en"")"),"3.78")</f>
        <v>3.78</v>
      </c>
      <c r="H63" s="1" t="str">
        <f ca="1">IFERROR(__xludf.DUMMYFUNCTION("GOOGLETRANSLATE('대전도시공사_청년임대주택 현황_20240630'!H63,""ko"",""en"")"),"4th place for youth rental")</f>
        <v>4th place for youth rental</v>
      </c>
      <c r="I63" s="1" t="str">
        <f ca="1">IFERROR(__xludf.DUMMYFUNCTION("GOOGLETRANSLATE('대전도시공사_청년임대주택 현황_20240630'!I63,""ko"",""en"")"),"2000000")</f>
        <v>2000000</v>
      </c>
      <c r="J63" s="1" t="str">
        <f ca="1">IFERROR(__xludf.DUMMYFUNCTION("GOOGLETRANSLATE('대전도시공사_청년임대주택 현황_20240630'!J63,""ko"",""en"")"),"191400")</f>
        <v>191400</v>
      </c>
    </row>
    <row r="64" spans="1:10" ht="12.5" x14ac:dyDescent="0.25">
      <c r="A64" s="1" t="str">
        <f ca="1">IFERROR(__xludf.DUMMYFUNCTION("GOOGLETRANSLATE('대전도시공사_청년임대주택 현황_20240630'!A64,""ko"",""en"")"),"52-37, Gajeong-dong (Urban Hills 3, youth rental)")</f>
        <v>52-37, Gajeong-dong (Urban Hills 3, youth rental)</v>
      </c>
      <c r="B64" s="1" t="str">
        <f ca="1">IFERROR(__xludf.DUMMYFUNCTION("GOOGLETRANSLATE('대전도시공사_청년임대주택 현황_20240630'!B64,""ko"",""en"")"),"23")</f>
        <v>23</v>
      </c>
      <c r="C64" s="1" t="str">
        <f ca="1">IFERROR(__xludf.DUMMYFUNCTION("GOOGLETRANSLATE('대전도시공사_청년임대주택 현황_20240630'!C64,""ko"",""en"")"),"1")</f>
        <v>1</v>
      </c>
      <c r="D64" s="1" t="str">
        <f ca="1">IFERROR(__xludf.DUMMYFUNCTION("GOOGLETRANSLATE('대전도시공사_청년임대주택 현황_20240630'!D64,""ko"",""en"")"),"206")</f>
        <v>206</v>
      </c>
      <c r="E64" s="1" t="str">
        <f ca="1">IFERROR(__xludf.DUMMYFUNCTION("GOOGLETRANSLATE('대전도시공사_청년임대주택 현황_20240630'!E64,""ko"",""en"")"),"34.577")</f>
        <v>34.577</v>
      </c>
      <c r="F64" s="1" t="str">
        <f ca="1">IFERROR(__xludf.DUMMYFUNCTION("GOOGLETRANSLATE('대전도시공사_청년임대주택 현황_20240630'!F64,""ko"",""en"")"),"29.08")</f>
        <v>29.08</v>
      </c>
      <c r="G64" s="1" t="str">
        <f ca="1">IFERROR(__xludf.DUMMYFUNCTION("GOOGLETRANSLATE('대전도시공사_청년임대주택 현황_20240630'!G64,""ko"",""en"")"),"5.497")</f>
        <v>5.497</v>
      </c>
      <c r="H64" s="1" t="str">
        <f ca="1">IFERROR(__xludf.DUMMYFUNCTION("GOOGLETRANSLATE('대전도시공사_청년임대주택 현황_20240630'!H64,""ko"",""en"")"),"Beneficiary")</f>
        <v>Beneficiary</v>
      </c>
      <c r="I64" s="1" t="str">
        <f ca="1">IFERROR(__xludf.DUMMYFUNCTION("GOOGLETRANSLATE('대전도시공사_청년임대주택 현황_20240630'!I64,""ko"",""en"")"),"1000000")</f>
        <v>1000000</v>
      </c>
      <c r="J64" s="1" t="str">
        <f ca="1">IFERROR(__xludf.DUMMYFUNCTION("GOOGLETRANSLATE('대전도시공사_청년임대주택 현황_20240630'!J64,""ko"",""en"")"),"175600")</f>
        <v>175600</v>
      </c>
    </row>
    <row r="65" spans="1:10" ht="12.5" x14ac:dyDescent="0.25">
      <c r="A65" s="1" t="str">
        <f ca="1">IFERROR(__xludf.DUMMYFUNCTION("GOOGLETRANSLATE('대전도시공사_청년임대주택 현황_20240630'!A65,""ko"",""en"")"),"52-37, Gajeong-dong (Urban Hills 3, youth rental)")</f>
        <v>52-37, Gajeong-dong (Urban Hills 3, youth rental)</v>
      </c>
      <c r="B65" s="1" t="str">
        <f ca="1">IFERROR(__xludf.DUMMYFUNCTION("GOOGLETRANSLATE('대전도시공사_청년임대주택 현황_20240630'!B65,""ko"",""en"")"),"24")</f>
        <v>24</v>
      </c>
      <c r="C65" s="1" t="str">
        <f ca="1">IFERROR(__xludf.DUMMYFUNCTION("GOOGLETRANSLATE('대전도시공사_청년임대주택 현황_20240630'!C65,""ko"",""en"")"),"1")</f>
        <v>1</v>
      </c>
      <c r="D65" s="1" t="str">
        <f ca="1">IFERROR(__xludf.DUMMYFUNCTION("GOOGLETRANSLATE('대전도시공사_청년임대주택 현황_20240630'!D65,""ko"",""en"")"),"206")</f>
        <v>206</v>
      </c>
      <c r="E65" s="1" t="str">
        <f ca="1">IFERROR(__xludf.DUMMYFUNCTION("GOOGLETRANSLATE('대전도시공사_청년임대주택 현황_20240630'!E65,""ko"",""en"")"),"34.577")</f>
        <v>34.577</v>
      </c>
      <c r="F65" s="1" t="str">
        <f ca="1">IFERROR(__xludf.DUMMYFUNCTION("GOOGLETRANSLATE('대전도시공사_청년임대주택 현황_20240630'!F65,""ko"",""en"")"),"29.08")</f>
        <v>29.08</v>
      </c>
      <c r="G65" s="1" t="str">
        <f ca="1">IFERROR(__xludf.DUMMYFUNCTION("GOOGLETRANSLATE('대전도시공사_청년임대주택 현황_20240630'!G65,""ko"",""en"")"),"5.497")</f>
        <v>5.497</v>
      </c>
      <c r="H65" s="1" t="str">
        <f ca="1">IFERROR(__xludf.DUMMYFUNCTION("GOOGLETRANSLATE('대전도시공사_청년임대주택 현황_20240630'!H65,""ko"",""en"")"),"Youth Rent 1st Place")</f>
        <v>Youth Rent 1st Place</v>
      </c>
      <c r="I65" s="1" t="str">
        <f ca="1">IFERROR(__xludf.DUMMYFUNCTION("GOOGLETRANSLATE('대전도시공사_청년임대주택 현황_20240630'!I65,""ko"",""en"")"),"1000000")</f>
        <v>1000000</v>
      </c>
      <c r="J65" s="1" t="str">
        <f ca="1">IFERROR(__xludf.DUMMYFUNCTION("GOOGLETRANSLATE('대전도시공사_청년임대주택 현황_20240630'!J65,""ko"",""en"")"),"175600")</f>
        <v>175600</v>
      </c>
    </row>
    <row r="66" spans="1:10" ht="12.5" x14ac:dyDescent="0.25">
      <c r="A66" s="1" t="str">
        <f ca="1">IFERROR(__xludf.DUMMYFUNCTION("GOOGLETRANSLATE('대전도시공사_청년임대주택 현황_20240630'!A66,""ko"",""en"")"),"52-37, Gajeong-dong (Urban Hills 3, youth rental)")</f>
        <v>52-37, Gajeong-dong (Urban Hills 3, youth rental)</v>
      </c>
      <c r="B66" s="1" t="str">
        <f ca="1">IFERROR(__xludf.DUMMYFUNCTION("GOOGLETRANSLATE('대전도시공사_청년임대주택 현황_20240630'!B66,""ko"",""en"")"),"25")</f>
        <v>25</v>
      </c>
      <c r="C66" s="1" t="str">
        <f ca="1">IFERROR(__xludf.DUMMYFUNCTION("GOOGLETRANSLATE('대전도시공사_청년임대주택 현황_20240630'!C66,""ko"",""en"")"),"1")</f>
        <v>1</v>
      </c>
      <c r="D66" s="1" t="str">
        <f ca="1">IFERROR(__xludf.DUMMYFUNCTION("GOOGLETRANSLATE('대전도시공사_청년임대주택 현황_20240630'!D66,""ko"",""en"")"),"206")</f>
        <v>206</v>
      </c>
      <c r="E66" s="1" t="str">
        <f ca="1">IFERROR(__xludf.DUMMYFUNCTION("GOOGLETRANSLATE('대전도시공사_청년임대주택 현황_20240630'!E66,""ko"",""en"")"),"34.577")</f>
        <v>34.577</v>
      </c>
      <c r="F66" s="1" t="str">
        <f ca="1">IFERROR(__xludf.DUMMYFUNCTION("GOOGLETRANSLATE('대전도시공사_청년임대주택 현황_20240630'!F66,""ko"",""en"")"),"29.08")</f>
        <v>29.08</v>
      </c>
      <c r="G66" s="1" t="str">
        <f ca="1">IFERROR(__xludf.DUMMYFUNCTION("GOOGLETRANSLATE('대전도시공사_청년임대주택 현황_20240630'!G66,""ko"",""en"")"),"5.497")</f>
        <v>5.497</v>
      </c>
      <c r="H66" s="1" t="str">
        <f ca="1">IFERROR(__xludf.DUMMYFUNCTION("GOOGLETRANSLATE('대전도시공사_청년임대주택 현황_20240630'!H66,""ko"",""en"")"),"Youth Rental 2nd Place")</f>
        <v>Youth Rental 2nd Place</v>
      </c>
      <c r="I66" s="1" t="str">
        <f ca="1">IFERROR(__xludf.DUMMYFUNCTION("GOOGLETRANSLATE('대전도시공사_청년임대주택 현황_20240630'!I66,""ko"",""en"")"),"2000000")</f>
        <v>2000000</v>
      </c>
      <c r="J66" s="1" t="str">
        <f ca="1">IFERROR(__xludf.DUMMYFUNCTION("GOOGLETRANSLATE('대전도시공사_청년임대주택 현황_20240630'!J66,""ko"",""en"")"),"290100")</f>
        <v>290100</v>
      </c>
    </row>
    <row r="67" spans="1:10" ht="12.5" x14ac:dyDescent="0.25">
      <c r="A67" s="1" t="str">
        <f ca="1">IFERROR(__xludf.DUMMYFUNCTION("GOOGLETRANSLATE('대전도시공사_청년임대주택 현황_20240630'!A67,""ko"",""en"")"),"52-37, Gajeong-dong (Urban Hills 3, youth rental)")</f>
        <v>52-37, Gajeong-dong (Urban Hills 3, youth rental)</v>
      </c>
      <c r="B67" s="1" t="str">
        <f ca="1">IFERROR(__xludf.DUMMYFUNCTION("GOOGLETRANSLATE('대전도시공사_청년임대주택 현황_20240630'!B67,""ko"",""en"")"),"26")</f>
        <v>26</v>
      </c>
      <c r="C67" s="1" t="str">
        <f ca="1">IFERROR(__xludf.DUMMYFUNCTION("GOOGLETRANSLATE('대전도시공사_청년임대주택 현황_20240630'!C67,""ko"",""en"")"),"1")</f>
        <v>1</v>
      </c>
      <c r="D67" s="1" t="str">
        <f ca="1">IFERROR(__xludf.DUMMYFUNCTION("GOOGLETRANSLATE('대전도시공사_청년임대주택 현황_20240630'!D67,""ko"",""en"")"),"206")</f>
        <v>206</v>
      </c>
      <c r="E67" s="1" t="str">
        <f ca="1">IFERROR(__xludf.DUMMYFUNCTION("GOOGLETRANSLATE('대전도시공사_청년임대주택 현황_20240630'!E67,""ko"",""en"")"),"34.577")</f>
        <v>34.577</v>
      </c>
      <c r="F67" s="1" t="str">
        <f ca="1">IFERROR(__xludf.DUMMYFUNCTION("GOOGLETRANSLATE('대전도시공사_청년임대주택 현황_20240630'!F67,""ko"",""en"")"),"29.08")</f>
        <v>29.08</v>
      </c>
      <c r="G67" s="1" t="str">
        <f ca="1">IFERROR(__xludf.DUMMYFUNCTION("GOOGLETRANSLATE('대전도시공사_청년임대주택 현황_20240630'!G67,""ko"",""en"")"),"5.497")</f>
        <v>5.497</v>
      </c>
      <c r="H67" s="1" t="str">
        <f ca="1">IFERROR(__xludf.DUMMYFUNCTION("GOOGLETRANSLATE('대전도시공사_청년임대주택 현황_20240630'!H67,""ko"",""en"")"),"3rd place for youth rental")</f>
        <v>3rd place for youth rental</v>
      </c>
      <c r="I67" s="1" t="str">
        <f ca="1">IFERROR(__xludf.DUMMYFUNCTION("GOOGLETRANSLATE('대전도시공사_청년임대주택 현황_20240630'!I67,""ko"",""en"")"),"2000000")</f>
        <v>2000000</v>
      </c>
      <c r="J67" s="1" t="str">
        <f ca="1">IFERROR(__xludf.DUMMYFUNCTION("GOOGLETRANSLATE('대전도시공사_청년임대주택 현황_20240630'!J67,""ko"",""en"")"),"290100")</f>
        <v>290100</v>
      </c>
    </row>
    <row r="68" spans="1:10" ht="12.5" x14ac:dyDescent="0.25">
      <c r="A68" s="1" t="str">
        <f ca="1">IFERROR(__xludf.DUMMYFUNCTION("GOOGLETRANSLATE('대전도시공사_청년임대주택 현황_20240630'!A68,""ko"",""en"")"),"52-37, Gajeong-dong (Urban Hills 3, youth rental)")</f>
        <v>52-37, Gajeong-dong (Urban Hills 3, youth rental)</v>
      </c>
      <c r="B68" s="1" t="str">
        <f ca="1">IFERROR(__xludf.DUMMYFUNCTION("GOOGLETRANSLATE('대전도시공사_청년임대주택 현황_20240630'!B68,""ko"",""en"")"),"27")</f>
        <v>27</v>
      </c>
      <c r="C68" s="1" t="str">
        <f ca="1">IFERROR(__xludf.DUMMYFUNCTION("GOOGLETRANSLATE('대전도시공사_청년임대주택 현황_20240630'!C68,""ko"",""en"")"),"1")</f>
        <v>1</v>
      </c>
      <c r="D68" s="1" t="str">
        <f ca="1">IFERROR(__xludf.DUMMYFUNCTION("GOOGLETRANSLATE('대전도시공사_청년임대주택 현황_20240630'!D68,""ko"",""en"")"),"206")</f>
        <v>206</v>
      </c>
      <c r="E68" s="1" t="str">
        <f ca="1">IFERROR(__xludf.DUMMYFUNCTION("GOOGLETRANSLATE('대전도시공사_청년임대주택 현황_20240630'!E68,""ko"",""en"")"),"34.577")</f>
        <v>34.577</v>
      </c>
      <c r="F68" s="1" t="str">
        <f ca="1">IFERROR(__xludf.DUMMYFUNCTION("GOOGLETRANSLATE('대전도시공사_청년임대주택 현황_20240630'!F68,""ko"",""en"")"),"29.08")</f>
        <v>29.08</v>
      </c>
      <c r="G68" s="1" t="str">
        <f ca="1">IFERROR(__xludf.DUMMYFUNCTION("GOOGLETRANSLATE('대전도시공사_청년임대주택 현황_20240630'!G68,""ko"",""en"")"),"5.497")</f>
        <v>5.497</v>
      </c>
      <c r="H68" s="1" t="str">
        <f ca="1">IFERROR(__xludf.DUMMYFUNCTION("GOOGLETRANSLATE('대전도시공사_청년임대주택 현황_20240630'!H68,""ko"",""en"")"),"4th place for youth rental")</f>
        <v>4th place for youth rental</v>
      </c>
      <c r="I68" s="1" t="str">
        <f ca="1">IFERROR(__xludf.DUMMYFUNCTION("GOOGLETRANSLATE('대전도시공사_청년임대주택 현황_20240630'!I68,""ko"",""en"")"),"2000000")</f>
        <v>2000000</v>
      </c>
      <c r="J68" s="1" t="str">
        <f ca="1">IFERROR(__xludf.DUMMYFUNCTION("GOOGLETRANSLATE('대전도시공사_청년임대주택 현황_20240630'!J68,""ko"",""en"")"),"290100")</f>
        <v>290100</v>
      </c>
    </row>
    <row r="69" spans="1:10" ht="12.5" x14ac:dyDescent="0.25">
      <c r="A69" s="1" t="str">
        <f ca="1">IFERROR(__xludf.DUMMYFUNCTION("GOOGLETRANSLATE('대전도시공사_청년임대주택 현황_20240630'!A69,""ko"",""en"")"),"52-37, Gajeong-dong (Urban Hills 3, youth rental)")</f>
        <v>52-37, Gajeong-dong (Urban Hills 3, youth rental)</v>
      </c>
      <c r="B69" s="1" t="str">
        <f ca="1">IFERROR(__xludf.DUMMYFUNCTION("GOOGLETRANSLATE('대전도시공사_청년임대주택 현황_20240630'!B69,""ko"",""en"")"),"28")</f>
        <v>28</v>
      </c>
      <c r="C69" s="1" t="str">
        <f ca="1">IFERROR(__xludf.DUMMYFUNCTION("GOOGLETRANSLATE('대전도시공사_청년임대주택 현황_20240630'!C69,""ko"",""en"")"),"1")</f>
        <v>1</v>
      </c>
      <c r="D69" s="1" t="str">
        <f ca="1">IFERROR(__xludf.DUMMYFUNCTION("GOOGLETRANSLATE('대전도시공사_청년임대주택 현황_20240630'!D69,""ko"",""en"")"),"207")</f>
        <v>207</v>
      </c>
      <c r="E69" s="1" t="str">
        <f ca="1">IFERROR(__xludf.DUMMYFUNCTION("GOOGLETRANSLATE('대전도시공사_청년임대주택 현황_20240630'!E69,""ko"",""en"")"),"30.819")</f>
        <v>30.819</v>
      </c>
      <c r="F69" s="1" t="str">
        <f ca="1">IFERROR(__xludf.DUMMYFUNCTION("GOOGLETRANSLATE('대전도시공사_청년임대주택 현황_20240630'!F69,""ko"",""en"")"),"25.92")</f>
        <v>25.92</v>
      </c>
      <c r="G69" s="1" t="str">
        <f ca="1">IFERROR(__xludf.DUMMYFUNCTION("GOOGLETRANSLATE('대전도시공사_청년임대주택 현황_20240630'!G69,""ko"",""en"")"),"4.899")</f>
        <v>4.899</v>
      </c>
      <c r="H69" s="1" t="str">
        <f ca="1">IFERROR(__xludf.DUMMYFUNCTION("GOOGLETRANSLATE('대전도시공사_청년임대주택 현황_20240630'!H69,""ko"",""en"")"),"Youth Rent 1st Place")</f>
        <v>Youth Rent 1st Place</v>
      </c>
      <c r="I69" s="1" t="str">
        <f ca="1">IFERROR(__xludf.DUMMYFUNCTION("GOOGLETRANSLATE('대전도시공사_청년임대주택 현황_20240630'!I69,""ko"",""en"")"),"1000000")</f>
        <v>1000000</v>
      </c>
      <c r="J69" s="1" t="str">
        <f ca="1">IFERROR(__xludf.DUMMYFUNCTION("GOOGLETRANSLATE('대전도시공사_청년임대주택 현황_20240630'!J69,""ko"",""en"")"),"155800")</f>
        <v>155800</v>
      </c>
    </row>
    <row r="70" spans="1:10" ht="12.5" x14ac:dyDescent="0.25">
      <c r="A70" s="1" t="str">
        <f ca="1">IFERROR(__xludf.DUMMYFUNCTION("GOOGLETRANSLATE('대전도시공사_청년임대주택 현황_20240630'!A70,""ko"",""en"")"),"52-37, Gajeong-dong (Urban Hills 3, youth rental)")</f>
        <v>52-37, Gajeong-dong (Urban Hills 3, youth rental)</v>
      </c>
      <c r="B70" s="1" t="str">
        <f ca="1">IFERROR(__xludf.DUMMYFUNCTION("GOOGLETRANSLATE('대전도시공사_청년임대주택 현황_20240630'!B70,""ko"",""en"")"),"29")</f>
        <v>29</v>
      </c>
      <c r="C70" s="1" t="str">
        <f ca="1">IFERROR(__xludf.DUMMYFUNCTION("GOOGLETRANSLATE('대전도시공사_청년임대주택 현황_20240630'!C70,""ko"",""en"")"),"1")</f>
        <v>1</v>
      </c>
      <c r="D70" s="1" t="str">
        <f ca="1">IFERROR(__xludf.DUMMYFUNCTION("GOOGLETRANSLATE('대전도시공사_청년임대주택 현황_20240630'!D70,""ko"",""en"")"),"207")</f>
        <v>207</v>
      </c>
      <c r="E70" s="1" t="str">
        <f ca="1">IFERROR(__xludf.DUMMYFUNCTION("GOOGLETRANSLATE('대전도시공사_청년임대주택 현황_20240630'!E70,""ko"",""en"")"),"30.819")</f>
        <v>30.819</v>
      </c>
      <c r="F70" s="1" t="str">
        <f ca="1">IFERROR(__xludf.DUMMYFUNCTION("GOOGLETRANSLATE('대전도시공사_청년임대주택 현황_20240630'!F70,""ko"",""en"")"),"25.92")</f>
        <v>25.92</v>
      </c>
      <c r="G70" s="1" t="str">
        <f ca="1">IFERROR(__xludf.DUMMYFUNCTION("GOOGLETRANSLATE('대전도시공사_청년임대주택 현황_20240630'!G70,""ko"",""en"")"),"4.899")</f>
        <v>4.899</v>
      </c>
      <c r="H70" s="1" t="str">
        <f ca="1">IFERROR(__xludf.DUMMYFUNCTION("GOOGLETRANSLATE('대전도시공사_청년임대주택 현황_20240630'!H70,""ko"",""en"")"),"Youth Rental 2nd Place")</f>
        <v>Youth Rental 2nd Place</v>
      </c>
      <c r="I70" s="1" t="str">
        <f ca="1">IFERROR(__xludf.DUMMYFUNCTION("GOOGLETRANSLATE('대전도시공사_청년임대주택 현황_20240630'!I70,""ko"",""en"")"),"2000000")</f>
        <v>2000000</v>
      </c>
      <c r="J70" s="1" t="str">
        <f ca="1">IFERROR(__xludf.DUMMYFUNCTION("GOOGLETRANSLATE('대전도시공사_청년임대주택 현황_20240630'!J70,""ko"",""en"")"),"257200")</f>
        <v>257200</v>
      </c>
    </row>
    <row r="71" spans="1:10" ht="12.5" x14ac:dyDescent="0.25">
      <c r="A71" s="1" t="str">
        <f ca="1">IFERROR(__xludf.DUMMYFUNCTION("GOOGLETRANSLATE('대전도시공사_청년임대주택 현황_20240630'!A71,""ko"",""en"")"),"52-37, Gajeong-dong (Urban Hills 3, youth rental)")</f>
        <v>52-37, Gajeong-dong (Urban Hills 3, youth rental)</v>
      </c>
      <c r="B71" s="1" t="str">
        <f ca="1">IFERROR(__xludf.DUMMYFUNCTION("GOOGLETRANSLATE('대전도시공사_청년임대주택 현황_20240630'!B71,""ko"",""en"")"),"30")</f>
        <v>30</v>
      </c>
      <c r="C71" s="1" t="str">
        <f ca="1">IFERROR(__xludf.DUMMYFUNCTION("GOOGLETRANSLATE('대전도시공사_청년임대주택 현황_20240630'!C71,""ko"",""en"")"),"1")</f>
        <v>1</v>
      </c>
      <c r="D71" s="1" t="str">
        <f ca="1">IFERROR(__xludf.DUMMYFUNCTION("GOOGLETRANSLATE('대전도시공사_청년임대주택 현황_20240630'!D71,""ko"",""en"")"),"207")</f>
        <v>207</v>
      </c>
      <c r="E71" s="1" t="str">
        <f ca="1">IFERROR(__xludf.DUMMYFUNCTION("GOOGLETRANSLATE('대전도시공사_청년임대주택 현황_20240630'!E71,""ko"",""en"")"),"30.819")</f>
        <v>30.819</v>
      </c>
      <c r="F71" s="1" t="str">
        <f ca="1">IFERROR(__xludf.DUMMYFUNCTION("GOOGLETRANSLATE('대전도시공사_청년임대주택 현황_20240630'!F71,""ko"",""en"")"),"25.92")</f>
        <v>25.92</v>
      </c>
      <c r="G71" s="1" t="str">
        <f ca="1">IFERROR(__xludf.DUMMYFUNCTION("GOOGLETRANSLATE('대전도시공사_청년임대주택 현황_20240630'!G71,""ko"",""en"")"),"4.899")</f>
        <v>4.899</v>
      </c>
      <c r="H71" s="1" t="str">
        <f ca="1">IFERROR(__xludf.DUMMYFUNCTION("GOOGLETRANSLATE('대전도시공사_청년임대주택 현황_20240630'!H71,""ko"",""en"")"),"3rd place for youth rental")</f>
        <v>3rd place for youth rental</v>
      </c>
      <c r="I71" s="1" t="str">
        <f ca="1">IFERROR(__xludf.DUMMYFUNCTION("GOOGLETRANSLATE('대전도시공사_청년임대주택 현황_20240630'!I71,""ko"",""en"")"),"2000000")</f>
        <v>2000000</v>
      </c>
      <c r="J71" s="1" t="str">
        <f ca="1">IFERROR(__xludf.DUMMYFUNCTION("GOOGLETRANSLATE('대전도시공사_청년임대주택 현황_20240630'!J71,""ko"",""en"")"),"257200")</f>
        <v>257200</v>
      </c>
    </row>
    <row r="72" spans="1:10" ht="12.5" x14ac:dyDescent="0.25">
      <c r="A72" s="1" t="str">
        <f ca="1">IFERROR(__xludf.DUMMYFUNCTION("GOOGLETRANSLATE('대전도시공사_청년임대주택 현황_20240630'!A72,""ko"",""en"")"),"52-37, Gajeong-dong (Urban Hills 3, youth rental)")</f>
        <v>52-37, Gajeong-dong (Urban Hills 3, youth rental)</v>
      </c>
      <c r="B72" s="1" t="str">
        <f ca="1">IFERROR(__xludf.DUMMYFUNCTION("GOOGLETRANSLATE('대전도시공사_청년임대주택 현황_20240630'!B72,""ko"",""en"")"),"31")</f>
        <v>31</v>
      </c>
      <c r="C72" s="1" t="str">
        <f ca="1">IFERROR(__xludf.DUMMYFUNCTION("GOOGLETRANSLATE('대전도시공사_청년임대주택 현황_20240630'!C72,""ko"",""en"")"),"1")</f>
        <v>1</v>
      </c>
      <c r="D72" s="1" t="str">
        <f ca="1">IFERROR(__xludf.DUMMYFUNCTION("GOOGLETRANSLATE('대전도시공사_청년임대주택 현황_20240630'!D72,""ko"",""en"")"),"207")</f>
        <v>207</v>
      </c>
      <c r="E72" s="1" t="str">
        <f ca="1">IFERROR(__xludf.DUMMYFUNCTION("GOOGLETRANSLATE('대전도시공사_청년임대주택 현황_20240630'!E72,""ko"",""en"")"),"30.819")</f>
        <v>30.819</v>
      </c>
      <c r="F72" s="1" t="str">
        <f ca="1">IFERROR(__xludf.DUMMYFUNCTION("GOOGLETRANSLATE('대전도시공사_청년임대주택 현황_20240630'!F72,""ko"",""en"")"),"25.92")</f>
        <v>25.92</v>
      </c>
      <c r="G72" s="1" t="str">
        <f ca="1">IFERROR(__xludf.DUMMYFUNCTION("GOOGLETRANSLATE('대전도시공사_청년임대주택 현황_20240630'!G72,""ko"",""en"")"),"4.899")</f>
        <v>4.899</v>
      </c>
      <c r="H72" s="1" t="str">
        <f ca="1">IFERROR(__xludf.DUMMYFUNCTION("GOOGLETRANSLATE('대전도시공사_청년임대주택 현황_20240630'!H72,""ko"",""en"")"),"4th place for youth rental")</f>
        <v>4th place for youth rental</v>
      </c>
      <c r="I72" s="1" t="str">
        <f ca="1">IFERROR(__xludf.DUMMYFUNCTION("GOOGLETRANSLATE('대전도시공사_청년임대주택 현황_20240630'!I72,""ko"",""en"")"),"2000000")</f>
        <v>2000000</v>
      </c>
      <c r="J72" s="1" t="str">
        <f ca="1">IFERROR(__xludf.DUMMYFUNCTION("GOOGLETRANSLATE('대전도시공사_청년임대주택 현황_20240630'!J72,""ko"",""en"")"),"257200")</f>
        <v>257200</v>
      </c>
    </row>
    <row r="73" spans="1:10" ht="12.5" x14ac:dyDescent="0.25">
      <c r="A73" s="1" t="str">
        <f ca="1">IFERROR(__xludf.DUMMYFUNCTION("GOOGLETRANSLATE('대전도시공사_청년임대주택 현황_20240630'!A73,""ko"",""en"")"),"52-37, Gajeong-dong (Urban Hills 3, youth rental)")</f>
        <v>52-37, Gajeong-dong (Urban Hills 3, youth rental)</v>
      </c>
      <c r="B73" s="1" t="str">
        <f ca="1">IFERROR(__xludf.DUMMYFUNCTION("GOOGLETRANSLATE('대전도시공사_청년임대주택 현황_20240630'!B73,""ko"",""en"")"),"32")</f>
        <v>32</v>
      </c>
      <c r="C73" s="1" t="str">
        <f ca="1">IFERROR(__xludf.DUMMYFUNCTION("GOOGLETRANSLATE('대전도시공사_청년임대주택 현황_20240630'!C73,""ko"",""en"")"),"1")</f>
        <v>1</v>
      </c>
      <c r="D73" s="1" t="str">
        <f ca="1">IFERROR(__xludf.DUMMYFUNCTION("GOOGLETRANSLATE('대전도시공사_청년임대주택 현황_20240630'!D73,""ko"",""en"")"),"301")</f>
        <v>301</v>
      </c>
      <c r="E73" s="1" t="str">
        <f ca="1">IFERROR(__xludf.DUMMYFUNCTION("GOOGLETRANSLATE('대전도시공사_청년임대주택 현황_20240630'!E73,""ko"",""en"")"),"35.326")</f>
        <v>35.326</v>
      </c>
      <c r="F73" s="1" t="str">
        <f ca="1">IFERROR(__xludf.DUMMYFUNCTION("GOOGLETRANSLATE('대전도시공사_청년임대주택 현황_20240630'!F73,""ko"",""en"")"),"29.71")</f>
        <v>29.71</v>
      </c>
      <c r="G73" s="1" t="str">
        <f ca="1">IFERROR(__xludf.DUMMYFUNCTION("GOOGLETRANSLATE('대전도시공사_청년임대주택 현황_20240630'!G73,""ko"",""en"")"),"5.616")</f>
        <v>5.616</v>
      </c>
      <c r="H73" s="1" t="str">
        <f ca="1">IFERROR(__xludf.DUMMYFUNCTION("GOOGLETRANSLATE('대전도시공사_청년임대주택 현황_20240630'!H73,""ko"",""en"")"),"Newlyweds 1 (30% of the total price)")</f>
        <v>Newlyweds 1 (30% of the total price)</v>
      </c>
      <c r="I73" s="1" t="str">
        <f ca="1">IFERROR(__xludf.DUMMYFUNCTION("GOOGLETRANSLATE('대전도시공사_청년임대주택 현황_20240630'!I73,""ko"",""en"")"),"4936000")</f>
        <v>4936000</v>
      </c>
      <c r="J73" s="1" t="str">
        <f ca="1">IFERROR(__xludf.DUMMYFUNCTION("GOOGLETRANSLATE('대전도시공사_청년임대주택 현황_20240630'!J73,""ko"",""en"")"),"166000")</f>
        <v>166000</v>
      </c>
    </row>
    <row r="74" spans="1:10" ht="12.5" x14ac:dyDescent="0.25">
      <c r="A74" s="1" t="str">
        <f ca="1">IFERROR(__xludf.DUMMYFUNCTION("GOOGLETRANSLATE('대전도시공사_청년임대주택 현황_20240630'!A74,""ko"",""en"")"),"52-37, Gajeong-dong (Urban Hills 3, youth rental)")</f>
        <v>52-37, Gajeong-dong (Urban Hills 3, youth rental)</v>
      </c>
      <c r="B74" s="1" t="str">
        <f ca="1">IFERROR(__xludf.DUMMYFUNCTION("GOOGLETRANSLATE('대전도시공사_청년임대주택 현황_20240630'!B74,""ko"",""en"")"),"33")</f>
        <v>33</v>
      </c>
      <c r="C74" s="1" t="str">
        <f ca="1">IFERROR(__xludf.DUMMYFUNCTION("GOOGLETRANSLATE('대전도시공사_청년임대주택 현황_20240630'!C74,""ko"",""en"")"),"1")</f>
        <v>1</v>
      </c>
      <c r="D74" s="1" t="str">
        <f ca="1">IFERROR(__xludf.DUMMYFUNCTION("GOOGLETRANSLATE('대전도시공사_청년임대주택 현황_20240630'!D74,""ko"",""en"")"),"301")</f>
        <v>301</v>
      </c>
      <c r="E74" s="1" t="str">
        <f ca="1">IFERROR(__xludf.DUMMYFUNCTION("GOOGLETRANSLATE('대전도시공사_청년임대주택 현황_20240630'!E74,""ko"",""en"")"),"35.326")</f>
        <v>35.326</v>
      </c>
      <c r="F74" s="1" t="str">
        <f ca="1">IFERROR(__xludf.DUMMYFUNCTION("GOOGLETRANSLATE('대전도시공사_청년임대주택 현황_20240630'!F74,""ko"",""en"")"),"29.71")</f>
        <v>29.71</v>
      </c>
      <c r="G74" s="1" t="str">
        <f ca="1">IFERROR(__xludf.DUMMYFUNCTION("GOOGLETRANSLATE('대전도시공사_청년임대주택 현황_20240630'!G74,""ko"",""en"")"),"5.616")</f>
        <v>5.616</v>
      </c>
      <c r="H74" s="1" t="str">
        <f ca="1">IFERROR(__xludf.DUMMYFUNCTION("GOOGLETRANSLATE('대전도시공사_청년임대주택 현황_20240630'!H74,""ko"",""en"")"),"Newlyweds 1 (40% of the total price)")</f>
        <v>Newlyweds 1 (40% of the total price)</v>
      </c>
      <c r="I74" s="1" t="str">
        <f ca="1">IFERROR(__xludf.DUMMYFUNCTION("GOOGLETRANSLATE('대전도시공사_청년임대주택 현황_20240630'!I74,""ko"",""en"")"),"4936000")</f>
        <v>4936000</v>
      </c>
      <c r="J74" s="1" t="str">
        <f ca="1">IFERROR(__xludf.DUMMYFUNCTION("GOOGLETRANSLATE('대전도시공사_청년임대주택 현황_20240630'!J74,""ko"",""en"")"),"231300")</f>
        <v>231300</v>
      </c>
    </row>
    <row r="75" spans="1:10" ht="12.5" x14ac:dyDescent="0.25">
      <c r="A75" s="1" t="str">
        <f ca="1">IFERROR(__xludf.DUMMYFUNCTION("GOOGLETRANSLATE('대전도시공사_청년임대주택 현황_20240630'!A75,""ko"",""en"")"),"52-37, Gajeong-dong (Urban Hills 3, youth rental)")</f>
        <v>52-37, Gajeong-dong (Urban Hills 3, youth rental)</v>
      </c>
      <c r="B75" s="1" t="str">
        <f ca="1">IFERROR(__xludf.DUMMYFUNCTION("GOOGLETRANSLATE('대전도시공사_청년임대주택 현황_20240630'!B75,""ko"",""en"")"),"34")</f>
        <v>34</v>
      </c>
      <c r="C75" s="1" t="str">
        <f ca="1">IFERROR(__xludf.DUMMYFUNCTION("GOOGLETRANSLATE('대전도시공사_청년임대주택 현황_20240630'!C75,""ko"",""en"")"),"1")</f>
        <v>1</v>
      </c>
      <c r="D75" s="1" t="str">
        <f ca="1">IFERROR(__xludf.DUMMYFUNCTION("GOOGLETRANSLATE('대전도시공사_청년임대주택 현황_20240630'!D75,""ko"",""en"")"),"301")</f>
        <v>301</v>
      </c>
      <c r="E75" s="1" t="str">
        <f ca="1">IFERROR(__xludf.DUMMYFUNCTION("GOOGLETRANSLATE('대전도시공사_청년임대주택 현황_20240630'!E75,""ko"",""en"")"),"35.326")</f>
        <v>35.326</v>
      </c>
      <c r="F75" s="1" t="str">
        <f ca="1">IFERROR(__xludf.DUMMYFUNCTION("GOOGLETRANSLATE('대전도시공사_청년임대주택 현황_20240630'!F75,""ko"",""en"")"),"29.71")</f>
        <v>29.71</v>
      </c>
      <c r="G75" s="1" t="str">
        <f ca="1">IFERROR(__xludf.DUMMYFUNCTION("GOOGLETRANSLATE('대전도시공사_청년임대주택 현황_20240630'!G75,""ko"",""en"")"),"5.616")</f>
        <v>5.616</v>
      </c>
      <c r="H75" s="1" t="str">
        <f ca="1">IFERROR(__xludf.DUMMYFUNCTION("GOOGLETRANSLATE('대전도시공사_청년임대주택 현황_20240630'!H75,""ko"",""en"")"),"Newlyweds 2 (70% of the total price)")</f>
        <v>Newlyweds 2 (70% of the total price)</v>
      </c>
      <c r="I75" s="1" t="str">
        <f ca="1">IFERROR(__xludf.DUMMYFUNCTION("GOOGLETRANSLATE('대전도시공사_청년임대주택 현황_20240630'!I75,""ko"",""en"")"),"4936000")</f>
        <v>4936000</v>
      </c>
      <c r="J75" s="1" t="str">
        <f ca="1">IFERROR(__xludf.DUMMYFUNCTION("GOOGLETRANSLATE('대전도시공사_청년임대주택 현황_20240630'!J75,""ko"",""en"")"),"427200")</f>
        <v>427200</v>
      </c>
    </row>
    <row r="76" spans="1:10" ht="12.5" x14ac:dyDescent="0.25">
      <c r="A76" s="1" t="str">
        <f ca="1">IFERROR(__xludf.DUMMYFUNCTION("GOOGLETRANSLATE('대전도시공사_청년임대주택 현황_20240630'!A76,""ko"",""en"")"),"52-37, Gajeong-dong (Urban Hills 3, youth rental)")</f>
        <v>52-37, Gajeong-dong (Urban Hills 3, youth rental)</v>
      </c>
      <c r="B76" s="1" t="str">
        <f ca="1">IFERROR(__xludf.DUMMYFUNCTION("GOOGLETRANSLATE('대전도시공사_청년임대주택 현황_20240630'!B76,""ko"",""en"")"),"35")</f>
        <v>35</v>
      </c>
      <c r="C76" s="1" t="str">
        <f ca="1">IFERROR(__xludf.DUMMYFUNCTION("GOOGLETRANSLATE('대전도시공사_청년임대주택 현황_20240630'!C76,""ko"",""en"")"),"1")</f>
        <v>1</v>
      </c>
      <c r="D76" s="1" t="str">
        <f ca="1">IFERROR(__xludf.DUMMYFUNCTION("GOOGLETRANSLATE('대전도시공사_청년임대주택 현황_20240630'!D76,""ko"",""en"")"),"301")</f>
        <v>301</v>
      </c>
      <c r="E76" s="1" t="str">
        <f ca="1">IFERROR(__xludf.DUMMYFUNCTION("GOOGLETRANSLATE('대전도시공사_청년임대주택 현황_20240630'!E76,""ko"",""en"")"),"35.326")</f>
        <v>35.326</v>
      </c>
      <c r="F76" s="1" t="str">
        <f ca="1">IFERROR(__xludf.DUMMYFUNCTION("GOOGLETRANSLATE('대전도시공사_청년임대주택 현황_20240630'!F76,""ko"",""en"")"),"29.71")</f>
        <v>29.71</v>
      </c>
      <c r="G76" s="1" t="str">
        <f ca="1">IFERROR(__xludf.DUMMYFUNCTION("GOOGLETRANSLATE('대전도시공사_청년임대주택 현황_20240630'!G76,""ko"",""en"")"),"5.616")</f>
        <v>5.616</v>
      </c>
      <c r="H76" s="1" t="str">
        <f ca="1">IFERROR(__xludf.DUMMYFUNCTION("GOOGLETRANSLATE('대전도시공사_청년임대주택 현황_20240630'!H76,""ko"",""en"")"),"Newlyweds 2 (80% of the total price)")</f>
        <v>Newlyweds 2 (80% of the total price)</v>
      </c>
      <c r="I76" s="1" t="str">
        <f ca="1">IFERROR(__xludf.DUMMYFUNCTION("GOOGLETRANSLATE('대전도시공사_청년임대주택 현황_20240630'!I76,""ko"",""en"")"),"4936000")</f>
        <v>4936000</v>
      </c>
      <c r="J76" s="1" t="str">
        <f ca="1">IFERROR(__xludf.DUMMYFUNCTION("GOOGLETRANSLATE('대전도시공사_청년임대주택 현황_20240630'!J76,""ko"",""en"")"),"492500")</f>
        <v>492500</v>
      </c>
    </row>
    <row r="77" spans="1:10" ht="12.5" x14ac:dyDescent="0.25">
      <c r="A77" s="1" t="str">
        <f ca="1">IFERROR(__xludf.DUMMYFUNCTION("GOOGLETRANSLATE('대전도시공사_청년임대주택 현황_20240630'!A77,""ko"",""en"")"),"52-37, Gajeong-dong (Urban Hills 3, youth rental)")</f>
        <v>52-37, Gajeong-dong (Urban Hills 3, youth rental)</v>
      </c>
      <c r="B77" s="1" t="str">
        <f ca="1">IFERROR(__xludf.DUMMYFUNCTION("GOOGLETRANSLATE('대전도시공사_청년임대주택 현황_20240630'!B77,""ko"",""en"")"),"36")</f>
        <v>36</v>
      </c>
      <c r="C77" s="1" t="str">
        <f ca="1">IFERROR(__xludf.DUMMYFUNCTION("GOOGLETRANSLATE('대전도시공사_청년임대주택 현황_20240630'!C77,""ko"",""en"")"),"1")</f>
        <v>1</v>
      </c>
      <c r="D77" s="1" t="str">
        <f ca="1">IFERROR(__xludf.DUMMYFUNCTION("GOOGLETRANSLATE('대전도시공사_청년임대주택 현황_20240630'!D77,""ko"",""en"")"),"302")</f>
        <v>302</v>
      </c>
      <c r="E77" s="1" t="str">
        <f ca="1">IFERROR(__xludf.DUMMYFUNCTION("GOOGLETRANSLATE('대전도시공사_청년임대주택 현황_20240630'!E77,""ko"",""en"")"),"34.577")</f>
        <v>34.577</v>
      </c>
      <c r="F77" s="1" t="str">
        <f ca="1">IFERROR(__xludf.DUMMYFUNCTION("GOOGLETRANSLATE('대전도시공사_청년임대주택 현황_20240630'!F77,""ko"",""en"")"),"29.08")</f>
        <v>29.08</v>
      </c>
      <c r="G77" s="1" t="str">
        <f ca="1">IFERROR(__xludf.DUMMYFUNCTION("GOOGLETRANSLATE('대전도시공사_청년임대주택 현황_20240630'!G77,""ko"",""en"")"),"5.497")</f>
        <v>5.497</v>
      </c>
      <c r="H77" s="1" t="str">
        <f ca="1">IFERROR(__xludf.DUMMYFUNCTION("GOOGLETRANSLATE('대전도시공사_청년임대주택 현황_20240630'!H77,""ko"",""en"")"),"Beneficiary")</f>
        <v>Beneficiary</v>
      </c>
      <c r="I77" s="1" t="str">
        <f ca="1">IFERROR(__xludf.DUMMYFUNCTION("GOOGLETRANSLATE('대전도시공사_청년임대주택 현황_20240630'!I77,""ko"",""en"")"),"1000000")</f>
        <v>1000000</v>
      </c>
      <c r="J77" s="1" t="str">
        <f ca="1">IFERROR(__xludf.DUMMYFUNCTION("GOOGLETRANSLATE('대전도시공사_청년임대주택 현황_20240630'!J77,""ko"",""en"")"),"175600")</f>
        <v>175600</v>
      </c>
    </row>
    <row r="78" spans="1:10" ht="12.5" x14ac:dyDescent="0.25">
      <c r="A78" s="1" t="str">
        <f ca="1">IFERROR(__xludf.DUMMYFUNCTION("GOOGLETRANSLATE('대전도시공사_청년임대주택 현황_20240630'!A78,""ko"",""en"")"),"52-37, Gajeong-dong (Urban Hills 3, youth rental)")</f>
        <v>52-37, Gajeong-dong (Urban Hills 3, youth rental)</v>
      </c>
      <c r="B78" s="1" t="str">
        <f ca="1">IFERROR(__xludf.DUMMYFUNCTION("GOOGLETRANSLATE('대전도시공사_청년임대주택 현황_20240630'!B78,""ko"",""en"")"),"37")</f>
        <v>37</v>
      </c>
      <c r="C78" s="1" t="str">
        <f ca="1">IFERROR(__xludf.DUMMYFUNCTION("GOOGLETRANSLATE('대전도시공사_청년임대주택 현황_20240630'!C78,""ko"",""en"")"),"1")</f>
        <v>1</v>
      </c>
      <c r="D78" s="1" t="str">
        <f ca="1">IFERROR(__xludf.DUMMYFUNCTION("GOOGLETRANSLATE('대전도시공사_청년임대주택 현황_20240630'!D78,""ko"",""en"")"),"302")</f>
        <v>302</v>
      </c>
      <c r="E78" s="1" t="str">
        <f ca="1">IFERROR(__xludf.DUMMYFUNCTION("GOOGLETRANSLATE('대전도시공사_청년임대주택 현황_20240630'!E78,""ko"",""en"")"),"34.577")</f>
        <v>34.577</v>
      </c>
      <c r="F78" s="1" t="str">
        <f ca="1">IFERROR(__xludf.DUMMYFUNCTION("GOOGLETRANSLATE('대전도시공사_청년임대주택 현황_20240630'!F78,""ko"",""en"")"),"29.08")</f>
        <v>29.08</v>
      </c>
      <c r="G78" s="1" t="str">
        <f ca="1">IFERROR(__xludf.DUMMYFUNCTION("GOOGLETRANSLATE('대전도시공사_청년임대주택 현황_20240630'!G78,""ko"",""en"")"),"5.497")</f>
        <v>5.497</v>
      </c>
      <c r="H78" s="1" t="str">
        <f ca="1">IFERROR(__xludf.DUMMYFUNCTION("GOOGLETRANSLATE('대전도시공사_청년임대주택 현황_20240630'!H78,""ko"",""en"")"),"Youth Rent 1st Place")</f>
        <v>Youth Rent 1st Place</v>
      </c>
      <c r="I78" s="1" t="str">
        <f ca="1">IFERROR(__xludf.DUMMYFUNCTION("GOOGLETRANSLATE('대전도시공사_청년임대주택 현황_20240630'!I78,""ko"",""en"")"),"1000000")</f>
        <v>1000000</v>
      </c>
      <c r="J78" s="1" t="str">
        <f ca="1">IFERROR(__xludf.DUMMYFUNCTION("GOOGLETRANSLATE('대전도시공사_청년임대주택 현황_20240630'!J78,""ko"",""en"")"),"175600")</f>
        <v>175600</v>
      </c>
    </row>
    <row r="79" spans="1:10" ht="12.5" x14ac:dyDescent="0.25">
      <c r="A79" s="1" t="str">
        <f ca="1">IFERROR(__xludf.DUMMYFUNCTION("GOOGLETRANSLATE('대전도시공사_청년임대주택 현황_20240630'!A79,""ko"",""en"")"),"52-37, Gajeong-dong (Urban Hills 3, youth rental)")</f>
        <v>52-37, Gajeong-dong (Urban Hills 3, youth rental)</v>
      </c>
      <c r="B79" s="1" t="str">
        <f ca="1">IFERROR(__xludf.DUMMYFUNCTION("GOOGLETRANSLATE('대전도시공사_청년임대주택 현황_20240630'!B79,""ko"",""en"")"),"38")</f>
        <v>38</v>
      </c>
      <c r="C79" s="1" t="str">
        <f ca="1">IFERROR(__xludf.DUMMYFUNCTION("GOOGLETRANSLATE('대전도시공사_청년임대주택 현황_20240630'!C79,""ko"",""en"")"),"1")</f>
        <v>1</v>
      </c>
      <c r="D79" s="1" t="str">
        <f ca="1">IFERROR(__xludf.DUMMYFUNCTION("GOOGLETRANSLATE('대전도시공사_청년임대주택 현황_20240630'!D79,""ko"",""en"")"),"302")</f>
        <v>302</v>
      </c>
      <c r="E79" s="1" t="str">
        <f ca="1">IFERROR(__xludf.DUMMYFUNCTION("GOOGLETRANSLATE('대전도시공사_청년임대주택 현황_20240630'!E79,""ko"",""en"")"),"34.577")</f>
        <v>34.577</v>
      </c>
      <c r="F79" s="1" t="str">
        <f ca="1">IFERROR(__xludf.DUMMYFUNCTION("GOOGLETRANSLATE('대전도시공사_청년임대주택 현황_20240630'!F79,""ko"",""en"")"),"29.08")</f>
        <v>29.08</v>
      </c>
      <c r="G79" s="1" t="str">
        <f ca="1">IFERROR(__xludf.DUMMYFUNCTION("GOOGLETRANSLATE('대전도시공사_청년임대주택 현황_20240630'!G79,""ko"",""en"")"),"5.497")</f>
        <v>5.497</v>
      </c>
      <c r="H79" s="1" t="str">
        <f ca="1">IFERROR(__xludf.DUMMYFUNCTION("GOOGLETRANSLATE('대전도시공사_청년임대주택 현황_20240630'!H79,""ko"",""en"")"),"Youth Rental 2nd Place")</f>
        <v>Youth Rental 2nd Place</v>
      </c>
      <c r="I79" s="1" t="str">
        <f ca="1">IFERROR(__xludf.DUMMYFUNCTION("GOOGLETRANSLATE('대전도시공사_청년임대주택 현황_20240630'!I79,""ko"",""en"")"),"2000000")</f>
        <v>2000000</v>
      </c>
      <c r="J79" s="1" t="str">
        <f ca="1">IFERROR(__xludf.DUMMYFUNCTION("GOOGLETRANSLATE('대전도시공사_청년임대주택 현황_20240630'!J79,""ko"",""en"")"),"290100")</f>
        <v>290100</v>
      </c>
    </row>
    <row r="80" spans="1:10" ht="12.5" x14ac:dyDescent="0.25">
      <c r="A80" s="1" t="str">
        <f ca="1">IFERROR(__xludf.DUMMYFUNCTION("GOOGLETRANSLATE('대전도시공사_청년임대주택 현황_20240630'!A80,""ko"",""en"")"),"52-37, Gajeong-dong (Urban Hills 3, youth rental)")</f>
        <v>52-37, Gajeong-dong (Urban Hills 3, youth rental)</v>
      </c>
      <c r="B80" s="1" t="str">
        <f ca="1">IFERROR(__xludf.DUMMYFUNCTION("GOOGLETRANSLATE('대전도시공사_청년임대주택 현황_20240630'!B80,""ko"",""en"")"),"39")</f>
        <v>39</v>
      </c>
      <c r="C80" s="1" t="str">
        <f ca="1">IFERROR(__xludf.DUMMYFUNCTION("GOOGLETRANSLATE('대전도시공사_청년임대주택 현황_20240630'!C80,""ko"",""en"")"),"1")</f>
        <v>1</v>
      </c>
      <c r="D80" s="1" t="str">
        <f ca="1">IFERROR(__xludf.DUMMYFUNCTION("GOOGLETRANSLATE('대전도시공사_청년임대주택 현황_20240630'!D80,""ko"",""en"")"),"302")</f>
        <v>302</v>
      </c>
      <c r="E80" s="1" t="str">
        <f ca="1">IFERROR(__xludf.DUMMYFUNCTION("GOOGLETRANSLATE('대전도시공사_청년임대주택 현황_20240630'!E80,""ko"",""en"")"),"34.577")</f>
        <v>34.577</v>
      </c>
      <c r="F80" s="1" t="str">
        <f ca="1">IFERROR(__xludf.DUMMYFUNCTION("GOOGLETRANSLATE('대전도시공사_청년임대주택 현황_20240630'!F80,""ko"",""en"")"),"29.08")</f>
        <v>29.08</v>
      </c>
      <c r="G80" s="1" t="str">
        <f ca="1">IFERROR(__xludf.DUMMYFUNCTION("GOOGLETRANSLATE('대전도시공사_청년임대주택 현황_20240630'!G80,""ko"",""en"")"),"5.497")</f>
        <v>5.497</v>
      </c>
      <c r="H80" s="1" t="str">
        <f ca="1">IFERROR(__xludf.DUMMYFUNCTION("GOOGLETRANSLATE('대전도시공사_청년임대주택 현황_20240630'!H80,""ko"",""en"")"),"3rd place for youth rental")</f>
        <v>3rd place for youth rental</v>
      </c>
      <c r="I80" s="1" t="str">
        <f ca="1">IFERROR(__xludf.DUMMYFUNCTION("GOOGLETRANSLATE('대전도시공사_청년임대주택 현황_20240630'!I80,""ko"",""en"")"),"2000000")</f>
        <v>2000000</v>
      </c>
      <c r="J80" s="1" t="str">
        <f ca="1">IFERROR(__xludf.DUMMYFUNCTION("GOOGLETRANSLATE('대전도시공사_청년임대주택 현황_20240630'!J80,""ko"",""en"")"),"290100")</f>
        <v>290100</v>
      </c>
    </row>
    <row r="81" spans="1:10" ht="12.5" x14ac:dyDescent="0.25">
      <c r="A81" s="1" t="str">
        <f ca="1">IFERROR(__xludf.DUMMYFUNCTION("GOOGLETRANSLATE('대전도시공사_청년임대주택 현황_20240630'!A81,""ko"",""en"")"),"52-37, Gajeong-dong (Urban Hills 3, youth rental)")</f>
        <v>52-37, Gajeong-dong (Urban Hills 3, youth rental)</v>
      </c>
      <c r="B81" s="1" t="str">
        <f ca="1">IFERROR(__xludf.DUMMYFUNCTION("GOOGLETRANSLATE('대전도시공사_청년임대주택 현황_20240630'!B81,""ko"",""en"")"),"40")</f>
        <v>40</v>
      </c>
      <c r="C81" s="1" t="str">
        <f ca="1">IFERROR(__xludf.DUMMYFUNCTION("GOOGLETRANSLATE('대전도시공사_청년임대주택 현황_20240630'!C81,""ko"",""en"")"),"1")</f>
        <v>1</v>
      </c>
      <c r="D81" s="1" t="str">
        <f ca="1">IFERROR(__xludf.DUMMYFUNCTION("GOOGLETRANSLATE('대전도시공사_청년임대주택 현황_20240630'!D81,""ko"",""en"")"),"302")</f>
        <v>302</v>
      </c>
      <c r="E81" s="1" t="str">
        <f ca="1">IFERROR(__xludf.DUMMYFUNCTION("GOOGLETRANSLATE('대전도시공사_청년임대주택 현황_20240630'!E81,""ko"",""en"")"),"34.577")</f>
        <v>34.577</v>
      </c>
      <c r="F81" s="1" t="str">
        <f ca="1">IFERROR(__xludf.DUMMYFUNCTION("GOOGLETRANSLATE('대전도시공사_청년임대주택 현황_20240630'!F81,""ko"",""en"")"),"29.08")</f>
        <v>29.08</v>
      </c>
      <c r="G81" s="1" t="str">
        <f ca="1">IFERROR(__xludf.DUMMYFUNCTION("GOOGLETRANSLATE('대전도시공사_청년임대주택 현황_20240630'!G81,""ko"",""en"")"),"5.497")</f>
        <v>5.497</v>
      </c>
      <c r="H81" s="1" t="str">
        <f ca="1">IFERROR(__xludf.DUMMYFUNCTION("GOOGLETRANSLATE('대전도시공사_청년임대주택 현황_20240630'!H81,""ko"",""en"")"),"4th place for youth rental")</f>
        <v>4th place for youth rental</v>
      </c>
      <c r="I81" s="1" t="str">
        <f ca="1">IFERROR(__xludf.DUMMYFUNCTION("GOOGLETRANSLATE('대전도시공사_청년임대주택 현황_20240630'!I81,""ko"",""en"")"),"2000000")</f>
        <v>2000000</v>
      </c>
      <c r="J81" s="1" t="str">
        <f ca="1">IFERROR(__xludf.DUMMYFUNCTION("GOOGLETRANSLATE('대전도시공사_청년임대주택 현황_20240630'!J81,""ko"",""en"")"),"290100")</f>
        <v>290100</v>
      </c>
    </row>
    <row r="82" spans="1:10" ht="12.5" x14ac:dyDescent="0.25">
      <c r="A82" s="1" t="str">
        <f ca="1">IFERROR(__xludf.DUMMYFUNCTION("GOOGLETRANSLATE('대전도시공사_청년임대주택 현황_20240630'!A82,""ko"",""en"")"),"52-37, Gajeong-dong (Urban Hills 3, youth rental)")</f>
        <v>52-37, Gajeong-dong (Urban Hills 3, youth rental)</v>
      </c>
      <c r="B82" s="1" t="str">
        <f ca="1">IFERROR(__xludf.DUMMYFUNCTION("GOOGLETRANSLATE('대전도시공사_청년임대주택 현황_20240630'!B82,""ko"",""en"")"),"41")</f>
        <v>41</v>
      </c>
      <c r="C82" s="1" t="str">
        <f ca="1">IFERROR(__xludf.DUMMYFUNCTION("GOOGLETRANSLATE('대전도시공사_청년임대주택 현황_20240630'!C82,""ko"",""en"")"),"1")</f>
        <v>1</v>
      </c>
      <c r="D82" s="1" t="str">
        <f ca="1">IFERROR(__xludf.DUMMYFUNCTION("GOOGLETRANSLATE('대전도시공사_청년임대주택 현황_20240630'!D82,""ko"",""en"")"),"303")</f>
        <v>303</v>
      </c>
      <c r="E82" s="1" t="str">
        <f ca="1">IFERROR(__xludf.DUMMYFUNCTION("GOOGLETRANSLATE('대전도시공사_청년임대주택 현황_20240630'!E82,""ko"",""en"")"),"23.78")</f>
        <v>23.78</v>
      </c>
      <c r="F82" s="1" t="str">
        <f ca="1">IFERROR(__xludf.DUMMYFUNCTION("GOOGLETRANSLATE('대전도시공사_청년임대주택 현황_20240630'!F82,""ko"",""en"")"),"20")</f>
        <v>20</v>
      </c>
      <c r="G82" s="1" t="str">
        <f ca="1">IFERROR(__xludf.DUMMYFUNCTION("GOOGLETRANSLATE('대전도시공사_청년임대주택 현황_20240630'!G82,""ko"",""en"")"),"3.78")</f>
        <v>3.78</v>
      </c>
      <c r="H82" s="1" t="str">
        <f ca="1">IFERROR(__xludf.DUMMYFUNCTION("GOOGLETRANSLATE('대전도시공사_청년임대주택 현황_20240630'!H82,""ko"",""en"")"),"Youth Rent 1st Place")</f>
        <v>Youth Rent 1st Place</v>
      </c>
      <c r="I82" s="1" t="str">
        <f ca="1">IFERROR(__xludf.DUMMYFUNCTION("GOOGLETRANSLATE('대전도시공사_청년임대주택 현황_20240630'!I82,""ko"",""en"")"),"1000000")</f>
        <v>1000000</v>
      </c>
      <c r="J82" s="1" t="str">
        <f ca="1">IFERROR(__xludf.DUMMYFUNCTION("GOOGLETRANSLATE('대전도시공사_청년임대주택 현황_20240630'!J82,""ko"",""en"")"),"116300")</f>
        <v>116300</v>
      </c>
    </row>
    <row r="83" spans="1:10" ht="12.5" x14ac:dyDescent="0.25">
      <c r="A83" s="1" t="str">
        <f ca="1">IFERROR(__xludf.DUMMYFUNCTION("GOOGLETRANSLATE('대전도시공사_청년임대주택 현황_20240630'!A83,""ko"",""en"")"),"52-37, Gajeong-dong (Urban Hills 3, youth rental)")</f>
        <v>52-37, Gajeong-dong (Urban Hills 3, youth rental)</v>
      </c>
      <c r="B83" s="1" t="str">
        <f ca="1">IFERROR(__xludf.DUMMYFUNCTION("GOOGLETRANSLATE('대전도시공사_청년임대주택 현황_20240630'!B83,""ko"",""en"")"),"42")</f>
        <v>42</v>
      </c>
      <c r="C83" s="1" t="str">
        <f ca="1">IFERROR(__xludf.DUMMYFUNCTION("GOOGLETRANSLATE('대전도시공사_청년임대주택 현황_20240630'!C83,""ko"",""en"")"),"1")</f>
        <v>1</v>
      </c>
      <c r="D83" s="1" t="str">
        <f ca="1">IFERROR(__xludf.DUMMYFUNCTION("GOOGLETRANSLATE('대전도시공사_청년임대주택 현황_20240630'!D83,""ko"",""en"")"),"303")</f>
        <v>303</v>
      </c>
      <c r="E83" s="1" t="str">
        <f ca="1">IFERROR(__xludf.DUMMYFUNCTION("GOOGLETRANSLATE('대전도시공사_청년임대주택 현황_20240630'!E83,""ko"",""en"")"),"23.78")</f>
        <v>23.78</v>
      </c>
      <c r="F83" s="1" t="str">
        <f ca="1">IFERROR(__xludf.DUMMYFUNCTION("GOOGLETRANSLATE('대전도시공사_청년임대주택 현황_20240630'!F83,""ko"",""en"")"),"20")</f>
        <v>20</v>
      </c>
      <c r="G83" s="1" t="str">
        <f ca="1">IFERROR(__xludf.DUMMYFUNCTION("GOOGLETRANSLATE('대전도시공사_청년임대주택 현황_20240630'!G83,""ko"",""en"")"),"3.78")</f>
        <v>3.78</v>
      </c>
      <c r="H83" s="1" t="str">
        <f ca="1">IFERROR(__xludf.DUMMYFUNCTION("GOOGLETRANSLATE('대전도시공사_청년임대주택 현황_20240630'!H83,""ko"",""en"")"),"Youth Rental 2nd Place")</f>
        <v>Youth Rental 2nd Place</v>
      </c>
      <c r="I83" s="1" t="str">
        <f ca="1">IFERROR(__xludf.DUMMYFUNCTION("GOOGLETRANSLATE('대전도시공사_청년임대주택 현황_20240630'!I83,""ko"",""en"")"),"2000000")</f>
        <v>2000000</v>
      </c>
      <c r="J83" s="1" t="str">
        <f ca="1">IFERROR(__xludf.DUMMYFUNCTION("GOOGLETRANSLATE('대전도시공사_청년임대주택 현황_20240630'!J83,""ko"",""en"")"),"191400")</f>
        <v>191400</v>
      </c>
    </row>
    <row r="84" spans="1:10" ht="12.5" x14ac:dyDescent="0.25">
      <c r="A84" s="1" t="str">
        <f ca="1">IFERROR(__xludf.DUMMYFUNCTION("GOOGLETRANSLATE('대전도시공사_청년임대주택 현황_20240630'!A84,""ko"",""en"")"),"52-37, Gajeong-dong (Urban Hills 3, youth rental)")</f>
        <v>52-37, Gajeong-dong (Urban Hills 3, youth rental)</v>
      </c>
      <c r="B84" s="1" t="str">
        <f ca="1">IFERROR(__xludf.DUMMYFUNCTION("GOOGLETRANSLATE('대전도시공사_청년임대주택 현황_20240630'!B84,""ko"",""en"")"),"43")</f>
        <v>43</v>
      </c>
      <c r="C84" s="1" t="str">
        <f ca="1">IFERROR(__xludf.DUMMYFUNCTION("GOOGLETRANSLATE('대전도시공사_청년임대주택 현황_20240630'!C84,""ko"",""en"")"),"1")</f>
        <v>1</v>
      </c>
      <c r="D84" s="1" t="str">
        <f ca="1">IFERROR(__xludf.DUMMYFUNCTION("GOOGLETRANSLATE('대전도시공사_청년임대주택 현황_20240630'!D84,""ko"",""en"")"),"303")</f>
        <v>303</v>
      </c>
      <c r="E84" s="1" t="str">
        <f ca="1">IFERROR(__xludf.DUMMYFUNCTION("GOOGLETRANSLATE('대전도시공사_청년임대주택 현황_20240630'!E84,""ko"",""en"")"),"23.78")</f>
        <v>23.78</v>
      </c>
      <c r="F84" s="1" t="str">
        <f ca="1">IFERROR(__xludf.DUMMYFUNCTION("GOOGLETRANSLATE('대전도시공사_청년임대주택 현황_20240630'!F84,""ko"",""en"")"),"20")</f>
        <v>20</v>
      </c>
      <c r="G84" s="1" t="str">
        <f ca="1">IFERROR(__xludf.DUMMYFUNCTION("GOOGLETRANSLATE('대전도시공사_청년임대주택 현황_20240630'!G84,""ko"",""en"")"),"3.78")</f>
        <v>3.78</v>
      </c>
      <c r="H84" s="1" t="str">
        <f ca="1">IFERROR(__xludf.DUMMYFUNCTION("GOOGLETRANSLATE('대전도시공사_청년임대주택 현황_20240630'!H84,""ko"",""en"")"),"3rd place for youth rental")</f>
        <v>3rd place for youth rental</v>
      </c>
      <c r="I84" s="1" t="str">
        <f ca="1">IFERROR(__xludf.DUMMYFUNCTION("GOOGLETRANSLATE('대전도시공사_청년임대주택 현황_20240630'!I84,""ko"",""en"")"),"2000000")</f>
        <v>2000000</v>
      </c>
      <c r="J84" s="1" t="str">
        <f ca="1">IFERROR(__xludf.DUMMYFUNCTION("GOOGLETRANSLATE('대전도시공사_청년임대주택 현황_20240630'!J84,""ko"",""en"")"),"191400")</f>
        <v>191400</v>
      </c>
    </row>
    <row r="85" spans="1:10" ht="12.5" x14ac:dyDescent="0.25">
      <c r="A85" s="1" t="str">
        <f ca="1">IFERROR(__xludf.DUMMYFUNCTION("GOOGLETRANSLATE('대전도시공사_청년임대주택 현황_20240630'!A85,""ko"",""en"")"),"52-37, Gajeong-dong (Urban Hills 3, youth rental)")</f>
        <v>52-37, Gajeong-dong (Urban Hills 3, youth rental)</v>
      </c>
      <c r="B85" s="1" t="str">
        <f ca="1">IFERROR(__xludf.DUMMYFUNCTION("GOOGLETRANSLATE('대전도시공사_청년임대주택 현황_20240630'!B85,""ko"",""en"")"),"44")</f>
        <v>44</v>
      </c>
      <c r="C85" s="1" t="str">
        <f ca="1">IFERROR(__xludf.DUMMYFUNCTION("GOOGLETRANSLATE('대전도시공사_청년임대주택 현황_20240630'!C85,""ko"",""en"")"),"1")</f>
        <v>1</v>
      </c>
      <c r="D85" s="1" t="str">
        <f ca="1">IFERROR(__xludf.DUMMYFUNCTION("GOOGLETRANSLATE('대전도시공사_청년임대주택 현황_20240630'!D85,""ko"",""en"")"),"303")</f>
        <v>303</v>
      </c>
      <c r="E85" s="1" t="str">
        <f ca="1">IFERROR(__xludf.DUMMYFUNCTION("GOOGLETRANSLATE('대전도시공사_청년임대주택 현황_20240630'!E85,""ko"",""en"")"),"23.78")</f>
        <v>23.78</v>
      </c>
      <c r="F85" s="1" t="str">
        <f ca="1">IFERROR(__xludf.DUMMYFUNCTION("GOOGLETRANSLATE('대전도시공사_청년임대주택 현황_20240630'!F85,""ko"",""en"")"),"20")</f>
        <v>20</v>
      </c>
      <c r="G85" s="1" t="str">
        <f ca="1">IFERROR(__xludf.DUMMYFUNCTION("GOOGLETRANSLATE('대전도시공사_청년임대주택 현황_20240630'!G85,""ko"",""en"")"),"3.78")</f>
        <v>3.78</v>
      </c>
      <c r="H85" s="1" t="str">
        <f ca="1">IFERROR(__xludf.DUMMYFUNCTION("GOOGLETRANSLATE('대전도시공사_청년임대주택 현황_20240630'!H85,""ko"",""en"")"),"4th place for youth rental")</f>
        <v>4th place for youth rental</v>
      </c>
      <c r="I85" s="1" t="str">
        <f ca="1">IFERROR(__xludf.DUMMYFUNCTION("GOOGLETRANSLATE('대전도시공사_청년임대주택 현황_20240630'!I85,""ko"",""en"")"),"2000000")</f>
        <v>2000000</v>
      </c>
      <c r="J85" s="1" t="str">
        <f ca="1">IFERROR(__xludf.DUMMYFUNCTION("GOOGLETRANSLATE('대전도시공사_청년임대주택 현황_20240630'!J85,""ko"",""en"")"),"191400")</f>
        <v>191400</v>
      </c>
    </row>
    <row r="86" spans="1:10" ht="12.5" x14ac:dyDescent="0.25">
      <c r="A86" s="1" t="str">
        <f ca="1">IFERROR(__xludf.DUMMYFUNCTION("GOOGLETRANSLATE('대전도시공사_청년임대주택 현황_20240630'!A86,""ko"",""en"")"),"52-37, Gajeong-dong (Urban Hills 3, youth rental)")</f>
        <v>52-37, Gajeong-dong (Urban Hills 3, youth rental)</v>
      </c>
      <c r="B86" s="1" t="str">
        <f ca="1">IFERROR(__xludf.DUMMYFUNCTION("GOOGLETRANSLATE('대전도시공사_청년임대주택 현황_20240630'!B86,""ko"",""en"")"),"45")</f>
        <v>45</v>
      </c>
      <c r="C86" s="1" t="str">
        <f ca="1">IFERROR(__xludf.DUMMYFUNCTION("GOOGLETRANSLATE('대전도시공사_청년임대주택 현황_20240630'!C86,""ko"",""en"")"),"1")</f>
        <v>1</v>
      </c>
      <c r="D86" s="1" t="str">
        <f ca="1">IFERROR(__xludf.DUMMYFUNCTION("GOOGLETRANSLATE('대전도시공사_청년임대주택 현황_20240630'!D86,""ko"",""en"")"),"304")</f>
        <v>304</v>
      </c>
      <c r="E86" s="1" t="str">
        <f ca="1">IFERROR(__xludf.DUMMYFUNCTION("GOOGLETRANSLATE('대전도시공사_청년임대주택 현황_20240630'!E86,""ko"",""en"")"),"23.78")</f>
        <v>23.78</v>
      </c>
      <c r="F86" s="1" t="str">
        <f ca="1">IFERROR(__xludf.DUMMYFUNCTION("GOOGLETRANSLATE('대전도시공사_청년임대주택 현황_20240630'!F86,""ko"",""en"")"),"20")</f>
        <v>20</v>
      </c>
      <c r="G86" s="1" t="str">
        <f ca="1">IFERROR(__xludf.DUMMYFUNCTION("GOOGLETRANSLATE('대전도시공사_청년임대주택 현황_20240630'!G86,""ko"",""en"")"),"3.78")</f>
        <v>3.78</v>
      </c>
      <c r="H86" s="1" t="str">
        <f ca="1">IFERROR(__xludf.DUMMYFUNCTION("GOOGLETRANSLATE('대전도시공사_청년임대주택 현황_20240630'!H86,""ko"",""en"")"),"Youth Rent 1st Place")</f>
        <v>Youth Rent 1st Place</v>
      </c>
      <c r="I86" s="1" t="str">
        <f ca="1">IFERROR(__xludf.DUMMYFUNCTION("GOOGLETRANSLATE('대전도시공사_청년임대주택 현황_20240630'!I86,""ko"",""en"")"),"1000000")</f>
        <v>1000000</v>
      </c>
      <c r="J86" s="1" t="str">
        <f ca="1">IFERROR(__xludf.DUMMYFUNCTION("GOOGLETRANSLATE('대전도시공사_청년임대주택 현황_20240630'!J86,""ko"",""en"")"),"116300")</f>
        <v>116300</v>
      </c>
    </row>
    <row r="87" spans="1:10" ht="12.5" x14ac:dyDescent="0.25">
      <c r="A87" s="1" t="str">
        <f ca="1">IFERROR(__xludf.DUMMYFUNCTION("GOOGLETRANSLATE('대전도시공사_청년임대주택 현황_20240630'!A87,""ko"",""en"")"),"52-37, Gajeong-dong (Urban Hills 3, youth rental)")</f>
        <v>52-37, Gajeong-dong (Urban Hills 3, youth rental)</v>
      </c>
      <c r="B87" s="1" t="str">
        <f ca="1">IFERROR(__xludf.DUMMYFUNCTION("GOOGLETRANSLATE('대전도시공사_청년임대주택 현황_20240630'!B87,""ko"",""en"")"),"46")</f>
        <v>46</v>
      </c>
      <c r="C87" s="1" t="str">
        <f ca="1">IFERROR(__xludf.DUMMYFUNCTION("GOOGLETRANSLATE('대전도시공사_청년임대주택 현황_20240630'!C87,""ko"",""en"")"),"1")</f>
        <v>1</v>
      </c>
      <c r="D87" s="1" t="str">
        <f ca="1">IFERROR(__xludf.DUMMYFUNCTION("GOOGLETRANSLATE('대전도시공사_청년임대주택 현황_20240630'!D87,""ko"",""en"")"),"304")</f>
        <v>304</v>
      </c>
      <c r="E87" s="1" t="str">
        <f ca="1">IFERROR(__xludf.DUMMYFUNCTION("GOOGLETRANSLATE('대전도시공사_청년임대주택 현황_20240630'!E87,""ko"",""en"")"),"23.78")</f>
        <v>23.78</v>
      </c>
      <c r="F87" s="1" t="str">
        <f ca="1">IFERROR(__xludf.DUMMYFUNCTION("GOOGLETRANSLATE('대전도시공사_청년임대주택 현황_20240630'!F87,""ko"",""en"")"),"20")</f>
        <v>20</v>
      </c>
      <c r="G87" s="1" t="str">
        <f ca="1">IFERROR(__xludf.DUMMYFUNCTION("GOOGLETRANSLATE('대전도시공사_청년임대주택 현황_20240630'!G87,""ko"",""en"")"),"3.78")</f>
        <v>3.78</v>
      </c>
      <c r="H87" s="1" t="str">
        <f ca="1">IFERROR(__xludf.DUMMYFUNCTION("GOOGLETRANSLATE('대전도시공사_청년임대주택 현황_20240630'!H87,""ko"",""en"")"),"Youth Rental 2nd Place")</f>
        <v>Youth Rental 2nd Place</v>
      </c>
      <c r="I87" s="1" t="str">
        <f ca="1">IFERROR(__xludf.DUMMYFUNCTION("GOOGLETRANSLATE('대전도시공사_청년임대주택 현황_20240630'!I87,""ko"",""en"")"),"2000000")</f>
        <v>2000000</v>
      </c>
      <c r="J87" s="1" t="str">
        <f ca="1">IFERROR(__xludf.DUMMYFUNCTION("GOOGLETRANSLATE('대전도시공사_청년임대주택 현황_20240630'!J87,""ko"",""en"")"),"191400")</f>
        <v>191400</v>
      </c>
    </row>
    <row r="88" spans="1:10" ht="12.5" x14ac:dyDescent="0.25">
      <c r="A88" s="1" t="str">
        <f ca="1">IFERROR(__xludf.DUMMYFUNCTION("GOOGLETRANSLATE('대전도시공사_청년임대주택 현황_20240630'!A88,""ko"",""en"")"),"52-37, Gajeong-dong (Urban Hills 3, youth rental)")</f>
        <v>52-37, Gajeong-dong (Urban Hills 3, youth rental)</v>
      </c>
      <c r="B88" s="1" t="str">
        <f ca="1">IFERROR(__xludf.DUMMYFUNCTION("GOOGLETRANSLATE('대전도시공사_청년임대주택 현황_20240630'!B88,""ko"",""en"")"),"47")</f>
        <v>47</v>
      </c>
      <c r="C88" s="1" t="str">
        <f ca="1">IFERROR(__xludf.DUMMYFUNCTION("GOOGLETRANSLATE('대전도시공사_청년임대주택 현황_20240630'!C88,""ko"",""en"")"),"1")</f>
        <v>1</v>
      </c>
      <c r="D88" s="1" t="str">
        <f ca="1">IFERROR(__xludf.DUMMYFUNCTION("GOOGLETRANSLATE('대전도시공사_청년임대주택 현황_20240630'!D88,""ko"",""en"")"),"304")</f>
        <v>304</v>
      </c>
      <c r="E88" s="1" t="str">
        <f ca="1">IFERROR(__xludf.DUMMYFUNCTION("GOOGLETRANSLATE('대전도시공사_청년임대주택 현황_20240630'!E88,""ko"",""en"")"),"23.78")</f>
        <v>23.78</v>
      </c>
      <c r="F88" s="1" t="str">
        <f ca="1">IFERROR(__xludf.DUMMYFUNCTION("GOOGLETRANSLATE('대전도시공사_청년임대주택 현황_20240630'!F88,""ko"",""en"")"),"20")</f>
        <v>20</v>
      </c>
      <c r="G88" s="1" t="str">
        <f ca="1">IFERROR(__xludf.DUMMYFUNCTION("GOOGLETRANSLATE('대전도시공사_청년임대주택 현황_20240630'!G88,""ko"",""en"")"),"3.78")</f>
        <v>3.78</v>
      </c>
      <c r="H88" s="1" t="str">
        <f ca="1">IFERROR(__xludf.DUMMYFUNCTION("GOOGLETRANSLATE('대전도시공사_청년임대주택 현황_20240630'!H88,""ko"",""en"")"),"3rd place for youth rental")</f>
        <v>3rd place for youth rental</v>
      </c>
      <c r="I88" s="1" t="str">
        <f ca="1">IFERROR(__xludf.DUMMYFUNCTION("GOOGLETRANSLATE('대전도시공사_청년임대주택 현황_20240630'!I88,""ko"",""en"")"),"2000000")</f>
        <v>2000000</v>
      </c>
      <c r="J88" s="1" t="str">
        <f ca="1">IFERROR(__xludf.DUMMYFUNCTION("GOOGLETRANSLATE('대전도시공사_청년임대주택 현황_20240630'!J88,""ko"",""en"")"),"191400")</f>
        <v>191400</v>
      </c>
    </row>
    <row r="89" spans="1:10" ht="12.5" x14ac:dyDescent="0.25">
      <c r="A89" s="1" t="str">
        <f ca="1">IFERROR(__xludf.DUMMYFUNCTION("GOOGLETRANSLATE('대전도시공사_청년임대주택 현황_20240630'!A89,""ko"",""en"")"),"52-37, Gajeong-dong (Urban Hills 3, youth rental)")</f>
        <v>52-37, Gajeong-dong (Urban Hills 3, youth rental)</v>
      </c>
      <c r="B89" s="1" t="str">
        <f ca="1">IFERROR(__xludf.DUMMYFUNCTION("GOOGLETRANSLATE('대전도시공사_청년임대주택 현황_20240630'!B89,""ko"",""en"")"),"48")</f>
        <v>48</v>
      </c>
      <c r="C89" s="1" t="str">
        <f ca="1">IFERROR(__xludf.DUMMYFUNCTION("GOOGLETRANSLATE('대전도시공사_청년임대주택 현황_20240630'!C89,""ko"",""en"")"),"1")</f>
        <v>1</v>
      </c>
      <c r="D89" s="1" t="str">
        <f ca="1">IFERROR(__xludf.DUMMYFUNCTION("GOOGLETRANSLATE('대전도시공사_청년임대주택 현황_20240630'!D89,""ko"",""en"")"),"304")</f>
        <v>304</v>
      </c>
      <c r="E89" s="1" t="str">
        <f ca="1">IFERROR(__xludf.DUMMYFUNCTION("GOOGLETRANSLATE('대전도시공사_청년임대주택 현황_20240630'!E89,""ko"",""en"")"),"23.78")</f>
        <v>23.78</v>
      </c>
      <c r="F89" s="1" t="str">
        <f ca="1">IFERROR(__xludf.DUMMYFUNCTION("GOOGLETRANSLATE('대전도시공사_청년임대주택 현황_20240630'!F89,""ko"",""en"")"),"20")</f>
        <v>20</v>
      </c>
      <c r="G89" s="1" t="str">
        <f ca="1">IFERROR(__xludf.DUMMYFUNCTION("GOOGLETRANSLATE('대전도시공사_청년임대주택 현황_20240630'!G89,""ko"",""en"")"),"3.78")</f>
        <v>3.78</v>
      </c>
      <c r="H89" s="1" t="str">
        <f ca="1">IFERROR(__xludf.DUMMYFUNCTION("GOOGLETRANSLATE('대전도시공사_청년임대주택 현황_20240630'!H89,""ko"",""en"")"),"4th place for youth rental")</f>
        <v>4th place for youth rental</v>
      </c>
      <c r="I89" s="1" t="str">
        <f ca="1">IFERROR(__xludf.DUMMYFUNCTION("GOOGLETRANSLATE('대전도시공사_청년임대주택 현황_20240630'!I89,""ko"",""en"")"),"2000000")</f>
        <v>2000000</v>
      </c>
      <c r="J89" s="1" t="str">
        <f ca="1">IFERROR(__xludf.DUMMYFUNCTION("GOOGLETRANSLATE('대전도시공사_청년임대주택 현황_20240630'!J89,""ko"",""en"")"),"191400")</f>
        <v>191400</v>
      </c>
    </row>
    <row r="90" spans="1:10" ht="12.5" x14ac:dyDescent="0.25">
      <c r="A90" s="1" t="str">
        <f ca="1">IFERROR(__xludf.DUMMYFUNCTION("GOOGLETRANSLATE('대전도시공사_청년임대주택 현황_20240630'!A90,""ko"",""en"")"),"52-37, Gajeong-dong (Urban Hills 3, youth rental)")</f>
        <v>52-37, Gajeong-dong (Urban Hills 3, youth rental)</v>
      </c>
      <c r="B90" s="1" t="str">
        <f ca="1">IFERROR(__xludf.DUMMYFUNCTION("GOOGLETRANSLATE('대전도시공사_청년임대주택 현황_20240630'!B90,""ko"",""en"")"),"49")</f>
        <v>49</v>
      </c>
      <c r="C90" s="1" t="str">
        <f ca="1">IFERROR(__xludf.DUMMYFUNCTION("GOOGLETRANSLATE('대전도시공사_청년임대주택 현황_20240630'!C90,""ko"",""en"")"),"1")</f>
        <v>1</v>
      </c>
      <c r="D90" s="1" t="str">
        <f ca="1">IFERROR(__xludf.DUMMYFUNCTION("GOOGLETRANSLATE('대전도시공사_청년임대주택 현황_20240630'!D90,""ko"",""en"")"),"305")</f>
        <v>305</v>
      </c>
      <c r="E90" s="1" t="str">
        <f ca="1">IFERROR(__xludf.DUMMYFUNCTION("GOOGLETRANSLATE('대전도시공사_청년임대주택 현황_20240630'!E90,""ko"",""en"")"),"23.78")</f>
        <v>23.78</v>
      </c>
      <c r="F90" s="1" t="str">
        <f ca="1">IFERROR(__xludf.DUMMYFUNCTION("GOOGLETRANSLATE('대전도시공사_청년임대주택 현황_20240630'!F90,""ko"",""en"")"),"20")</f>
        <v>20</v>
      </c>
      <c r="G90" s="1" t="str">
        <f ca="1">IFERROR(__xludf.DUMMYFUNCTION("GOOGLETRANSLATE('대전도시공사_청년임대주택 현황_20240630'!G90,""ko"",""en"")"),"3.78")</f>
        <v>3.78</v>
      </c>
      <c r="H90" s="1" t="str">
        <f ca="1">IFERROR(__xludf.DUMMYFUNCTION("GOOGLETRANSLATE('대전도시공사_청년임대주택 현황_20240630'!H90,""ko"",""en"")"),"Youth Rent 1st Place")</f>
        <v>Youth Rent 1st Place</v>
      </c>
      <c r="I90" s="1" t="str">
        <f ca="1">IFERROR(__xludf.DUMMYFUNCTION("GOOGLETRANSLATE('대전도시공사_청년임대주택 현황_20240630'!I90,""ko"",""en"")"),"1000000")</f>
        <v>1000000</v>
      </c>
      <c r="J90" s="1" t="str">
        <f ca="1">IFERROR(__xludf.DUMMYFUNCTION("GOOGLETRANSLATE('대전도시공사_청년임대주택 현황_20240630'!J90,""ko"",""en"")"),"116300")</f>
        <v>116300</v>
      </c>
    </row>
    <row r="91" spans="1:10" ht="12.5" x14ac:dyDescent="0.25">
      <c r="A91" s="1" t="str">
        <f ca="1">IFERROR(__xludf.DUMMYFUNCTION("GOOGLETRANSLATE('대전도시공사_청년임대주택 현황_20240630'!A91,""ko"",""en"")"),"52-37, Gajeong-dong (Urban Hills 3, youth rental)")</f>
        <v>52-37, Gajeong-dong (Urban Hills 3, youth rental)</v>
      </c>
      <c r="B91" s="1" t="str">
        <f ca="1">IFERROR(__xludf.DUMMYFUNCTION("GOOGLETRANSLATE('대전도시공사_청년임대주택 현황_20240630'!B91,""ko"",""en"")"),"50")</f>
        <v>50</v>
      </c>
      <c r="C91" s="1" t="str">
        <f ca="1">IFERROR(__xludf.DUMMYFUNCTION("GOOGLETRANSLATE('대전도시공사_청년임대주택 현황_20240630'!C91,""ko"",""en"")"),"1")</f>
        <v>1</v>
      </c>
      <c r="D91" s="1" t="str">
        <f ca="1">IFERROR(__xludf.DUMMYFUNCTION("GOOGLETRANSLATE('대전도시공사_청년임대주택 현황_20240630'!D91,""ko"",""en"")"),"305")</f>
        <v>305</v>
      </c>
      <c r="E91" s="1" t="str">
        <f ca="1">IFERROR(__xludf.DUMMYFUNCTION("GOOGLETRANSLATE('대전도시공사_청년임대주택 현황_20240630'!E91,""ko"",""en"")"),"23.78")</f>
        <v>23.78</v>
      </c>
      <c r="F91" s="1" t="str">
        <f ca="1">IFERROR(__xludf.DUMMYFUNCTION("GOOGLETRANSLATE('대전도시공사_청년임대주택 현황_20240630'!F91,""ko"",""en"")"),"20")</f>
        <v>20</v>
      </c>
      <c r="G91" s="1" t="str">
        <f ca="1">IFERROR(__xludf.DUMMYFUNCTION("GOOGLETRANSLATE('대전도시공사_청년임대주택 현황_20240630'!G91,""ko"",""en"")"),"3.78")</f>
        <v>3.78</v>
      </c>
      <c r="H91" s="1" t="str">
        <f ca="1">IFERROR(__xludf.DUMMYFUNCTION("GOOGLETRANSLATE('대전도시공사_청년임대주택 현황_20240630'!H91,""ko"",""en"")"),"Youth Rental 2nd Place")</f>
        <v>Youth Rental 2nd Place</v>
      </c>
      <c r="I91" s="1" t="str">
        <f ca="1">IFERROR(__xludf.DUMMYFUNCTION("GOOGLETRANSLATE('대전도시공사_청년임대주택 현황_20240630'!I91,""ko"",""en"")"),"2000000")</f>
        <v>2000000</v>
      </c>
      <c r="J91" s="1" t="str">
        <f ca="1">IFERROR(__xludf.DUMMYFUNCTION("GOOGLETRANSLATE('대전도시공사_청년임대주택 현황_20240630'!J91,""ko"",""en"")"),"191400")</f>
        <v>191400</v>
      </c>
    </row>
    <row r="92" spans="1:10" ht="12.5" x14ac:dyDescent="0.25">
      <c r="A92" s="1" t="str">
        <f ca="1">IFERROR(__xludf.DUMMYFUNCTION("GOOGLETRANSLATE('대전도시공사_청년임대주택 현황_20240630'!A92,""ko"",""en"")"),"52-37, Gajeong-dong (Urban Hills 3, youth rental)")</f>
        <v>52-37, Gajeong-dong (Urban Hills 3, youth rental)</v>
      </c>
      <c r="B92" s="1" t="str">
        <f ca="1">IFERROR(__xludf.DUMMYFUNCTION("GOOGLETRANSLATE('대전도시공사_청년임대주택 현황_20240630'!B92,""ko"",""en"")"),"51")</f>
        <v>51</v>
      </c>
      <c r="C92" s="1" t="str">
        <f ca="1">IFERROR(__xludf.DUMMYFUNCTION("GOOGLETRANSLATE('대전도시공사_청년임대주택 현황_20240630'!C92,""ko"",""en"")"),"1")</f>
        <v>1</v>
      </c>
      <c r="D92" s="1" t="str">
        <f ca="1">IFERROR(__xludf.DUMMYFUNCTION("GOOGLETRANSLATE('대전도시공사_청년임대주택 현황_20240630'!D92,""ko"",""en"")"),"305")</f>
        <v>305</v>
      </c>
      <c r="E92" s="1" t="str">
        <f ca="1">IFERROR(__xludf.DUMMYFUNCTION("GOOGLETRANSLATE('대전도시공사_청년임대주택 현황_20240630'!E92,""ko"",""en"")"),"23.78")</f>
        <v>23.78</v>
      </c>
      <c r="F92" s="1" t="str">
        <f ca="1">IFERROR(__xludf.DUMMYFUNCTION("GOOGLETRANSLATE('대전도시공사_청년임대주택 현황_20240630'!F92,""ko"",""en"")"),"20")</f>
        <v>20</v>
      </c>
      <c r="G92" s="1" t="str">
        <f ca="1">IFERROR(__xludf.DUMMYFUNCTION("GOOGLETRANSLATE('대전도시공사_청년임대주택 현황_20240630'!G92,""ko"",""en"")"),"3.78")</f>
        <v>3.78</v>
      </c>
      <c r="H92" s="1" t="str">
        <f ca="1">IFERROR(__xludf.DUMMYFUNCTION("GOOGLETRANSLATE('대전도시공사_청년임대주택 현황_20240630'!H92,""ko"",""en"")"),"3rd place for youth rental")</f>
        <v>3rd place for youth rental</v>
      </c>
      <c r="I92" s="1" t="str">
        <f ca="1">IFERROR(__xludf.DUMMYFUNCTION("GOOGLETRANSLATE('대전도시공사_청년임대주택 현황_20240630'!I92,""ko"",""en"")"),"2000000")</f>
        <v>2000000</v>
      </c>
      <c r="J92" s="1" t="str">
        <f ca="1">IFERROR(__xludf.DUMMYFUNCTION("GOOGLETRANSLATE('대전도시공사_청년임대주택 현황_20240630'!J92,""ko"",""en"")"),"191400")</f>
        <v>191400</v>
      </c>
    </row>
    <row r="93" spans="1:10" ht="12.5" x14ac:dyDescent="0.25">
      <c r="A93" s="1" t="str">
        <f ca="1">IFERROR(__xludf.DUMMYFUNCTION("GOOGLETRANSLATE('대전도시공사_청년임대주택 현황_20240630'!A93,""ko"",""en"")"),"52-37, Gajeong-dong (Urban Hills 3, youth rental)")</f>
        <v>52-37, Gajeong-dong (Urban Hills 3, youth rental)</v>
      </c>
      <c r="B93" s="1" t="str">
        <f ca="1">IFERROR(__xludf.DUMMYFUNCTION("GOOGLETRANSLATE('대전도시공사_청년임대주택 현황_20240630'!B93,""ko"",""en"")"),"52")</f>
        <v>52</v>
      </c>
      <c r="C93" s="1" t="str">
        <f ca="1">IFERROR(__xludf.DUMMYFUNCTION("GOOGLETRANSLATE('대전도시공사_청년임대주택 현황_20240630'!C93,""ko"",""en"")"),"1")</f>
        <v>1</v>
      </c>
      <c r="D93" s="1" t="str">
        <f ca="1">IFERROR(__xludf.DUMMYFUNCTION("GOOGLETRANSLATE('대전도시공사_청년임대주택 현황_20240630'!D93,""ko"",""en"")"),"305")</f>
        <v>305</v>
      </c>
      <c r="E93" s="1" t="str">
        <f ca="1">IFERROR(__xludf.DUMMYFUNCTION("GOOGLETRANSLATE('대전도시공사_청년임대주택 현황_20240630'!E93,""ko"",""en"")"),"23.78")</f>
        <v>23.78</v>
      </c>
      <c r="F93" s="1" t="str">
        <f ca="1">IFERROR(__xludf.DUMMYFUNCTION("GOOGLETRANSLATE('대전도시공사_청년임대주택 현황_20240630'!F93,""ko"",""en"")"),"20")</f>
        <v>20</v>
      </c>
      <c r="G93" s="1" t="str">
        <f ca="1">IFERROR(__xludf.DUMMYFUNCTION("GOOGLETRANSLATE('대전도시공사_청년임대주택 현황_20240630'!G93,""ko"",""en"")"),"3.78")</f>
        <v>3.78</v>
      </c>
      <c r="H93" s="1" t="str">
        <f ca="1">IFERROR(__xludf.DUMMYFUNCTION("GOOGLETRANSLATE('대전도시공사_청년임대주택 현황_20240630'!H93,""ko"",""en"")"),"4th place for youth rental")</f>
        <v>4th place for youth rental</v>
      </c>
      <c r="I93" s="1" t="str">
        <f ca="1">IFERROR(__xludf.DUMMYFUNCTION("GOOGLETRANSLATE('대전도시공사_청년임대주택 현황_20240630'!I93,""ko"",""en"")"),"2000000")</f>
        <v>2000000</v>
      </c>
      <c r="J93" s="1" t="str">
        <f ca="1">IFERROR(__xludf.DUMMYFUNCTION("GOOGLETRANSLATE('대전도시공사_청년임대주택 현황_20240630'!J93,""ko"",""en"")"),"191400")</f>
        <v>191400</v>
      </c>
    </row>
    <row r="94" spans="1:10" ht="12.5" x14ac:dyDescent="0.25">
      <c r="A94" s="1" t="str">
        <f ca="1">IFERROR(__xludf.DUMMYFUNCTION("GOOGLETRANSLATE('대전도시공사_청년임대주택 현황_20240630'!A94,""ko"",""en"")"),"52-37, Gajeong-dong (Urban Hills 3, youth rental)")</f>
        <v>52-37, Gajeong-dong (Urban Hills 3, youth rental)</v>
      </c>
      <c r="B94" s="1" t="str">
        <f ca="1">IFERROR(__xludf.DUMMYFUNCTION("GOOGLETRANSLATE('대전도시공사_청년임대주택 현황_20240630'!B94,""ko"",""en"")"),"53")</f>
        <v>53</v>
      </c>
      <c r="C94" s="1" t="str">
        <f ca="1">IFERROR(__xludf.DUMMYFUNCTION("GOOGLETRANSLATE('대전도시공사_청년임대주택 현황_20240630'!C94,""ko"",""en"")"),"1")</f>
        <v>1</v>
      </c>
      <c r="D94" s="1" t="str">
        <f ca="1">IFERROR(__xludf.DUMMYFUNCTION("GOOGLETRANSLATE('대전도시공사_청년임대주택 현황_20240630'!D94,""ko"",""en"")"),"306")</f>
        <v>306</v>
      </c>
      <c r="E94" s="1" t="str">
        <f ca="1">IFERROR(__xludf.DUMMYFUNCTION("GOOGLETRANSLATE('대전도시공사_청년임대주택 현황_20240630'!E94,""ko"",""en"")"),"34.577")</f>
        <v>34.577</v>
      </c>
      <c r="F94" s="1" t="str">
        <f ca="1">IFERROR(__xludf.DUMMYFUNCTION("GOOGLETRANSLATE('대전도시공사_청년임대주택 현황_20240630'!F94,""ko"",""en"")"),"29.08")</f>
        <v>29.08</v>
      </c>
      <c r="G94" s="1" t="str">
        <f ca="1">IFERROR(__xludf.DUMMYFUNCTION("GOOGLETRANSLATE('대전도시공사_청년임대주택 현황_20240630'!G94,""ko"",""en"")"),"5.497")</f>
        <v>5.497</v>
      </c>
      <c r="H94" s="1" t="str">
        <f ca="1">IFERROR(__xludf.DUMMYFUNCTION("GOOGLETRANSLATE('대전도시공사_청년임대주택 현황_20240630'!H94,""ko"",""en"")"),"Youth Rent 1st Place")</f>
        <v>Youth Rent 1st Place</v>
      </c>
      <c r="I94" s="1" t="str">
        <f ca="1">IFERROR(__xludf.DUMMYFUNCTION("GOOGLETRANSLATE('대전도시공사_청년임대주택 현황_20240630'!I94,""ko"",""en"")"),"1000000")</f>
        <v>1000000</v>
      </c>
      <c r="J94" s="1" t="str">
        <f ca="1">IFERROR(__xludf.DUMMYFUNCTION("GOOGLETRANSLATE('대전도시공사_청년임대주택 현황_20240630'!J94,""ko"",""en"")"),"175600")</f>
        <v>175600</v>
      </c>
    </row>
    <row r="95" spans="1:10" ht="12.5" x14ac:dyDescent="0.25">
      <c r="A95" s="1" t="str">
        <f ca="1">IFERROR(__xludf.DUMMYFUNCTION("GOOGLETRANSLATE('대전도시공사_청년임대주택 현황_20240630'!A95,""ko"",""en"")"),"52-37, Gajeong-dong (Urban Hills 3, youth rental)")</f>
        <v>52-37, Gajeong-dong (Urban Hills 3, youth rental)</v>
      </c>
      <c r="B95" s="1" t="str">
        <f ca="1">IFERROR(__xludf.DUMMYFUNCTION("GOOGLETRANSLATE('대전도시공사_청년임대주택 현황_20240630'!B95,""ko"",""en"")"),"54")</f>
        <v>54</v>
      </c>
      <c r="C95" s="1" t="str">
        <f ca="1">IFERROR(__xludf.DUMMYFUNCTION("GOOGLETRANSLATE('대전도시공사_청년임대주택 현황_20240630'!C95,""ko"",""en"")"),"1")</f>
        <v>1</v>
      </c>
      <c r="D95" s="1" t="str">
        <f ca="1">IFERROR(__xludf.DUMMYFUNCTION("GOOGLETRANSLATE('대전도시공사_청년임대주택 현황_20240630'!D95,""ko"",""en"")"),"306")</f>
        <v>306</v>
      </c>
      <c r="E95" s="1" t="str">
        <f ca="1">IFERROR(__xludf.DUMMYFUNCTION("GOOGLETRANSLATE('대전도시공사_청년임대주택 현황_20240630'!E95,""ko"",""en"")"),"34.577")</f>
        <v>34.577</v>
      </c>
      <c r="F95" s="1" t="str">
        <f ca="1">IFERROR(__xludf.DUMMYFUNCTION("GOOGLETRANSLATE('대전도시공사_청년임대주택 현황_20240630'!F95,""ko"",""en"")"),"29.08")</f>
        <v>29.08</v>
      </c>
      <c r="G95" s="1" t="str">
        <f ca="1">IFERROR(__xludf.DUMMYFUNCTION("GOOGLETRANSLATE('대전도시공사_청년임대주택 현황_20240630'!G95,""ko"",""en"")"),"5.497")</f>
        <v>5.497</v>
      </c>
      <c r="H95" s="1" t="str">
        <f ca="1">IFERROR(__xludf.DUMMYFUNCTION("GOOGLETRANSLATE('대전도시공사_청년임대주택 현황_20240630'!H95,""ko"",""en"")"),"Youth Rental 2nd Place")</f>
        <v>Youth Rental 2nd Place</v>
      </c>
      <c r="I95" s="1" t="str">
        <f ca="1">IFERROR(__xludf.DUMMYFUNCTION("GOOGLETRANSLATE('대전도시공사_청년임대주택 현황_20240630'!I95,""ko"",""en"")"),"1000000")</f>
        <v>1000000</v>
      </c>
      <c r="J95" s="1" t="str">
        <f ca="1">IFERROR(__xludf.DUMMYFUNCTION("GOOGLETRANSLATE('대전도시공사_청년임대주택 현황_20240630'!J95,""ko"",""en"")"),"175600")</f>
        <v>175600</v>
      </c>
    </row>
    <row r="96" spans="1:10" ht="12.5" x14ac:dyDescent="0.25">
      <c r="A96" s="1" t="str">
        <f ca="1">IFERROR(__xludf.DUMMYFUNCTION("GOOGLETRANSLATE('대전도시공사_청년임대주택 현황_20240630'!A96,""ko"",""en"")"),"52-37, Gajeong-dong (Urban Hills 3, youth rental)")</f>
        <v>52-37, Gajeong-dong (Urban Hills 3, youth rental)</v>
      </c>
      <c r="B96" s="1" t="str">
        <f ca="1">IFERROR(__xludf.DUMMYFUNCTION("GOOGLETRANSLATE('대전도시공사_청년임대주택 현황_20240630'!B96,""ko"",""en"")"),"55")</f>
        <v>55</v>
      </c>
      <c r="C96" s="1" t="str">
        <f ca="1">IFERROR(__xludf.DUMMYFUNCTION("GOOGLETRANSLATE('대전도시공사_청년임대주택 현황_20240630'!C96,""ko"",""en"")"),"1")</f>
        <v>1</v>
      </c>
      <c r="D96" s="1" t="str">
        <f ca="1">IFERROR(__xludf.DUMMYFUNCTION("GOOGLETRANSLATE('대전도시공사_청년임대주택 현황_20240630'!D96,""ko"",""en"")"),"306")</f>
        <v>306</v>
      </c>
      <c r="E96" s="1" t="str">
        <f ca="1">IFERROR(__xludf.DUMMYFUNCTION("GOOGLETRANSLATE('대전도시공사_청년임대주택 현황_20240630'!E96,""ko"",""en"")"),"34.577")</f>
        <v>34.577</v>
      </c>
      <c r="F96" s="1" t="str">
        <f ca="1">IFERROR(__xludf.DUMMYFUNCTION("GOOGLETRANSLATE('대전도시공사_청년임대주택 현황_20240630'!F96,""ko"",""en"")"),"29.08")</f>
        <v>29.08</v>
      </c>
      <c r="G96" s="1" t="str">
        <f ca="1">IFERROR(__xludf.DUMMYFUNCTION("GOOGLETRANSLATE('대전도시공사_청년임대주택 현황_20240630'!G96,""ko"",""en"")"),"5.497")</f>
        <v>5.497</v>
      </c>
      <c r="H96" s="1" t="str">
        <f ca="1">IFERROR(__xludf.DUMMYFUNCTION("GOOGLETRANSLATE('대전도시공사_청년임대주택 현황_20240630'!H96,""ko"",""en"")"),"3rd place for youth rental")</f>
        <v>3rd place for youth rental</v>
      </c>
      <c r="I96" s="1" t="str">
        <f ca="1">IFERROR(__xludf.DUMMYFUNCTION("GOOGLETRANSLATE('대전도시공사_청년임대주택 현황_20240630'!I96,""ko"",""en"")"),"2000000")</f>
        <v>2000000</v>
      </c>
      <c r="J96" s="1" t="str">
        <f ca="1">IFERROR(__xludf.DUMMYFUNCTION("GOOGLETRANSLATE('대전도시공사_청년임대주택 현황_20240630'!J96,""ko"",""en"")"),"290100")</f>
        <v>290100</v>
      </c>
    </row>
    <row r="97" spans="1:10" ht="12.5" x14ac:dyDescent="0.25">
      <c r="A97" s="1" t="str">
        <f ca="1">IFERROR(__xludf.DUMMYFUNCTION("GOOGLETRANSLATE('대전도시공사_청년임대주택 현황_20240630'!A97,""ko"",""en"")"),"52-37, Gajeong-dong (Urban Hills 3, youth rental)")</f>
        <v>52-37, Gajeong-dong (Urban Hills 3, youth rental)</v>
      </c>
      <c r="B97" s="1" t="str">
        <f ca="1">IFERROR(__xludf.DUMMYFUNCTION("GOOGLETRANSLATE('대전도시공사_청년임대주택 현황_20240630'!B97,""ko"",""en"")"),"56")</f>
        <v>56</v>
      </c>
      <c r="C97" s="1" t="str">
        <f ca="1">IFERROR(__xludf.DUMMYFUNCTION("GOOGLETRANSLATE('대전도시공사_청년임대주택 현황_20240630'!C97,""ko"",""en"")"),"1")</f>
        <v>1</v>
      </c>
      <c r="D97" s="1" t="str">
        <f ca="1">IFERROR(__xludf.DUMMYFUNCTION("GOOGLETRANSLATE('대전도시공사_청년임대주택 현황_20240630'!D97,""ko"",""en"")"),"306")</f>
        <v>306</v>
      </c>
      <c r="E97" s="1" t="str">
        <f ca="1">IFERROR(__xludf.DUMMYFUNCTION("GOOGLETRANSLATE('대전도시공사_청년임대주택 현황_20240630'!E97,""ko"",""en"")"),"34.577")</f>
        <v>34.577</v>
      </c>
      <c r="F97" s="1" t="str">
        <f ca="1">IFERROR(__xludf.DUMMYFUNCTION("GOOGLETRANSLATE('대전도시공사_청년임대주택 현황_20240630'!F97,""ko"",""en"")"),"29.08")</f>
        <v>29.08</v>
      </c>
      <c r="G97" s="1" t="str">
        <f ca="1">IFERROR(__xludf.DUMMYFUNCTION("GOOGLETRANSLATE('대전도시공사_청년임대주택 현황_20240630'!G97,""ko"",""en"")"),"5.497")</f>
        <v>5.497</v>
      </c>
      <c r="H97" s="1" t="str">
        <f ca="1">IFERROR(__xludf.DUMMYFUNCTION("GOOGLETRANSLATE('대전도시공사_청년임대주택 현황_20240630'!H97,""ko"",""en"")"),"4th place for youth rental")</f>
        <v>4th place for youth rental</v>
      </c>
      <c r="I97" s="1" t="str">
        <f ca="1">IFERROR(__xludf.DUMMYFUNCTION("GOOGLETRANSLATE('대전도시공사_청년임대주택 현황_20240630'!I97,""ko"",""en"")"),"2000000")</f>
        <v>2000000</v>
      </c>
      <c r="J97" s="1" t="str">
        <f ca="1">IFERROR(__xludf.DUMMYFUNCTION("GOOGLETRANSLATE('대전도시공사_청년임대주택 현황_20240630'!J97,""ko"",""en"")"),"290100")</f>
        <v>290100</v>
      </c>
    </row>
    <row r="98" spans="1:10" ht="12.5" x14ac:dyDescent="0.25">
      <c r="A98" s="1" t="str">
        <f ca="1">IFERROR(__xludf.DUMMYFUNCTION("GOOGLETRANSLATE('대전도시공사_청년임대주택 현황_20240630'!A98,""ko"",""en"")"),"52-37, Gajeong-dong (Urban Hills 3, youth rental)")</f>
        <v>52-37, Gajeong-dong (Urban Hills 3, youth rental)</v>
      </c>
      <c r="B98" s="1" t="str">
        <f ca="1">IFERROR(__xludf.DUMMYFUNCTION("GOOGLETRANSLATE('대전도시공사_청년임대주택 현황_20240630'!B98,""ko"",""en"")"),"57")</f>
        <v>57</v>
      </c>
      <c r="C98" s="1" t="str">
        <f ca="1">IFERROR(__xludf.DUMMYFUNCTION("GOOGLETRANSLATE('대전도시공사_청년임대주택 현황_20240630'!C98,""ko"",""en"")"),"1")</f>
        <v>1</v>
      </c>
      <c r="D98" s="1" t="str">
        <f ca="1">IFERROR(__xludf.DUMMYFUNCTION("GOOGLETRANSLATE('대전도시공사_청년임대주택 현황_20240630'!D98,""ko"",""en"")"),"307")</f>
        <v>307</v>
      </c>
      <c r="E98" s="1" t="str">
        <f ca="1">IFERROR(__xludf.DUMMYFUNCTION("GOOGLETRANSLATE('대전도시공사_청년임대주택 현황_20240630'!E98,""ko"",""en"")"),"30.819")</f>
        <v>30.819</v>
      </c>
      <c r="F98" s="1" t="str">
        <f ca="1">IFERROR(__xludf.DUMMYFUNCTION("GOOGLETRANSLATE('대전도시공사_청년임대주택 현황_20240630'!F98,""ko"",""en"")"),"25.92")</f>
        <v>25.92</v>
      </c>
      <c r="G98" s="1" t="str">
        <f ca="1">IFERROR(__xludf.DUMMYFUNCTION("GOOGLETRANSLATE('대전도시공사_청년임대주택 현황_20240630'!G98,""ko"",""en"")"),"4.899")</f>
        <v>4.899</v>
      </c>
      <c r="H98" s="1" t="str">
        <f ca="1">IFERROR(__xludf.DUMMYFUNCTION("GOOGLETRANSLATE('대전도시공사_청년임대주택 현황_20240630'!H98,""ko"",""en"")"),"Youth Rent 1st Place")</f>
        <v>Youth Rent 1st Place</v>
      </c>
      <c r="I98" s="1" t="str">
        <f ca="1">IFERROR(__xludf.DUMMYFUNCTION("GOOGLETRANSLATE('대전도시공사_청년임대주택 현황_20240630'!I98,""ko"",""en"")"),"1000000")</f>
        <v>1000000</v>
      </c>
      <c r="J98" s="1" t="str">
        <f ca="1">IFERROR(__xludf.DUMMYFUNCTION("GOOGLETRANSLATE('대전도시공사_청년임대주택 현황_20240630'!J98,""ko"",""en"")"),"155800")</f>
        <v>155800</v>
      </c>
    </row>
    <row r="99" spans="1:10" ht="12.5" x14ac:dyDescent="0.25">
      <c r="A99" s="1" t="str">
        <f ca="1">IFERROR(__xludf.DUMMYFUNCTION("GOOGLETRANSLATE('대전도시공사_청년임대주택 현황_20240630'!A99,""ko"",""en"")"),"52-37, Gajeong-dong (Urban Hills 3, youth rental)")</f>
        <v>52-37, Gajeong-dong (Urban Hills 3, youth rental)</v>
      </c>
      <c r="B99" s="1" t="str">
        <f ca="1">IFERROR(__xludf.DUMMYFUNCTION("GOOGLETRANSLATE('대전도시공사_청년임대주택 현황_20240630'!B99,""ko"",""en"")"),"58")</f>
        <v>58</v>
      </c>
      <c r="C99" s="1" t="str">
        <f ca="1">IFERROR(__xludf.DUMMYFUNCTION("GOOGLETRANSLATE('대전도시공사_청년임대주택 현황_20240630'!C99,""ko"",""en"")"),"1")</f>
        <v>1</v>
      </c>
      <c r="D99" s="1" t="str">
        <f ca="1">IFERROR(__xludf.DUMMYFUNCTION("GOOGLETRANSLATE('대전도시공사_청년임대주택 현황_20240630'!D99,""ko"",""en"")"),"307")</f>
        <v>307</v>
      </c>
      <c r="E99" s="1" t="str">
        <f ca="1">IFERROR(__xludf.DUMMYFUNCTION("GOOGLETRANSLATE('대전도시공사_청년임대주택 현황_20240630'!E99,""ko"",""en"")"),"30.819")</f>
        <v>30.819</v>
      </c>
      <c r="F99" s="1" t="str">
        <f ca="1">IFERROR(__xludf.DUMMYFUNCTION("GOOGLETRANSLATE('대전도시공사_청년임대주택 현황_20240630'!F99,""ko"",""en"")"),"25.92")</f>
        <v>25.92</v>
      </c>
      <c r="G99" s="1" t="str">
        <f ca="1">IFERROR(__xludf.DUMMYFUNCTION("GOOGLETRANSLATE('대전도시공사_청년임대주택 현황_20240630'!G99,""ko"",""en"")"),"4.899")</f>
        <v>4.899</v>
      </c>
      <c r="H99" s="1" t="str">
        <f ca="1">IFERROR(__xludf.DUMMYFUNCTION("GOOGLETRANSLATE('대전도시공사_청년임대주택 현황_20240630'!H99,""ko"",""en"")"),"Youth Rental 2nd Place")</f>
        <v>Youth Rental 2nd Place</v>
      </c>
      <c r="I99" s="1" t="str">
        <f ca="1">IFERROR(__xludf.DUMMYFUNCTION("GOOGLETRANSLATE('대전도시공사_청년임대주택 현황_20240630'!I99,""ko"",""en"")"),"2000000")</f>
        <v>2000000</v>
      </c>
      <c r="J99" s="1" t="str">
        <f ca="1">IFERROR(__xludf.DUMMYFUNCTION("GOOGLETRANSLATE('대전도시공사_청년임대주택 현황_20240630'!J99,""ko"",""en"")"),"257200")</f>
        <v>257200</v>
      </c>
    </row>
    <row r="100" spans="1:10" ht="12.5" x14ac:dyDescent="0.25">
      <c r="A100" s="1" t="str">
        <f ca="1">IFERROR(__xludf.DUMMYFUNCTION("GOOGLETRANSLATE('대전도시공사_청년임대주택 현황_20240630'!A100,""ko"",""en"")"),"52-37, Gajeong-dong (Urban Hills 3, youth rental)")</f>
        <v>52-37, Gajeong-dong (Urban Hills 3, youth rental)</v>
      </c>
      <c r="B100" s="1" t="str">
        <f ca="1">IFERROR(__xludf.DUMMYFUNCTION("GOOGLETRANSLATE('대전도시공사_청년임대주택 현황_20240630'!B100,""ko"",""en"")"),"59")</f>
        <v>59</v>
      </c>
      <c r="C100" s="1" t="str">
        <f ca="1">IFERROR(__xludf.DUMMYFUNCTION("GOOGLETRANSLATE('대전도시공사_청년임대주택 현황_20240630'!C100,""ko"",""en"")"),"1")</f>
        <v>1</v>
      </c>
      <c r="D100" s="1" t="str">
        <f ca="1">IFERROR(__xludf.DUMMYFUNCTION("GOOGLETRANSLATE('대전도시공사_청년임대주택 현황_20240630'!D100,""ko"",""en"")"),"307")</f>
        <v>307</v>
      </c>
      <c r="E100" s="1" t="str">
        <f ca="1">IFERROR(__xludf.DUMMYFUNCTION("GOOGLETRANSLATE('대전도시공사_청년임대주택 현황_20240630'!E100,""ko"",""en"")"),"30.819")</f>
        <v>30.819</v>
      </c>
      <c r="F100" s="1" t="str">
        <f ca="1">IFERROR(__xludf.DUMMYFUNCTION("GOOGLETRANSLATE('대전도시공사_청년임대주택 현황_20240630'!F100,""ko"",""en"")"),"25.92")</f>
        <v>25.92</v>
      </c>
      <c r="G100" s="1" t="str">
        <f ca="1">IFERROR(__xludf.DUMMYFUNCTION("GOOGLETRANSLATE('대전도시공사_청년임대주택 현황_20240630'!G100,""ko"",""en"")"),"4.899")</f>
        <v>4.899</v>
      </c>
      <c r="H100" s="1" t="str">
        <f ca="1">IFERROR(__xludf.DUMMYFUNCTION("GOOGLETRANSLATE('대전도시공사_청년임대주택 현황_20240630'!H100,""ko"",""en"")"),"3rd place for youth rental")</f>
        <v>3rd place for youth rental</v>
      </c>
      <c r="I100" s="1" t="str">
        <f ca="1">IFERROR(__xludf.DUMMYFUNCTION("GOOGLETRANSLATE('대전도시공사_청년임대주택 현황_20240630'!I100,""ko"",""en"")"),"2000000")</f>
        <v>2000000</v>
      </c>
      <c r="J100" s="1" t="str">
        <f ca="1">IFERROR(__xludf.DUMMYFUNCTION("GOOGLETRANSLATE('대전도시공사_청년임대주택 현황_20240630'!J100,""ko"",""en"")"),"257200")</f>
        <v>257200</v>
      </c>
    </row>
    <row r="101" spans="1:10" ht="12.5" x14ac:dyDescent="0.25">
      <c r="A101" s="1" t="str">
        <f ca="1">IFERROR(__xludf.DUMMYFUNCTION("GOOGLETRANSLATE('대전도시공사_청년임대주택 현황_20240630'!A101,""ko"",""en"")"),"52-37, Gajeong-dong (Urban Hills 3, youth rental)")</f>
        <v>52-37, Gajeong-dong (Urban Hills 3, youth rental)</v>
      </c>
      <c r="B101" s="1" t="str">
        <f ca="1">IFERROR(__xludf.DUMMYFUNCTION("GOOGLETRANSLATE('대전도시공사_청년임대주택 현황_20240630'!B101,""ko"",""en"")"),"60")</f>
        <v>60</v>
      </c>
      <c r="C101" s="1" t="str">
        <f ca="1">IFERROR(__xludf.DUMMYFUNCTION("GOOGLETRANSLATE('대전도시공사_청년임대주택 현황_20240630'!C101,""ko"",""en"")"),"1")</f>
        <v>1</v>
      </c>
      <c r="D101" s="1" t="str">
        <f ca="1">IFERROR(__xludf.DUMMYFUNCTION("GOOGLETRANSLATE('대전도시공사_청년임대주택 현황_20240630'!D101,""ko"",""en"")"),"307")</f>
        <v>307</v>
      </c>
      <c r="E101" s="1" t="str">
        <f ca="1">IFERROR(__xludf.DUMMYFUNCTION("GOOGLETRANSLATE('대전도시공사_청년임대주택 현황_20240630'!E101,""ko"",""en"")"),"30.819")</f>
        <v>30.819</v>
      </c>
      <c r="F101" s="1" t="str">
        <f ca="1">IFERROR(__xludf.DUMMYFUNCTION("GOOGLETRANSLATE('대전도시공사_청년임대주택 현황_20240630'!F101,""ko"",""en"")"),"25.92")</f>
        <v>25.92</v>
      </c>
      <c r="G101" s="1" t="str">
        <f ca="1">IFERROR(__xludf.DUMMYFUNCTION("GOOGLETRANSLATE('대전도시공사_청년임대주택 현황_20240630'!G101,""ko"",""en"")"),"4.899")</f>
        <v>4.899</v>
      </c>
      <c r="H101" s="1" t="str">
        <f ca="1">IFERROR(__xludf.DUMMYFUNCTION("GOOGLETRANSLATE('대전도시공사_청년임대주택 현황_20240630'!H101,""ko"",""en"")"),"4th place for youth rental")</f>
        <v>4th place for youth rental</v>
      </c>
      <c r="I101" s="1" t="str">
        <f ca="1">IFERROR(__xludf.DUMMYFUNCTION("GOOGLETRANSLATE('대전도시공사_청년임대주택 현황_20240630'!I101,""ko"",""en"")"),"2000000")</f>
        <v>2000000</v>
      </c>
      <c r="J101" s="1" t="str">
        <f ca="1">IFERROR(__xludf.DUMMYFUNCTION("GOOGLETRANSLATE('대전도시공사_청년임대주택 현황_20240630'!J101,""ko"",""en"")"),"257200")</f>
        <v>257200</v>
      </c>
    </row>
    <row r="102" spans="1:10" ht="12.5" x14ac:dyDescent="0.25">
      <c r="A102" s="1" t="str">
        <f ca="1">IFERROR(__xludf.DUMMYFUNCTION("GOOGLETRANSLATE('대전도시공사_청년임대주택 현황_20240630'!A102,""ko"",""en"")"),"52-37, Gajeong-dong (Urban Hills 3, youth rental)")</f>
        <v>52-37, Gajeong-dong (Urban Hills 3, youth rental)</v>
      </c>
      <c r="B102" s="1" t="str">
        <f ca="1">IFERROR(__xludf.DUMMYFUNCTION("GOOGLETRANSLATE('대전도시공사_청년임대주택 현황_20240630'!B102,""ko"",""en"")"),"61")</f>
        <v>61</v>
      </c>
      <c r="C102" s="1" t="str">
        <f ca="1">IFERROR(__xludf.DUMMYFUNCTION("GOOGLETRANSLATE('대전도시공사_청년임대주택 현황_20240630'!C102,""ko"",""en"")"),"1")</f>
        <v>1</v>
      </c>
      <c r="D102" s="1" t="str">
        <f ca="1">IFERROR(__xludf.DUMMYFUNCTION("GOOGLETRANSLATE('대전도시공사_청년임대주택 현황_20240630'!D102,""ko"",""en"")"),"401")</f>
        <v>401</v>
      </c>
      <c r="E102" s="1" t="str">
        <f ca="1">IFERROR(__xludf.DUMMYFUNCTION("GOOGLETRANSLATE('대전도시공사_청년임대주택 현황_20240630'!E102,""ko"",""en"")"),"99.58")</f>
        <v>99.58</v>
      </c>
      <c r="F102" s="1" t="str">
        <f ca="1">IFERROR(__xludf.DUMMYFUNCTION("GOOGLETRANSLATE('대전도시공사_청년임대주택 현황_20240630'!F102,""ko"",""en"")"),"83.75")</f>
        <v>83.75</v>
      </c>
      <c r="G102" s="1" t="str">
        <f ca="1">IFERROR(__xludf.DUMMYFUNCTION("GOOGLETRANSLATE('대전도시공사_청년임대주택 현황_20240630'!G102,""ko"",""en"")"),"15.83")</f>
        <v>15.83</v>
      </c>
      <c r="H102" s="1" t="str">
        <f ca="1">IFERROR(__xludf.DUMMYFUNCTION("GOOGLETRANSLATE('대전도시공사_청년임대주택 현황_20240630'!H102,""ko"",""en"")"),"Newlyweds 1 (30% of the total price)")</f>
        <v>Newlyweds 1 (30% of the total price)</v>
      </c>
      <c r="I102" s="1" t="str">
        <f ca="1">IFERROR(__xludf.DUMMYFUNCTION("GOOGLETRANSLATE('대전도시공사_청년임대주택 현황_20240630'!I102,""ko"",""en"")"),"13916000")</f>
        <v>13916000</v>
      </c>
      <c r="J102" s="1" t="str">
        <f ca="1">IFERROR(__xludf.DUMMYFUNCTION("GOOGLETRANSLATE('대전도시공사_청년임대주택 현황_20240630'!J102,""ko"",""en"")"),"338400")</f>
        <v>338400</v>
      </c>
    </row>
    <row r="103" spans="1:10" ht="12.5" x14ac:dyDescent="0.25">
      <c r="A103" s="1" t="str">
        <f ca="1">IFERROR(__xludf.DUMMYFUNCTION("GOOGLETRANSLATE('대전도시공사_청년임대주택 현황_20240630'!A103,""ko"",""en"")"),"52-37, Gajeong-dong (Urban Hills 3, youth rental)")</f>
        <v>52-37, Gajeong-dong (Urban Hills 3, youth rental)</v>
      </c>
      <c r="B103" s="1" t="str">
        <f ca="1">IFERROR(__xludf.DUMMYFUNCTION("GOOGLETRANSLATE('대전도시공사_청년임대주택 현황_20240630'!B103,""ko"",""en"")"),"62")</f>
        <v>62</v>
      </c>
      <c r="C103" s="1" t="str">
        <f ca="1">IFERROR(__xludf.DUMMYFUNCTION("GOOGLETRANSLATE('대전도시공사_청년임대주택 현황_20240630'!C103,""ko"",""en"")"),"1")</f>
        <v>1</v>
      </c>
      <c r="D103" s="1" t="str">
        <f ca="1">IFERROR(__xludf.DUMMYFUNCTION("GOOGLETRANSLATE('대전도시공사_청년임대주택 현황_20240630'!D103,""ko"",""en"")"),"401")</f>
        <v>401</v>
      </c>
      <c r="E103" s="1" t="str">
        <f ca="1">IFERROR(__xludf.DUMMYFUNCTION("GOOGLETRANSLATE('대전도시공사_청년임대주택 현황_20240630'!E103,""ko"",""en"")"),"99.58")</f>
        <v>99.58</v>
      </c>
      <c r="F103" s="1" t="str">
        <f ca="1">IFERROR(__xludf.DUMMYFUNCTION("GOOGLETRANSLATE('대전도시공사_청년임대주택 현황_20240630'!F103,""ko"",""en"")"),"83.75")</f>
        <v>83.75</v>
      </c>
      <c r="G103" s="1" t="str">
        <f ca="1">IFERROR(__xludf.DUMMYFUNCTION("GOOGLETRANSLATE('대전도시공사_청년임대주택 현황_20240630'!G103,""ko"",""en"")"),"15.83")</f>
        <v>15.83</v>
      </c>
      <c r="H103" s="1" t="str">
        <f ca="1">IFERROR(__xludf.DUMMYFUNCTION("GOOGLETRANSLATE('대전도시공사_청년임대주택 현황_20240630'!H103,""ko"",""en"")"),"Newlyweds 1 (40% of the total price)")</f>
        <v>Newlyweds 1 (40% of the total price)</v>
      </c>
      <c r="I103" s="1" t="str">
        <f ca="1">IFERROR(__xludf.DUMMYFUNCTION("GOOGLETRANSLATE('대전도시공사_청년임대주택 현황_20240630'!I103,""ko"",""en"")"),"13916000")</f>
        <v>13916000</v>
      </c>
      <c r="J103" s="1" t="str">
        <f ca="1">IFERROR(__xludf.DUMMYFUNCTION("GOOGLETRANSLATE('대전도시공사_청년임대주택 현황_20240630'!J103,""ko"",""en"")"),"479200")</f>
        <v>479200</v>
      </c>
    </row>
    <row r="104" spans="1:10" ht="12.5" x14ac:dyDescent="0.25">
      <c r="A104" s="1" t="str">
        <f ca="1">IFERROR(__xludf.DUMMYFUNCTION("GOOGLETRANSLATE('대전도시공사_청년임대주택 현황_20240630'!A104,""ko"",""en"")"),"52-37, Gajeong-dong (Urban Hills 3, youth rental)")</f>
        <v>52-37, Gajeong-dong (Urban Hills 3, youth rental)</v>
      </c>
      <c r="B104" s="1" t="str">
        <f ca="1">IFERROR(__xludf.DUMMYFUNCTION("GOOGLETRANSLATE('대전도시공사_청년임대주택 현황_20240630'!B104,""ko"",""en"")"),"63")</f>
        <v>63</v>
      </c>
      <c r="C104" s="1" t="str">
        <f ca="1">IFERROR(__xludf.DUMMYFUNCTION("GOOGLETRANSLATE('대전도시공사_청년임대주택 현황_20240630'!C104,""ko"",""en"")"),"1")</f>
        <v>1</v>
      </c>
      <c r="D104" s="1" t="str">
        <f ca="1">IFERROR(__xludf.DUMMYFUNCTION("GOOGLETRANSLATE('대전도시공사_청년임대주택 현황_20240630'!D104,""ko"",""en"")"),"401")</f>
        <v>401</v>
      </c>
      <c r="E104" s="1" t="str">
        <f ca="1">IFERROR(__xludf.DUMMYFUNCTION("GOOGLETRANSLATE('대전도시공사_청년임대주택 현황_20240630'!E104,""ko"",""en"")"),"99.58")</f>
        <v>99.58</v>
      </c>
      <c r="F104" s="1" t="str">
        <f ca="1">IFERROR(__xludf.DUMMYFUNCTION("GOOGLETRANSLATE('대전도시공사_청년임대주택 현황_20240630'!F104,""ko"",""en"")"),"83.75")</f>
        <v>83.75</v>
      </c>
      <c r="G104" s="1" t="str">
        <f ca="1">IFERROR(__xludf.DUMMYFUNCTION("GOOGLETRANSLATE('대전도시공사_청년임대주택 현황_20240630'!G104,""ko"",""en"")"),"15.83")</f>
        <v>15.83</v>
      </c>
      <c r="H104" s="1" t="str">
        <f ca="1">IFERROR(__xludf.DUMMYFUNCTION("GOOGLETRANSLATE('대전도시공사_청년임대주택 현황_20240630'!H104,""ko"",""en"")"),"Newlyweds 2 (70% of the total price)")</f>
        <v>Newlyweds 2 (70% of the total price)</v>
      </c>
      <c r="I104" s="1" t="str">
        <f ca="1">IFERROR(__xludf.DUMMYFUNCTION("GOOGLETRANSLATE('대전도시공사_청년임대주택 현황_20240630'!I104,""ko"",""en"")"),"13916000")</f>
        <v>13916000</v>
      </c>
      <c r="J104" s="1" t="str">
        <f ca="1">IFERROR(__xludf.DUMMYFUNCTION("GOOGLETRANSLATE('대전도시공사_청년임대주택 현황_20240630'!J104,""ko"",""en"")"),"901600")</f>
        <v>901600</v>
      </c>
    </row>
    <row r="105" spans="1:10" ht="12.5" x14ac:dyDescent="0.25">
      <c r="A105" s="1" t="str">
        <f ca="1">IFERROR(__xludf.DUMMYFUNCTION("GOOGLETRANSLATE('대전도시공사_청년임대주택 현황_20240630'!A105,""ko"",""en"")"),"52-37, Gajeong-dong (Urban Hills 3, youth rental)")</f>
        <v>52-37, Gajeong-dong (Urban Hills 3, youth rental)</v>
      </c>
      <c r="B105" s="1" t="str">
        <f ca="1">IFERROR(__xludf.DUMMYFUNCTION("GOOGLETRANSLATE('대전도시공사_청년임대주택 현황_20240630'!B105,""ko"",""en"")"),"64")</f>
        <v>64</v>
      </c>
      <c r="C105" s="1" t="str">
        <f ca="1">IFERROR(__xludf.DUMMYFUNCTION("GOOGLETRANSLATE('대전도시공사_청년임대주택 현황_20240630'!C105,""ko"",""en"")"),"1")</f>
        <v>1</v>
      </c>
      <c r="D105" s="1" t="str">
        <f ca="1">IFERROR(__xludf.DUMMYFUNCTION("GOOGLETRANSLATE('대전도시공사_청년임대주택 현황_20240630'!D105,""ko"",""en"")"),"401")</f>
        <v>401</v>
      </c>
      <c r="E105" s="1" t="str">
        <f ca="1">IFERROR(__xludf.DUMMYFUNCTION("GOOGLETRANSLATE('대전도시공사_청년임대주택 현황_20240630'!E105,""ko"",""en"")"),"99.58")</f>
        <v>99.58</v>
      </c>
      <c r="F105" s="1" t="str">
        <f ca="1">IFERROR(__xludf.DUMMYFUNCTION("GOOGLETRANSLATE('대전도시공사_청년임대주택 현황_20240630'!F105,""ko"",""en"")"),"83.75")</f>
        <v>83.75</v>
      </c>
      <c r="G105" s="1" t="str">
        <f ca="1">IFERROR(__xludf.DUMMYFUNCTION("GOOGLETRANSLATE('대전도시공사_청년임대주택 현황_20240630'!G105,""ko"",""en"")"),"15.83")</f>
        <v>15.83</v>
      </c>
      <c r="H105" s="1" t="str">
        <f ca="1">IFERROR(__xludf.DUMMYFUNCTION("GOOGLETRANSLATE('대전도시공사_청년임대주택 현황_20240630'!H105,""ko"",""en"")"),"Newlyweds 2 (80% of the total price)")</f>
        <v>Newlyweds 2 (80% of the total price)</v>
      </c>
      <c r="I105" s="1" t="str">
        <f ca="1">IFERROR(__xludf.DUMMYFUNCTION("GOOGLETRANSLATE('대전도시공사_청년임대주택 현황_20240630'!I105,""ko"",""en"")"),"13916000")</f>
        <v>13916000</v>
      </c>
      <c r="J105" s="1" t="str">
        <f ca="1">IFERROR(__xludf.DUMMYFUNCTION("GOOGLETRANSLATE('대전도시공사_청년임대주택 현황_20240630'!J105,""ko"",""en"")"),"1042400")</f>
        <v>1042400</v>
      </c>
    </row>
    <row r="106" spans="1:10" ht="12.5" x14ac:dyDescent="0.25">
      <c r="A106" s="1" t="str">
        <f ca="1">IFERROR(__xludf.DUMMYFUNCTION("GOOGLETRANSLATE('대전도시공사_청년임대주택 현황_20240630'!A106,""ko"",""en"")"),"52-37, Gajeong-dong (Urban Hills 3, youth rental)")</f>
        <v>52-37, Gajeong-dong (Urban Hills 3, youth rental)</v>
      </c>
      <c r="B106" s="1" t="str">
        <f ca="1">IFERROR(__xludf.DUMMYFUNCTION("GOOGLETRANSLATE('대전도시공사_청년임대주택 현황_20240630'!B106,""ko"",""en"")"),"65")</f>
        <v>65</v>
      </c>
      <c r="C106" s="1" t="str">
        <f ca="1">IFERROR(__xludf.DUMMYFUNCTION("GOOGLETRANSLATE('대전도시공사_청년임대주택 현황_20240630'!C106,""ko"",""en"")"),"1")</f>
        <v>1</v>
      </c>
      <c r="D106" s="1" t="str">
        <f ca="1">IFERROR(__xludf.DUMMYFUNCTION("GOOGLETRANSLATE('대전도시공사_청년임대주택 현황_20240630'!D106,""ko"",""en"")"),"402")</f>
        <v>402</v>
      </c>
      <c r="E106" s="1" t="str">
        <f ca="1">IFERROR(__xludf.DUMMYFUNCTION("GOOGLETRANSLATE('대전도시공사_청년임대주택 현황_20240630'!E106,""ko"",""en"")"),"24.375")</f>
        <v>24.375</v>
      </c>
      <c r="F106" s="1" t="str">
        <f ca="1">IFERROR(__xludf.DUMMYFUNCTION("GOOGLETRANSLATE('대전도시공사_청년임대주택 현황_20240630'!F106,""ko"",""en"")"),"20.5")</f>
        <v>20.5</v>
      </c>
      <c r="G106" s="1" t="str">
        <f ca="1">IFERROR(__xludf.DUMMYFUNCTION("GOOGLETRANSLATE('대전도시공사_청년임대주택 현황_20240630'!G106,""ko"",""en"")"),"3.875")</f>
        <v>3.875</v>
      </c>
      <c r="H106" s="1" t="str">
        <f ca="1">IFERROR(__xludf.DUMMYFUNCTION("GOOGLETRANSLATE('대전도시공사_청년임대주택 현황_20240630'!H106,""ko"",""en"")"),"Beneficiary")</f>
        <v>Beneficiary</v>
      </c>
      <c r="I106" s="1" t="str">
        <f ca="1">IFERROR(__xludf.DUMMYFUNCTION("GOOGLETRANSLATE('대전도시공사_청년임대주택 현황_20240630'!I106,""ko"",""en"")"),"1000000")</f>
        <v>1000000</v>
      </c>
      <c r="J106" s="1" t="str">
        <f ca="1">IFERROR(__xludf.DUMMYFUNCTION("GOOGLETRANSLATE('대전도시공사_청년임대주택 현황_20240630'!J106,""ko"",""en"")"),"181100")</f>
        <v>181100</v>
      </c>
    </row>
    <row r="107" spans="1:10" ht="12.5" x14ac:dyDescent="0.25">
      <c r="A107" s="1" t="str">
        <f ca="1">IFERROR(__xludf.DUMMYFUNCTION("GOOGLETRANSLATE('대전도시공사_청년임대주택 현황_20240630'!A107,""ko"",""en"")"),"52-37, Gajeong-dong (Urban Hills 3, youth rental)")</f>
        <v>52-37, Gajeong-dong (Urban Hills 3, youth rental)</v>
      </c>
      <c r="B107" s="1" t="str">
        <f ca="1">IFERROR(__xludf.DUMMYFUNCTION("GOOGLETRANSLATE('대전도시공사_청년임대주택 현황_20240630'!B107,""ko"",""en"")"),"66")</f>
        <v>66</v>
      </c>
      <c r="C107" s="1" t="str">
        <f ca="1">IFERROR(__xludf.DUMMYFUNCTION("GOOGLETRANSLATE('대전도시공사_청년임대주택 현황_20240630'!C107,""ko"",""en"")"),"1")</f>
        <v>1</v>
      </c>
      <c r="D107" s="1" t="str">
        <f ca="1">IFERROR(__xludf.DUMMYFUNCTION("GOOGLETRANSLATE('대전도시공사_청년임대주택 현황_20240630'!D107,""ko"",""en"")"),"402")</f>
        <v>402</v>
      </c>
      <c r="E107" s="1" t="str">
        <f ca="1">IFERROR(__xludf.DUMMYFUNCTION("GOOGLETRANSLATE('대전도시공사_청년임대주택 현황_20240630'!E107,""ko"",""en"")"),"24.375")</f>
        <v>24.375</v>
      </c>
      <c r="F107" s="1" t="str">
        <f ca="1">IFERROR(__xludf.DUMMYFUNCTION("GOOGLETRANSLATE('대전도시공사_청년임대주택 현황_20240630'!F107,""ko"",""en"")"),"20.5")</f>
        <v>20.5</v>
      </c>
      <c r="G107" s="1" t="str">
        <f ca="1">IFERROR(__xludf.DUMMYFUNCTION("GOOGLETRANSLATE('대전도시공사_청년임대주택 현황_20240630'!G107,""ko"",""en"")"),"3.875")</f>
        <v>3.875</v>
      </c>
      <c r="H107" s="1" t="str">
        <f ca="1">IFERROR(__xludf.DUMMYFUNCTION("GOOGLETRANSLATE('대전도시공사_청년임대주택 현황_20240630'!H107,""ko"",""en"")"),"Youth Rent 1st Place")</f>
        <v>Youth Rent 1st Place</v>
      </c>
      <c r="I107" s="1" t="str">
        <f ca="1">IFERROR(__xludf.DUMMYFUNCTION("GOOGLETRANSLATE('대전도시공사_청년임대주택 현황_20240630'!I107,""ko"",""en"")"),"1000000")</f>
        <v>1000000</v>
      </c>
      <c r="J107" s="1" t="str">
        <f ca="1">IFERROR(__xludf.DUMMYFUNCTION("GOOGLETRANSLATE('대전도시공사_청년임대주택 현황_20240630'!J107,""ko"",""en"")"),"118100")</f>
        <v>118100</v>
      </c>
    </row>
    <row r="108" spans="1:10" ht="12.5" x14ac:dyDescent="0.25">
      <c r="A108" s="1" t="str">
        <f ca="1">IFERROR(__xludf.DUMMYFUNCTION("GOOGLETRANSLATE('대전도시공사_청년임대주택 현황_20240630'!A108,""ko"",""en"")"),"52-37, Gajeong-dong (Urban Hills 3, youth rental)")</f>
        <v>52-37, Gajeong-dong (Urban Hills 3, youth rental)</v>
      </c>
      <c r="B108" s="1" t="str">
        <f ca="1">IFERROR(__xludf.DUMMYFUNCTION("GOOGLETRANSLATE('대전도시공사_청년임대주택 현황_20240630'!B108,""ko"",""en"")"),"67")</f>
        <v>67</v>
      </c>
      <c r="C108" s="1" t="str">
        <f ca="1">IFERROR(__xludf.DUMMYFUNCTION("GOOGLETRANSLATE('대전도시공사_청년임대주택 현황_20240630'!C108,""ko"",""en"")"),"1")</f>
        <v>1</v>
      </c>
      <c r="D108" s="1" t="str">
        <f ca="1">IFERROR(__xludf.DUMMYFUNCTION("GOOGLETRANSLATE('대전도시공사_청년임대주택 현황_20240630'!D108,""ko"",""en"")"),"402")</f>
        <v>402</v>
      </c>
      <c r="E108" s="1" t="str">
        <f ca="1">IFERROR(__xludf.DUMMYFUNCTION("GOOGLETRANSLATE('대전도시공사_청년임대주택 현황_20240630'!E108,""ko"",""en"")"),"24.375")</f>
        <v>24.375</v>
      </c>
      <c r="F108" s="1" t="str">
        <f ca="1">IFERROR(__xludf.DUMMYFUNCTION("GOOGLETRANSLATE('대전도시공사_청년임대주택 현황_20240630'!F108,""ko"",""en"")"),"20.5")</f>
        <v>20.5</v>
      </c>
      <c r="G108" s="1" t="str">
        <f ca="1">IFERROR(__xludf.DUMMYFUNCTION("GOOGLETRANSLATE('대전도시공사_청년임대주택 현황_20240630'!G108,""ko"",""en"")"),"3.875")</f>
        <v>3.875</v>
      </c>
      <c r="H108" s="1" t="str">
        <f ca="1">IFERROR(__xludf.DUMMYFUNCTION("GOOGLETRANSLATE('대전도시공사_청년임대주택 현황_20240630'!H108,""ko"",""en"")"),"Youth Rental 2nd Place")</f>
        <v>Youth Rental 2nd Place</v>
      </c>
      <c r="I108" s="1" t="str">
        <f ca="1">IFERROR(__xludf.DUMMYFUNCTION("GOOGLETRANSLATE('대전도시공사_청년임대주택 현황_20240630'!I108,""ko"",""en"")"),"2000000")</f>
        <v>2000000</v>
      </c>
      <c r="J108" s="1" t="str">
        <f ca="1">IFERROR(__xludf.DUMMYFUNCTION("GOOGLETRANSLATE('대전도시공사_청년임대주택 현황_20240630'!J108,""ko"",""en"")"),"194500")</f>
        <v>194500</v>
      </c>
    </row>
    <row r="109" spans="1:10" ht="12.5" x14ac:dyDescent="0.25">
      <c r="A109" s="1" t="str">
        <f ca="1">IFERROR(__xludf.DUMMYFUNCTION("GOOGLETRANSLATE('대전도시공사_청년임대주택 현황_20240630'!A109,""ko"",""en"")"),"52-37, Gajeong-dong (Urban Hills 3, youth rental)")</f>
        <v>52-37, Gajeong-dong (Urban Hills 3, youth rental)</v>
      </c>
      <c r="B109" s="1" t="str">
        <f ca="1">IFERROR(__xludf.DUMMYFUNCTION("GOOGLETRANSLATE('대전도시공사_청년임대주택 현황_20240630'!B109,""ko"",""en"")"),"68")</f>
        <v>68</v>
      </c>
      <c r="C109" s="1" t="str">
        <f ca="1">IFERROR(__xludf.DUMMYFUNCTION("GOOGLETRANSLATE('대전도시공사_청년임대주택 현황_20240630'!C109,""ko"",""en"")"),"1")</f>
        <v>1</v>
      </c>
      <c r="D109" s="1" t="str">
        <f ca="1">IFERROR(__xludf.DUMMYFUNCTION("GOOGLETRANSLATE('대전도시공사_청년임대주택 현황_20240630'!D109,""ko"",""en"")"),"402")</f>
        <v>402</v>
      </c>
      <c r="E109" s="1" t="str">
        <f ca="1">IFERROR(__xludf.DUMMYFUNCTION("GOOGLETRANSLATE('대전도시공사_청년임대주택 현황_20240630'!E109,""ko"",""en"")"),"24.375")</f>
        <v>24.375</v>
      </c>
      <c r="F109" s="1" t="str">
        <f ca="1">IFERROR(__xludf.DUMMYFUNCTION("GOOGLETRANSLATE('대전도시공사_청년임대주택 현황_20240630'!F109,""ko"",""en"")"),"20.5")</f>
        <v>20.5</v>
      </c>
      <c r="G109" s="1" t="str">
        <f ca="1">IFERROR(__xludf.DUMMYFUNCTION("GOOGLETRANSLATE('대전도시공사_청년임대주택 현황_20240630'!G109,""ko"",""en"")"),"3.875")</f>
        <v>3.875</v>
      </c>
      <c r="H109" s="1" t="str">
        <f ca="1">IFERROR(__xludf.DUMMYFUNCTION("GOOGLETRANSLATE('대전도시공사_청년임대주택 현황_20240630'!H109,""ko"",""en"")"),"3rd place for youth rental")</f>
        <v>3rd place for youth rental</v>
      </c>
      <c r="I109" s="1" t="str">
        <f ca="1">IFERROR(__xludf.DUMMYFUNCTION("GOOGLETRANSLATE('대전도시공사_청년임대주택 현황_20240630'!I109,""ko"",""en"")"),"2000000")</f>
        <v>2000000</v>
      </c>
      <c r="J109" s="1" t="str">
        <f ca="1">IFERROR(__xludf.DUMMYFUNCTION("GOOGLETRANSLATE('대전도시공사_청년임대주택 현황_20240630'!J109,""ko"",""en"")"),"194500")</f>
        <v>194500</v>
      </c>
    </row>
    <row r="110" spans="1:10" ht="12.5" x14ac:dyDescent="0.25">
      <c r="A110" s="1" t="str">
        <f ca="1">IFERROR(__xludf.DUMMYFUNCTION("GOOGLETRANSLATE('대전도시공사_청년임대주택 현황_20240630'!A110,""ko"",""en"")"),"52-37, Gajeong-dong (Urban Hills 3, youth rental)")</f>
        <v>52-37, Gajeong-dong (Urban Hills 3, youth rental)</v>
      </c>
      <c r="B110" s="1" t="str">
        <f ca="1">IFERROR(__xludf.DUMMYFUNCTION("GOOGLETRANSLATE('대전도시공사_청년임대주택 현황_20240630'!B110,""ko"",""en"")"),"69")</f>
        <v>69</v>
      </c>
      <c r="C110" s="1" t="str">
        <f ca="1">IFERROR(__xludf.DUMMYFUNCTION("GOOGLETRANSLATE('대전도시공사_청년임대주택 현황_20240630'!C110,""ko"",""en"")"),"1")</f>
        <v>1</v>
      </c>
      <c r="D110" s="1" t="str">
        <f ca="1">IFERROR(__xludf.DUMMYFUNCTION("GOOGLETRANSLATE('대전도시공사_청년임대주택 현황_20240630'!D110,""ko"",""en"")"),"402")</f>
        <v>402</v>
      </c>
      <c r="E110" s="1" t="str">
        <f ca="1">IFERROR(__xludf.DUMMYFUNCTION("GOOGLETRANSLATE('대전도시공사_청년임대주택 현황_20240630'!E110,""ko"",""en"")"),"24.375")</f>
        <v>24.375</v>
      </c>
      <c r="F110" s="1" t="str">
        <f ca="1">IFERROR(__xludf.DUMMYFUNCTION("GOOGLETRANSLATE('대전도시공사_청년임대주택 현황_20240630'!F110,""ko"",""en"")"),"20.5")</f>
        <v>20.5</v>
      </c>
      <c r="G110" s="1" t="str">
        <f ca="1">IFERROR(__xludf.DUMMYFUNCTION("GOOGLETRANSLATE('대전도시공사_청년임대주택 현황_20240630'!G110,""ko"",""en"")"),"3.875")</f>
        <v>3.875</v>
      </c>
      <c r="H110" s="1" t="str">
        <f ca="1">IFERROR(__xludf.DUMMYFUNCTION("GOOGLETRANSLATE('대전도시공사_청년임대주택 현황_20240630'!H110,""ko"",""en"")"),"4th place for youth rental")</f>
        <v>4th place for youth rental</v>
      </c>
      <c r="I110" s="1" t="str">
        <f ca="1">IFERROR(__xludf.DUMMYFUNCTION("GOOGLETRANSLATE('대전도시공사_청년임대주택 현황_20240630'!I110,""ko"",""en"")"),"2000000")</f>
        <v>2000000</v>
      </c>
      <c r="J110" s="1" t="str">
        <f ca="1">IFERROR(__xludf.DUMMYFUNCTION("GOOGLETRANSLATE('대전도시공사_청년임대주택 현황_20240630'!J110,""ko"",""en"")"),"194500")</f>
        <v>194500</v>
      </c>
    </row>
    <row r="111" spans="1:10" ht="12.5" x14ac:dyDescent="0.25">
      <c r="A111" s="1" t="str">
        <f ca="1">IFERROR(__xludf.DUMMYFUNCTION("GOOGLETRANSLATE('대전도시공사_청년임대주택 현황_20240630'!A111,""ko"",""en"")"),"52-37, Gajeong-dong (Urban Hills 3, youth rental)")</f>
        <v>52-37, Gajeong-dong (Urban Hills 3, youth rental)</v>
      </c>
      <c r="B111" s="1" t="str">
        <f ca="1">IFERROR(__xludf.DUMMYFUNCTION("GOOGLETRANSLATE('대전도시공사_청년임대주택 현황_20240630'!B111,""ko"",""en"")"),"70")</f>
        <v>70</v>
      </c>
      <c r="C111" s="1" t="str">
        <f ca="1">IFERROR(__xludf.DUMMYFUNCTION("GOOGLETRANSLATE('대전도시공사_청년임대주택 현황_20240630'!C111,""ko"",""en"")"),"1")</f>
        <v>1</v>
      </c>
      <c r="D111" s="1" t="str">
        <f ca="1">IFERROR(__xludf.DUMMYFUNCTION("GOOGLETRANSLATE('대전도시공사_청년임대주택 현황_20240630'!D111,""ko"",""en"")"),"403")</f>
        <v>403</v>
      </c>
      <c r="E111" s="1" t="str">
        <f ca="1">IFERROR(__xludf.DUMMYFUNCTION("GOOGLETRANSLATE('대전도시공사_청년임대주택 현황_20240630'!E111,""ko"",""en"")"),"23.78")</f>
        <v>23.78</v>
      </c>
      <c r="F111" s="1" t="str">
        <f ca="1">IFERROR(__xludf.DUMMYFUNCTION("GOOGLETRANSLATE('대전도시공사_청년임대주택 현황_20240630'!F111,""ko"",""en"")"),"20")</f>
        <v>20</v>
      </c>
      <c r="G111" s="1" t="str">
        <f ca="1">IFERROR(__xludf.DUMMYFUNCTION("GOOGLETRANSLATE('대전도시공사_청년임대주택 현황_20240630'!G111,""ko"",""en"")"),"3.78")</f>
        <v>3.78</v>
      </c>
      <c r="H111" s="1" t="str">
        <f ca="1">IFERROR(__xludf.DUMMYFUNCTION("GOOGLETRANSLATE('대전도시공사_청년임대주택 현황_20240630'!H111,""ko"",""en"")"),"Youth Rent 1st Place")</f>
        <v>Youth Rent 1st Place</v>
      </c>
      <c r="I111" s="1" t="str">
        <f ca="1">IFERROR(__xludf.DUMMYFUNCTION("GOOGLETRANSLATE('대전도시공사_청년임대주택 현황_20240630'!I111,""ko"",""en"")"),"1000000")</f>
        <v>1000000</v>
      </c>
      <c r="J111" s="1" t="str">
        <f ca="1">IFERROR(__xludf.DUMMYFUNCTION("GOOGLETRANSLATE('대전도시공사_청년임대주택 현황_20240630'!J111,""ko"",""en"")"),"115100")</f>
        <v>115100</v>
      </c>
    </row>
    <row r="112" spans="1:10" ht="12.5" x14ac:dyDescent="0.25">
      <c r="A112" s="1" t="str">
        <f ca="1">IFERROR(__xludf.DUMMYFUNCTION("GOOGLETRANSLATE('대전도시공사_청년임대주택 현황_20240630'!A112,""ko"",""en"")"),"52-37, Gajeong-dong (Urban Hills 3, youth rental)")</f>
        <v>52-37, Gajeong-dong (Urban Hills 3, youth rental)</v>
      </c>
      <c r="B112" s="1" t="str">
        <f ca="1">IFERROR(__xludf.DUMMYFUNCTION("GOOGLETRANSLATE('대전도시공사_청년임대주택 현황_20240630'!B112,""ko"",""en"")"),"71")</f>
        <v>71</v>
      </c>
      <c r="C112" s="1" t="str">
        <f ca="1">IFERROR(__xludf.DUMMYFUNCTION("GOOGLETRANSLATE('대전도시공사_청년임대주택 현황_20240630'!C112,""ko"",""en"")"),"1")</f>
        <v>1</v>
      </c>
      <c r="D112" s="1" t="str">
        <f ca="1">IFERROR(__xludf.DUMMYFUNCTION("GOOGLETRANSLATE('대전도시공사_청년임대주택 현황_20240630'!D112,""ko"",""en"")"),"403")</f>
        <v>403</v>
      </c>
      <c r="E112" s="1" t="str">
        <f ca="1">IFERROR(__xludf.DUMMYFUNCTION("GOOGLETRANSLATE('대전도시공사_청년임대주택 현황_20240630'!E112,""ko"",""en"")"),"23.78")</f>
        <v>23.78</v>
      </c>
      <c r="F112" s="1" t="str">
        <f ca="1">IFERROR(__xludf.DUMMYFUNCTION("GOOGLETRANSLATE('대전도시공사_청년임대주택 현황_20240630'!F112,""ko"",""en"")"),"20")</f>
        <v>20</v>
      </c>
      <c r="G112" s="1" t="str">
        <f ca="1">IFERROR(__xludf.DUMMYFUNCTION("GOOGLETRANSLATE('대전도시공사_청년임대주택 현황_20240630'!G112,""ko"",""en"")"),"3.78")</f>
        <v>3.78</v>
      </c>
      <c r="H112" s="1" t="str">
        <f ca="1">IFERROR(__xludf.DUMMYFUNCTION("GOOGLETRANSLATE('대전도시공사_청년임대주택 현황_20240630'!H112,""ko"",""en"")"),"Youth Rental 2nd Place")</f>
        <v>Youth Rental 2nd Place</v>
      </c>
      <c r="I112" s="1" t="str">
        <f ca="1">IFERROR(__xludf.DUMMYFUNCTION("GOOGLETRANSLATE('대전도시공사_청년임대주택 현황_20240630'!I112,""ko"",""en"")"),"2000000")</f>
        <v>2000000</v>
      </c>
      <c r="J112" s="1" t="str">
        <f ca="1">IFERROR(__xludf.DUMMYFUNCTION("GOOGLETRANSLATE('대전도시공사_청년임대주택 현황_20240630'!J112,""ko"",""en"")"),"189400")</f>
        <v>189400</v>
      </c>
    </row>
    <row r="113" spans="1:10" ht="12.5" x14ac:dyDescent="0.25">
      <c r="A113" s="1" t="str">
        <f ca="1">IFERROR(__xludf.DUMMYFUNCTION("GOOGLETRANSLATE('대전도시공사_청년임대주택 현황_20240630'!A113,""ko"",""en"")"),"52-37, Gajeong-dong (Urban Hills 3, youth rental)")</f>
        <v>52-37, Gajeong-dong (Urban Hills 3, youth rental)</v>
      </c>
      <c r="B113" s="1" t="str">
        <f ca="1">IFERROR(__xludf.DUMMYFUNCTION("GOOGLETRANSLATE('대전도시공사_청년임대주택 현황_20240630'!B113,""ko"",""en"")"),"72")</f>
        <v>72</v>
      </c>
      <c r="C113" s="1" t="str">
        <f ca="1">IFERROR(__xludf.DUMMYFUNCTION("GOOGLETRANSLATE('대전도시공사_청년임대주택 현황_20240630'!C113,""ko"",""en"")"),"1")</f>
        <v>1</v>
      </c>
      <c r="D113" s="1" t="str">
        <f ca="1">IFERROR(__xludf.DUMMYFUNCTION("GOOGLETRANSLATE('대전도시공사_청년임대주택 현황_20240630'!D113,""ko"",""en"")"),"403")</f>
        <v>403</v>
      </c>
      <c r="E113" s="1" t="str">
        <f ca="1">IFERROR(__xludf.DUMMYFUNCTION("GOOGLETRANSLATE('대전도시공사_청년임대주택 현황_20240630'!E113,""ko"",""en"")"),"23.78")</f>
        <v>23.78</v>
      </c>
      <c r="F113" s="1" t="str">
        <f ca="1">IFERROR(__xludf.DUMMYFUNCTION("GOOGLETRANSLATE('대전도시공사_청년임대주택 현황_20240630'!F113,""ko"",""en"")"),"20")</f>
        <v>20</v>
      </c>
      <c r="G113" s="1" t="str">
        <f ca="1">IFERROR(__xludf.DUMMYFUNCTION("GOOGLETRANSLATE('대전도시공사_청년임대주택 현황_20240630'!G113,""ko"",""en"")"),"3.78")</f>
        <v>3.78</v>
      </c>
      <c r="H113" s="1" t="str">
        <f ca="1">IFERROR(__xludf.DUMMYFUNCTION("GOOGLETRANSLATE('대전도시공사_청년임대주택 현황_20240630'!H113,""ko"",""en"")"),"3rd place for youth rental")</f>
        <v>3rd place for youth rental</v>
      </c>
      <c r="I113" s="1" t="str">
        <f ca="1">IFERROR(__xludf.DUMMYFUNCTION("GOOGLETRANSLATE('대전도시공사_청년임대주택 현황_20240630'!I113,""ko"",""en"")"),"2000000")</f>
        <v>2000000</v>
      </c>
      <c r="J113" s="1" t="str">
        <f ca="1">IFERROR(__xludf.DUMMYFUNCTION("GOOGLETRANSLATE('대전도시공사_청년임대주택 현황_20240630'!J113,""ko"",""en"")"),"189400")</f>
        <v>189400</v>
      </c>
    </row>
    <row r="114" spans="1:10" ht="12.5" x14ac:dyDescent="0.25">
      <c r="A114" s="1" t="str">
        <f ca="1">IFERROR(__xludf.DUMMYFUNCTION("GOOGLETRANSLATE('대전도시공사_청년임대주택 현황_20240630'!A114,""ko"",""en"")"),"52-37, Gajeong-dong (Urban Hills 3, youth rental)")</f>
        <v>52-37, Gajeong-dong (Urban Hills 3, youth rental)</v>
      </c>
      <c r="B114" s="1" t="str">
        <f ca="1">IFERROR(__xludf.DUMMYFUNCTION("GOOGLETRANSLATE('대전도시공사_청년임대주택 현황_20240630'!B114,""ko"",""en"")"),"73")</f>
        <v>73</v>
      </c>
      <c r="C114" s="1" t="str">
        <f ca="1">IFERROR(__xludf.DUMMYFUNCTION("GOOGLETRANSLATE('대전도시공사_청년임대주택 현황_20240630'!C114,""ko"",""en"")"),"1")</f>
        <v>1</v>
      </c>
      <c r="D114" s="1" t="str">
        <f ca="1">IFERROR(__xludf.DUMMYFUNCTION("GOOGLETRANSLATE('대전도시공사_청년임대주택 현황_20240630'!D114,""ko"",""en"")"),"403")</f>
        <v>403</v>
      </c>
      <c r="E114" s="1" t="str">
        <f ca="1">IFERROR(__xludf.DUMMYFUNCTION("GOOGLETRANSLATE('대전도시공사_청년임대주택 현황_20240630'!E114,""ko"",""en"")"),"23.78")</f>
        <v>23.78</v>
      </c>
      <c r="F114" s="1" t="str">
        <f ca="1">IFERROR(__xludf.DUMMYFUNCTION("GOOGLETRANSLATE('대전도시공사_청년임대주택 현황_20240630'!F114,""ko"",""en"")"),"20")</f>
        <v>20</v>
      </c>
      <c r="G114" s="1" t="str">
        <f ca="1">IFERROR(__xludf.DUMMYFUNCTION("GOOGLETRANSLATE('대전도시공사_청년임대주택 현황_20240630'!G114,""ko"",""en"")"),"3.78")</f>
        <v>3.78</v>
      </c>
      <c r="H114" s="1" t="str">
        <f ca="1">IFERROR(__xludf.DUMMYFUNCTION("GOOGLETRANSLATE('대전도시공사_청년임대주택 현황_20240630'!H114,""ko"",""en"")"),"4th place for youth rental")</f>
        <v>4th place for youth rental</v>
      </c>
      <c r="I114" s="1" t="str">
        <f ca="1">IFERROR(__xludf.DUMMYFUNCTION("GOOGLETRANSLATE('대전도시공사_청년임대주택 현황_20240630'!I114,""ko"",""en"")"),"2000000")</f>
        <v>2000000</v>
      </c>
      <c r="J114" s="1" t="str">
        <f ca="1">IFERROR(__xludf.DUMMYFUNCTION("GOOGLETRANSLATE('대전도시공사_청년임대주택 현황_20240630'!J114,""ko"",""en"")"),"189400")</f>
        <v>189400</v>
      </c>
    </row>
    <row r="115" spans="1:10" ht="12.5" x14ac:dyDescent="0.25">
      <c r="A115" s="1" t="str">
        <f ca="1">IFERROR(__xludf.DUMMYFUNCTION("GOOGLETRANSLATE('대전도시공사_청년임대주택 현황_20240630'!A115,""ko"",""en"")"),"52-37, Gajeong-dong (Urban Hills 3, youth rental)")</f>
        <v>52-37, Gajeong-dong (Urban Hills 3, youth rental)</v>
      </c>
      <c r="B115" s="1" t="str">
        <f ca="1">IFERROR(__xludf.DUMMYFUNCTION("GOOGLETRANSLATE('대전도시공사_청년임대주택 현황_20240630'!B115,""ko"",""en"")"),"74")</f>
        <v>74</v>
      </c>
      <c r="C115" s="1" t="str">
        <f ca="1">IFERROR(__xludf.DUMMYFUNCTION("GOOGLETRANSLATE('대전도시공사_청년임대주택 현황_20240630'!C115,""ko"",""en"")"),"1")</f>
        <v>1</v>
      </c>
      <c r="D115" s="1" t="str">
        <f ca="1">IFERROR(__xludf.DUMMYFUNCTION("GOOGLETRANSLATE('대전도시공사_청년임대주택 현황_20240630'!D115,""ko"",""en"")"),"404")</f>
        <v>404</v>
      </c>
      <c r="E115" s="1" t="str">
        <f ca="1">IFERROR(__xludf.DUMMYFUNCTION("GOOGLETRANSLATE('대전도시공사_청년임대주택 현황_20240630'!E115,""ko"",""en"")"),"34.577")</f>
        <v>34.577</v>
      </c>
      <c r="F115" s="1" t="str">
        <f ca="1">IFERROR(__xludf.DUMMYFUNCTION("GOOGLETRANSLATE('대전도시공사_청년임대주택 현황_20240630'!F115,""ko"",""en"")"),"29.08")</f>
        <v>29.08</v>
      </c>
      <c r="G115" s="1" t="str">
        <f ca="1">IFERROR(__xludf.DUMMYFUNCTION("GOOGLETRANSLATE('대전도시공사_청년임대주택 현황_20240630'!G115,""ko"",""en"")"),"5.497")</f>
        <v>5.497</v>
      </c>
      <c r="H115" s="1" t="str">
        <f ca="1">IFERROR(__xludf.DUMMYFUNCTION("GOOGLETRANSLATE('대전도시공사_청년임대주택 현황_20240630'!H115,""ko"",""en"")"),"Youth Rent 1st Place")</f>
        <v>Youth Rent 1st Place</v>
      </c>
      <c r="I115" s="1" t="str">
        <f ca="1">IFERROR(__xludf.DUMMYFUNCTION("GOOGLETRANSLATE('대전도시공사_청년임대주택 현황_20240630'!I115,""ko"",""en"")"),"1000000")</f>
        <v>1000000</v>
      </c>
      <c r="J115" s="1" t="str">
        <f ca="1">IFERROR(__xludf.DUMMYFUNCTION("GOOGLETRANSLATE('대전도시공사_청년임대주택 현황_20240630'!J115,""ko"",""en"")"),"173800")</f>
        <v>173800</v>
      </c>
    </row>
    <row r="116" spans="1:10" ht="12.5" x14ac:dyDescent="0.25">
      <c r="A116" s="1" t="str">
        <f ca="1">IFERROR(__xludf.DUMMYFUNCTION("GOOGLETRANSLATE('대전도시공사_청년임대주택 현황_20240630'!A116,""ko"",""en"")"),"52-37, Gajeong-dong (Urban Hills 3, youth rental)")</f>
        <v>52-37, Gajeong-dong (Urban Hills 3, youth rental)</v>
      </c>
      <c r="B116" s="1" t="str">
        <f ca="1">IFERROR(__xludf.DUMMYFUNCTION("GOOGLETRANSLATE('대전도시공사_청년임대주택 현황_20240630'!B116,""ko"",""en"")"),"75")</f>
        <v>75</v>
      </c>
      <c r="C116" s="1" t="str">
        <f ca="1">IFERROR(__xludf.DUMMYFUNCTION("GOOGLETRANSLATE('대전도시공사_청년임대주택 현황_20240630'!C116,""ko"",""en"")"),"1")</f>
        <v>1</v>
      </c>
      <c r="D116" s="1" t="str">
        <f ca="1">IFERROR(__xludf.DUMMYFUNCTION("GOOGLETRANSLATE('대전도시공사_청년임대주택 현황_20240630'!D116,""ko"",""en"")"),"404")</f>
        <v>404</v>
      </c>
      <c r="E116" s="1" t="str">
        <f ca="1">IFERROR(__xludf.DUMMYFUNCTION("GOOGLETRANSLATE('대전도시공사_청년임대주택 현황_20240630'!E116,""ko"",""en"")"),"34.577")</f>
        <v>34.577</v>
      </c>
      <c r="F116" s="1" t="str">
        <f ca="1">IFERROR(__xludf.DUMMYFUNCTION("GOOGLETRANSLATE('대전도시공사_청년임대주택 현황_20240630'!F116,""ko"",""en"")"),"29.08")</f>
        <v>29.08</v>
      </c>
      <c r="G116" s="1" t="str">
        <f ca="1">IFERROR(__xludf.DUMMYFUNCTION("GOOGLETRANSLATE('대전도시공사_청년임대주택 현황_20240630'!G116,""ko"",""en"")"),"5.497")</f>
        <v>5.497</v>
      </c>
      <c r="H116" s="1" t="str">
        <f ca="1">IFERROR(__xludf.DUMMYFUNCTION("GOOGLETRANSLATE('대전도시공사_청년임대주택 현황_20240630'!H116,""ko"",""en"")"),"Youth Rental 2nd Place")</f>
        <v>Youth Rental 2nd Place</v>
      </c>
      <c r="I116" s="1" t="str">
        <f ca="1">IFERROR(__xludf.DUMMYFUNCTION("GOOGLETRANSLATE('대전도시공사_청년임대주택 현황_20240630'!I116,""ko"",""en"")"),"2000000")</f>
        <v>2000000</v>
      </c>
      <c r="J116" s="1" t="str">
        <f ca="1">IFERROR(__xludf.DUMMYFUNCTION("GOOGLETRANSLATE('대전도시공사_청년임대주택 현황_20240630'!J116,""ko"",""en"")"),"287200")</f>
        <v>287200</v>
      </c>
    </row>
    <row r="117" spans="1:10" ht="12.5" x14ac:dyDescent="0.25">
      <c r="A117" s="1" t="str">
        <f ca="1">IFERROR(__xludf.DUMMYFUNCTION("GOOGLETRANSLATE('대전도시공사_청년임대주택 현황_20240630'!A117,""ko"",""en"")"),"52-37, Gajeong-dong (Urban Hills 3, youth rental)")</f>
        <v>52-37, Gajeong-dong (Urban Hills 3, youth rental)</v>
      </c>
      <c r="B117" s="1" t="str">
        <f ca="1">IFERROR(__xludf.DUMMYFUNCTION("GOOGLETRANSLATE('대전도시공사_청년임대주택 현황_20240630'!B117,""ko"",""en"")"),"76")</f>
        <v>76</v>
      </c>
      <c r="C117" s="1" t="str">
        <f ca="1">IFERROR(__xludf.DUMMYFUNCTION("GOOGLETRANSLATE('대전도시공사_청년임대주택 현황_20240630'!C117,""ko"",""en"")"),"1")</f>
        <v>1</v>
      </c>
      <c r="D117" s="1" t="str">
        <f ca="1">IFERROR(__xludf.DUMMYFUNCTION("GOOGLETRANSLATE('대전도시공사_청년임대주택 현황_20240630'!D117,""ko"",""en"")"),"404")</f>
        <v>404</v>
      </c>
      <c r="E117" s="1" t="str">
        <f ca="1">IFERROR(__xludf.DUMMYFUNCTION("GOOGLETRANSLATE('대전도시공사_청년임대주택 현황_20240630'!E117,""ko"",""en"")"),"34.577")</f>
        <v>34.577</v>
      </c>
      <c r="F117" s="1" t="str">
        <f ca="1">IFERROR(__xludf.DUMMYFUNCTION("GOOGLETRANSLATE('대전도시공사_청년임대주택 현황_20240630'!F117,""ko"",""en"")"),"29.08")</f>
        <v>29.08</v>
      </c>
      <c r="G117" s="1" t="str">
        <f ca="1">IFERROR(__xludf.DUMMYFUNCTION("GOOGLETRANSLATE('대전도시공사_청년임대주택 현황_20240630'!G117,""ko"",""en"")"),"5.497")</f>
        <v>5.497</v>
      </c>
      <c r="H117" s="1" t="str">
        <f ca="1">IFERROR(__xludf.DUMMYFUNCTION("GOOGLETRANSLATE('대전도시공사_청년임대주택 현황_20240630'!H117,""ko"",""en"")"),"3rd place for youth rental")</f>
        <v>3rd place for youth rental</v>
      </c>
      <c r="I117" s="1" t="str">
        <f ca="1">IFERROR(__xludf.DUMMYFUNCTION("GOOGLETRANSLATE('대전도시공사_청년임대주택 현황_20240630'!I117,""ko"",""en"")"),"2000000")</f>
        <v>2000000</v>
      </c>
      <c r="J117" s="1" t="str">
        <f ca="1">IFERROR(__xludf.DUMMYFUNCTION("GOOGLETRANSLATE('대전도시공사_청년임대주택 현황_20240630'!J117,""ko"",""en"")"),"287200")</f>
        <v>287200</v>
      </c>
    </row>
    <row r="118" spans="1:10" ht="12.5" x14ac:dyDescent="0.25">
      <c r="A118" s="1" t="str">
        <f ca="1">IFERROR(__xludf.DUMMYFUNCTION("GOOGLETRANSLATE('대전도시공사_청년임대주택 현황_20240630'!A118,""ko"",""en"")"),"52-37, Gajeong-dong (Urban Hills 3, youth rental)")</f>
        <v>52-37, Gajeong-dong (Urban Hills 3, youth rental)</v>
      </c>
      <c r="B118" s="1" t="str">
        <f ca="1">IFERROR(__xludf.DUMMYFUNCTION("GOOGLETRANSLATE('대전도시공사_청년임대주택 현황_20240630'!B118,""ko"",""en"")"),"77")</f>
        <v>77</v>
      </c>
      <c r="C118" s="1" t="str">
        <f ca="1">IFERROR(__xludf.DUMMYFUNCTION("GOOGLETRANSLATE('대전도시공사_청년임대주택 현황_20240630'!C118,""ko"",""en"")"),"1")</f>
        <v>1</v>
      </c>
      <c r="D118" s="1" t="str">
        <f ca="1">IFERROR(__xludf.DUMMYFUNCTION("GOOGLETRANSLATE('대전도시공사_청년임대주택 현황_20240630'!D118,""ko"",""en"")"),"404")</f>
        <v>404</v>
      </c>
      <c r="E118" s="1" t="str">
        <f ca="1">IFERROR(__xludf.DUMMYFUNCTION("GOOGLETRANSLATE('대전도시공사_청년임대주택 현황_20240630'!E118,""ko"",""en"")"),"34.577")</f>
        <v>34.577</v>
      </c>
      <c r="F118" s="1" t="str">
        <f ca="1">IFERROR(__xludf.DUMMYFUNCTION("GOOGLETRANSLATE('대전도시공사_청년임대주택 현황_20240630'!F118,""ko"",""en"")"),"29.08")</f>
        <v>29.08</v>
      </c>
      <c r="G118" s="1" t="str">
        <f ca="1">IFERROR(__xludf.DUMMYFUNCTION("GOOGLETRANSLATE('대전도시공사_청년임대주택 현황_20240630'!G118,""ko"",""en"")"),"5.497")</f>
        <v>5.497</v>
      </c>
      <c r="H118" s="1" t="str">
        <f ca="1">IFERROR(__xludf.DUMMYFUNCTION("GOOGLETRANSLATE('대전도시공사_청년임대주택 현황_20240630'!H118,""ko"",""en"")"),"4th place for youth rental")</f>
        <v>4th place for youth rental</v>
      </c>
      <c r="I118" s="1" t="str">
        <f ca="1">IFERROR(__xludf.DUMMYFUNCTION("GOOGLETRANSLATE('대전도시공사_청년임대주택 현황_20240630'!I118,""ko"",""en"")"),"2000000")</f>
        <v>2000000</v>
      </c>
      <c r="J118" s="1" t="str">
        <f ca="1">IFERROR(__xludf.DUMMYFUNCTION("GOOGLETRANSLATE('대전도시공사_청년임대주택 현황_20240630'!J118,""ko"",""en"")"),"287200")</f>
        <v>287200</v>
      </c>
    </row>
    <row r="119" spans="1:10" ht="12.5" x14ac:dyDescent="0.25">
      <c r="A119" s="1" t="str">
        <f ca="1">IFERROR(__xludf.DUMMYFUNCTION("GOOGLETRANSLATE('대전도시공사_청년임대주택 현황_20240630'!A119,""ko"",""en"")"),"52-37, Gajeong-dong (Urban Hills 3, youth rental)")</f>
        <v>52-37, Gajeong-dong (Urban Hills 3, youth rental)</v>
      </c>
      <c r="B119" s="1" t="str">
        <f ca="1">IFERROR(__xludf.DUMMYFUNCTION("GOOGLETRANSLATE('대전도시공사_청년임대주택 현황_20240630'!B119,""ko"",""en"")"),"78")</f>
        <v>78</v>
      </c>
      <c r="C119" s="1" t="str">
        <f ca="1">IFERROR(__xludf.DUMMYFUNCTION("GOOGLETRANSLATE('대전도시공사_청년임대주택 현황_20240630'!C119,""ko"",""en"")"),"1")</f>
        <v>1</v>
      </c>
      <c r="D119" s="1" t="str">
        <f ca="1">IFERROR(__xludf.DUMMYFUNCTION("GOOGLETRANSLATE('대전도시공사_청년임대주택 현황_20240630'!D119,""ko"",""en"")"),"405")</f>
        <v>405</v>
      </c>
      <c r="E119" s="1" t="str">
        <f ca="1">IFERROR(__xludf.DUMMYFUNCTION("GOOGLETRANSLATE('대전도시공사_청년임대주택 현황_20240630'!E119,""ko"",""en"")"),"30.82")</f>
        <v>30.82</v>
      </c>
      <c r="F119" s="1" t="str">
        <f ca="1">IFERROR(__xludf.DUMMYFUNCTION("GOOGLETRANSLATE('대전도시공사_청년임대주택 현황_20240630'!F119,""ko"",""en"")"),"25.92")</f>
        <v>25.92</v>
      </c>
      <c r="G119" s="1" t="str">
        <f ca="1">IFERROR(__xludf.DUMMYFUNCTION("GOOGLETRANSLATE('대전도시공사_청년임대주택 현황_20240630'!G119,""ko"",""en"")"),"4.9")</f>
        <v>4.9</v>
      </c>
      <c r="H119" s="1" t="str">
        <f ca="1">IFERROR(__xludf.DUMMYFUNCTION("GOOGLETRANSLATE('대전도시공사_청년임대주택 현황_20240630'!H119,""ko"",""en"")"),"Youth Rent 1st Place")</f>
        <v>Youth Rent 1st Place</v>
      </c>
      <c r="I119" s="1" t="str">
        <f ca="1">IFERROR(__xludf.DUMMYFUNCTION("GOOGLETRANSLATE('대전도시공사_청년임대주택 현황_20240630'!I119,""ko"",""en"")"),"1000000")</f>
        <v>1000000</v>
      </c>
      <c r="J119" s="1" t="str">
        <f ca="1">IFERROR(__xludf.DUMMYFUNCTION("GOOGLETRANSLATE('대전도시공사_청년임대주택 현황_20240630'!J119,""ko"",""en"")"),"154200")</f>
        <v>154200</v>
      </c>
    </row>
    <row r="120" spans="1:10" ht="12.5" x14ac:dyDescent="0.25">
      <c r="A120" s="1" t="str">
        <f ca="1">IFERROR(__xludf.DUMMYFUNCTION("GOOGLETRANSLATE('대전도시공사_청년임대주택 현황_20240630'!A120,""ko"",""en"")"),"52-37, Gajeong-dong (Urban Hills 3, youth rental)")</f>
        <v>52-37, Gajeong-dong (Urban Hills 3, youth rental)</v>
      </c>
      <c r="B120" s="1" t="str">
        <f ca="1">IFERROR(__xludf.DUMMYFUNCTION("GOOGLETRANSLATE('대전도시공사_청년임대주택 현황_20240630'!B120,""ko"",""en"")"),"79")</f>
        <v>79</v>
      </c>
      <c r="C120" s="1" t="str">
        <f ca="1">IFERROR(__xludf.DUMMYFUNCTION("GOOGLETRANSLATE('대전도시공사_청년임대주택 현황_20240630'!C120,""ko"",""en"")"),"1")</f>
        <v>1</v>
      </c>
      <c r="D120" s="1" t="str">
        <f ca="1">IFERROR(__xludf.DUMMYFUNCTION("GOOGLETRANSLATE('대전도시공사_청년임대주택 현황_20240630'!D120,""ko"",""en"")"),"405")</f>
        <v>405</v>
      </c>
      <c r="E120" s="1" t="str">
        <f ca="1">IFERROR(__xludf.DUMMYFUNCTION("GOOGLETRANSLATE('대전도시공사_청년임대주택 현황_20240630'!E120,""ko"",""en"")"),"30.82")</f>
        <v>30.82</v>
      </c>
      <c r="F120" s="1" t="str">
        <f ca="1">IFERROR(__xludf.DUMMYFUNCTION("GOOGLETRANSLATE('대전도시공사_청년임대주택 현황_20240630'!F120,""ko"",""en"")"),"25.92")</f>
        <v>25.92</v>
      </c>
      <c r="G120" s="1" t="str">
        <f ca="1">IFERROR(__xludf.DUMMYFUNCTION("GOOGLETRANSLATE('대전도시공사_청년임대주택 현황_20240630'!G120,""ko"",""en"")"),"4.9")</f>
        <v>4.9</v>
      </c>
      <c r="H120" s="1" t="str">
        <f ca="1">IFERROR(__xludf.DUMMYFUNCTION("GOOGLETRANSLATE('대전도시공사_청년임대주택 현황_20240630'!H120,""ko"",""en"")"),"Youth Rental 2nd Place")</f>
        <v>Youth Rental 2nd Place</v>
      </c>
      <c r="I120" s="1" t="str">
        <f ca="1">IFERROR(__xludf.DUMMYFUNCTION("GOOGLETRANSLATE('대전도시공사_청년임대주택 현황_20240630'!I120,""ko"",""en"")"),"2000000")</f>
        <v>2000000</v>
      </c>
      <c r="J120" s="1" t="str">
        <f ca="1">IFERROR(__xludf.DUMMYFUNCTION("GOOGLETRANSLATE('대전도시공사_청년임대주택 현황_20240630'!J120,""ko"",""en"")"),"254600")</f>
        <v>254600</v>
      </c>
    </row>
    <row r="121" spans="1:10" ht="12.5" x14ac:dyDescent="0.25">
      <c r="A121" s="1" t="str">
        <f ca="1">IFERROR(__xludf.DUMMYFUNCTION("GOOGLETRANSLATE('대전도시공사_청년임대주택 현황_20240630'!A121,""ko"",""en"")"),"52-37, Gajeong-dong (Urban Hills 3, youth rental)")</f>
        <v>52-37, Gajeong-dong (Urban Hills 3, youth rental)</v>
      </c>
      <c r="B121" s="1" t="str">
        <f ca="1">IFERROR(__xludf.DUMMYFUNCTION("GOOGLETRANSLATE('대전도시공사_청년임대주택 현황_20240630'!B121,""ko"",""en"")"),"80")</f>
        <v>80</v>
      </c>
      <c r="C121" s="1" t="str">
        <f ca="1">IFERROR(__xludf.DUMMYFUNCTION("GOOGLETRANSLATE('대전도시공사_청년임대주택 현황_20240630'!C121,""ko"",""en"")"),"1")</f>
        <v>1</v>
      </c>
      <c r="D121" s="1" t="str">
        <f ca="1">IFERROR(__xludf.DUMMYFUNCTION("GOOGLETRANSLATE('대전도시공사_청년임대주택 현황_20240630'!D121,""ko"",""en"")"),"405")</f>
        <v>405</v>
      </c>
      <c r="E121" s="1" t="str">
        <f ca="1">IFERROR(__xludf.DUMMYFUNCTION("GOOGLETRANSLATE('대전도시공사_청년임대주택 현황_20240630'!E121,""ko"",""en"")"),"30.82")</f>
        <v>30.82</v>
      </c>
      <c r="F121" s="1" t="str">
        <f ca="1">IFERROR(__xludf.DUMMYFUNCTION("GOOGLETRANSLATE('대전도시공사_청년임대주택 현황_20240630'!F121,""ko"",""en"")"),"25.92")</f>
        <v>25.92</v>
      </c>
      <c r="G121" s="1" t="str">
        <f ca="1">IFERROR(__xludf.DUMMYFUNCTION("GOOGLETRANSLATE('대전도시공사_청년임대주택 현황_20240630'!G121,""ko"",""en"")"),"4.9")</f>
        <v>4.9</v>
      </c>
      <c r="H121" s="1" t="str">
        <f ca="1">IFERROR(__xludf.DUMMYFUNCTION("GOOGLETRANSLATE('대전도시공사_청년임대주택 현황_20240630'!H121,""ko"",""en"")"),"3rd place for youth rental")</f>
        <v>3rd place for youth rental</v>
      </c>
      <c r="I121" s="1" t="str">
        <f ca="1">IFERROR(__xludf.DUMMYFUNCTION("GOOGLETRANSLATE('대전도시공사_청년임대주택 현황_20240630'!I121,""ko"",""en"")"),"2000000")</f>
        <v>2000000</v>
      </c>
      <c r="J121" s="1" t="str">
        <f ca="1">IFERROR(__xludf.DUMMYFUNCTION("GOOGLETRANSLATE('대전도시공사_청년임대주택 현황_20240630'!J121,""ko"",""en"")"),"254600")</f>
        <v>254600</v>
      </c>
    </row>
    <row r="122" spans="1:10" ht="12.5" x14ac:dyDescent="0.25">
      <c r="A122" s="1" t="str">
        <f ca="1">IFERROR(__xludf.DUMMYFUNCTION("GOOGLETRANSLATE('대전도시공사_청년임대주택 현황_20240630'!A122,""ko"",""en"")"),"52-37, Gajeong-dong (Urban Hills 3, youth rental)")</f>
        <v>52-37, Gajeong-dong (Urban Hills 3, youth rental)</v>
      </c>
      <c r="B122" s="1" t="str">
        <f ca="1">IFERROR(__xludf.DUMMYFUNCTION("GOOGLETRANSLATE('대전도시공사_청년임대주택 현황_20240630'!B122,""ko"",""en"")"),"81")</f>
        <v>81</v>
      </c>
      <c r="C122" s="1" t="str">
        <f ca="1">IFERROR(__xludf.DUMMYFUNCTION("GOOGLETRANSLATE('대전도시공사_청년임대주택 현황_20240630'!C122,""ko"",""en"")"),"1")</f>
        <v>1</v>
      </c>
      <c r="D122" s="1" t="str">
        <f ca="1">IFERROR(__xludf.DUMMYFUNCTION("GOOGLETRANSLATE('대전도시공사_청년임대주택 현황_20240630'!D122,""ko"",""en"")"),"405")</f>
        <v>405</v>
      </c>
      <c r="E122" s="1" t="str">
        <f ca="1">IFERROR(__xludf.DUMMYFUNCTION("GOOGLETRANSLATE('대전도시공사_청년임대주택 현황_20240630'!E122,""ko"",""en"")"),"30.82")</f>
        <v>30.82</v>
      </c>
      <c r="F122" s="1" t="str">
        <f ca="1">IFERROR(__xludf.DUMMYFUNCTION("GOOGLETRANSLATE('대전도시공사_청년임대주택 현황_20240630'!F122,""ko"",""en"")"),"25.92")</f>
        <v>25.92</v>
      </c>
      <c r="G122" s="1" t="str">
        <f ca="1">IFERROR(__xludf.DUMMYFUNCTION("GOOGLETRANSLATE('대전도시공사_청년임대주택 현황_20240630'!G122,""ko"",""en"")"),"4.9")</f>
        <v>4.9</v>
      </c>
      <c r="H122" s="1" t="str">
        <f ca="1">IFERROR(__xludf.DUMMYFUNCTION("GOOGLETRANSLATE('대전도시공사_청년임대주택 현황_20240630'!H122,""ko"",""en"")"),"4th place for youth rental")</f>
        <v>4th place for youth rental</v>
      </c>
      <c r="I122" s="1" t="str">
        <f ca="1">IFERROR(__xludf.DUMMYFUNCTION("GOOGLETRANSLATE('대전도시공사_청년임대주택 현황_20240630'!I122,""ko"",""en"")"),"2000000")</f>
        <v>2000000</v>
      </c>
      <c r="J122" s="1" t="str">
        <f ca="1">IFERROR(__xludf.DUMMYFUNCTION("GOOGLETRANSLATE('대전도시공사_청년임대주택 현황_20240630'!J122,""ko"",""en"")"),"254600")</f>
        <v>254600</v>
      </c>
    </row>
    <row r="123" spans="1:10" ht="12.5" x14ac:dyDescent="0.25">
      <c r="A123" s="1" t="str">
        <f ca="1">IFERROR(__xludf.DUMMYFUNCTION("GOOGLETRANSLATE('대전도시공사_청년임대주택 현황_20240630'!A123,""ko"",""en"")"),"Yongmun-dong 280-59 (Happyunville, youth rental)")</f>
        <v>Yongmun-dong 280-59 (Happyunville, youth rental)</v>
      </c>
      <c r="B123" s="1" t="str">
        <f ca="1">IFERROR(__xludf.DUMMYFUNCTION("GOOGLETRANSLATE('대전도시공사_청년임대주택 현황_20240630'!B123,""ko"",""en"")"),"1")</f>
        <v>1</v>
      </c>
      <c r="C123" s="1" t="str">
        <f ca="1">IFERROR(__xludf.DUMMYFUNCTION("GOOGLETRANSLATE('대전도시공사_청년임대주택 현황_20240630'!C123,""ko"",""en"")"),"1")</f>
        <v>1</v>
      </c>
      <c r="D123" s="1" t="str">
        <f ca="1">IFERROR(__xludf.DUMMYFUNCTION("GOOGLETRANSLATE('대전도시공사_청년임대주택 현황_20240630'!D123,""ko"",""en"")"),"201")</f>
        <v>201</v>
      </c>
      <c r="E123" s="1" t="str">
        <f ca="1">IFERROR(__xludf.DUMMYFUNCTION("GOOGLETRANSLATE('대전도시공사_청년임대주택 현황_20240630'!E123,""ko"",""en"")"),"17.851")</f>
        <v>17.851</v>
      </c>
      <c r="F123" s="1" t="str">
        <f ca="1">IFERROR(__xludf.DUMMYFUNCTION("GOOGLETRANSLATE('대전도시공사_청년임대주택 현황_20240630'!F123,""ko"",""en"")"),"14.82")</f>
        <v>14.82</v>
      </c>
      <c r="G123" s="1" t="str">
        <f ca="1">IFERROR(__xludf.DUMMYFUNCTION("GOOGLETRANSLATE('대전도시공사_청년임대주택 현황_20240630'!G123,""ko"",""en"")"),"3.031")</f>
        <v>3.031</v>
      </c>
      <c r="H123" s="1" t="str">
        <f ca="1">IFERROR(__xludf.DUMMYFUNCTION("GOOGLETRANSLATE('대전도시공사_청년임대주택 현황_20240630'!H123,""ko"",""en"")"),"Youth Rent 1st Place")</f>
        <v>Youth Rent 1st Place</v>
      </c>
      <c r="I123" s="1" t="str">
        <f ca="1">IFERROR(__xludf.DUMMYFUNCTION("GOOGLETRANSLATE('대전도시공사_청년임대주택 현황_20240630'!I123,""ko"",""en"")"),"1000000")</f>
        <v>1000000</v>
      </c>
      <c r="J123" s="1" t="str">
        <f ca="1">IFERROR(__xludf.DUMMYFUNCTION("GOOGLETRANSLATE('대전도시공사_청년임대주택 현황_20240630'!J123,""ko"",""en"")"),"78400")</f>
        <v>78400</v>
      </c>
    </row>
    <row r="124" spans="1:10" ht="12.5" x14ac:dyDescent="0.25">
      <c r="A124" s="1" t="str">
        <f ca="1">IFERROR(__xludf.DUMMYFUNCTION("GOOGLETRANSLATE('대전도시공사_청년임대주택 현황_20240630'!A124,""ko"",""en"")"),"Yongmun-dong 280-59 (Happyunville, youth rental)")</f>
        <v>Yongmun-dong 280-59 (Happyunville, youth rental)</v>
      </c>
      <c r="B124" s="1" t="str">
        <f ca="1">IFERROR(__xludf.DUMMYFUNCTION("GOOGLETRANSLATE('대전도시공사_청년임대주택 현황_20240630'!B124,""ko"",""en"")"),"2")</f>
        <v>2</v>
      </c>
      <c r="C124" s="1" t="str">
        <f ca="1">IFERROR(__xludf.DUMMYFUNCTION("GOOGLETRANSLATE('대전도시공사_청년임대주택 현황_20240630'!C124,""ko"",""en"")"),"1")</f>
        <v>1</v>
      </c>
      <c r="D124" s="1" t="str">
        <f ca="1">IFERROR(__xludf.DUMMYFUNCTION("GOOGLETRANSLATE('대전도시공사_청년임대주택 현황_20240630'!D124,""ko"",""en"")"),"201")</f>
        <v>201</v>
      </c>
      <c r="E124" s="1" t="str">
        <f ca="1">IFERROR(__xludf.DUMMYFUNCTION("GOOGLETRANSLATE('대전도시공사_청년임대주택 현황_20240630'!E124,""ko"",""en"")"),"17.851")</f>
        <v>17.851</v>
      </c>
      <c r="F124" s="1" t="str">
        <f ca="1">IFERROR(__xludf.DUMMYFUNCTION("GOOGLETRANSLATE('대전도시공사_청년임대주택 현황_20240630'!F124,""ko"",""en"")"),"14.82")</f>
        <v>14.82</v>
      </c>
      <c r="G124" s="1" t="str">
        <f ca="1">IFERROR(__xludf.DUMMYFUNCTION("GOOGLETRANSLATE('대전도시공사_청년임대주택 현황_20240630'!G124,""ko"",""en"")"),"3.031")</f>
        <v>3.031</v>
      </c>
      <c r="H124" s="1" t="str">
        <f ca="1">IFERROR(__xludf.DUMMYFUNCTION("GOOGLETRANSLATE('대전도시공사_청년임대주택 현황_20240630'!H124,""ko"",""en"")"),"Youth Rental 2nd Place")</f>
        <v>Youth Rental 2nd Place</v>
      </c>
      <c r="I124" s="1" t="str">
        <f ca="1">IFERROR(__xludf.DUMMYFUNCTION("GOOGLETRANSLATE('대전도시공사_청년임대주택 현황_20240630'!I124,""ko"",""en"")"),"2000000")</f>
        <v>2000000</v>
      </c>
      <c r="J124" s="1" t="str">
        <f ca="1">IFERROR(__xludf.DUMMYFUNCTION("GOOGLETRANSLATE('대전도시공사_청년임대주택 현황_20240630'!J124,""ko"",""en"")"),"128100")</f>
        <v>128100</v>
      </c>
    </row>
    <row r="125" spans="1:10" ht="12.5" x14ac:dyDescent="0.25">
      <c r="A125" s="1" t="str">
        <f ca="1">IFERROR(__xludf.DUMMYFUNCTION("GOOGLETRANSLATE('대전도시공사_청년임대주택 현황_20240630'!A125,""ko"",""en"")"),"Yongmun-dong 280-59 (Happyunville, youth rental)")</f>
        <v>Yongmun-dong 280-59 (Happyunville, youth rental)</v>
      </c>
      <c r="B125" s="1" t="str">
        <f ca="1">IFERROR(__xludf.DUMMYFUNCTION("GOOGLETRANSLATE('대전도시공사_청년임대주택 현황_20240630'!B125,""ko"",""en"")"),"3")</f>
        <v>3</v>
      </c>
      <c r="C125" s="1" t="str">
        <f ca="1">IFERROR(__xludf.DUMMYFUNCTION("GOOGLETRANSLATE('대전도시공사_청년임대주택 현황_20240630'!C125,""ko"",""en"")"),"1")</f>
        <v>1</v>
      </c>
      <c r="D125" s="1" t="str">
        <f ca="1">IFERROR(__xludf.DUMMYFUNCTION("GOOGLETRANSLATE('대전도시공사_청년임대주택 현황_20240630'!D125,""ko"",""en"")"),"201")</f>
        <v>201</v>
      </c>
      <c r="E125" s="1" t="str">
        <f ca="1">IFERROR(__xludf.DUMMYFUNCTION("GOOGLETRANSLATE('대전도시공사_청년임대주택 현황_20240630'!E125,""ko"",""en"")"),"17.851")</f>
        <v>17.851</v>
      </c>
      <c r="F125" s="1" t="str">
        <f ca="1">IFERROR(__xludf.DUMMYFUNCTION("GOOGLETRANSLATE('대전도시공사_청년임대주택 현황_20240630'!F125,""ko"",""en"")"),"14.82")</f>
        <v>14.82</v>
      </c>
      <c r="G125" s="1" t="str">
        <f ca="1">IFERROR(__xludf.DUMMYFUNCTION("GOOGLETRANSLATE('대전도시공사_청년임대주택 현황_20240630'!G125,""ko"",""en"")"),"3.031")</f>
        <v>3.031</v>
      </c>
      <c r="H125" s="1" t="str">
        <f ca="1">IFERROR(__xludf.DUMMYFUNCTION("GOOGLETRANSLATE('대전도시공사_청년임대주택 현황_20240630'!H125,""ko"",""en"")"),"3rd place for youth rental")</f>
        <v>3rd place for youth rental</v>
      </c>
      <c r="I125" s="1" t="str">
        <f ca="1">IFERROR(__xludf.DUMMYFUNCTION("GOOGLETRANSLATE('대전도시공사_청년임대주택 현황_20240630'!I125,""ko"",""en"")"),"2000000")</f>
        <v>2000000</v>
      </c>
      <c r="J125" s="1" t="str">
        <f ca="1">IFERROR(__xludf.DUMMYFUNCTION("GOOGLETRANSLATE('대전도시공사_청년임대주택 현황_20240630'!J125,""ko"",""en"")"),"128100")</f>
        <v>128100</v>
      </c>
    </row>
    <row r="126" spans="1:10" ht="12.5" x14ac:dyDescent="0.25">
      <c r="A126" s="1" t="str">
        <f ca="1">IFERROR(__xludf.DUMMYFUNCTION("GOOGLETRANSLATE('대전도시공사_청년임대주택 현황_20240630'!A126,""ko"",""en"")"),"Yongmun-dong 280-59 (Happyunville, youth rental)")</f>
        <v>Yongmun-dong 280-59 (Happyunville, youth rental)</v>
      </c>
      <c r="B126" s="1" t="str">
        <f ca="1">IFERROR(__xludf.DUMMYFUNCTION("GOOGLETRANSLATE('대전도시공사_청년임대주택 현황_20240630'!B126,""ko"",""en"")"),"4")</f>
        <v>4</v>
      </c>
      <c r="C126" s="1" t="str">
        <f ca="1">IFERROR(__xludf.DUMMYFUNCTION("GOOGLETRANSLATE('대전도시공사_청년임대주택 현황_20240630'!C126,""ko"",""en"")"),"1")</f>
        <v>1</v>
      </c>
      <c r="D126" s="1" t="str">
        <f ca="1">IFERROR(__xludf.DUMMYFUNCTION("GOOGLETRANSLATE('대전도시공사_청년임대주택 현황_20240630'!D126,""ko"",""en"")"),"201")</f>
        <v>201</v>
      </c>
      <c r="E126" s="1" t="str">
        <f ca="1">IFERROR(__xludf.DUMMYFUNCTION("GOOGLETRANSLATE('대전도시공사_청년임대주택 현황_20240630'!E126,""ko"",""en"")"),"17.851")</f>
        <v>17.851</v>
      </c>
      <c r="F126" s="1" t="str">
        <f ca="1">IFERROR(__xludf.DUMMYFUNCTION("GOOGLETRANSLATE('대전도시공사_청년임대주택 현황_20240630'!F126,""ko"",""en"")"),"14.82")</f>
        <v>14.82</v>
      </c>
      <c r="G126" s="1" t="str">
        <f ca="1">IFERROR(__xludf.DUMMYFUNCTION("GOOGLETRANSLATE('대전도시공사_청년임대주택 현황_20240630'!G126,""ko"",""en"")"),"3.031")</f>
        <v>3.031</v>
      </c>
      <c r="H126" s="1" t="str">
        <f ca="1">IFERROR(__xludf.DUMMYFUNCTION("GOOGLETRANSLATE('대전도시공사_청년임대주택 현황_20240630'!H126,""ko"",""en"")"),"4th place for youth rental")</f>
        <v>4th place for youth rental</v>
      </c>
      <c r="I126" s="1" t="str">
        <f ca="1">IFERROR(__xludf.DUMMYFUNCTION("GOOGLETRANSLATE('대전도시공사_청년임대주택 현황_20240630'!I126,""ko"",""en"")"),"2000000")</f>
        <v>2000000</v>
      </c>
      <c r="J126" s="1" t="str">
        <f ca="1">IFERROR(__xludf.DUMMYFUNCTION("GOOGLETRANSLATE('대전도시공사_청년임대주택 현황_20240630'!J126,""ko"",""en"")"),"128100")</f>
        <v>128100</v>
      </c>
    </row>
    <row r="127" spans="1:10" ht="12.5" x14ac:dyDescent="0.25">
      <c r="A127" s="1" t="str">
        <f ca="1">IFERROR(__xludf.DUMMYFUNCTION("GOOGLETRANSLATE('대전도시공사_청년임대주택 현황_20240630'!A127,""ko"",""en"")"),"Yongmun-dong 280-59 (Happyunville, youth rental)")</f>
        <v>Yongmun-dong 280-59 (Happyunville, youth rental)</v>
      </c>
      <c r="B127" s="1" t="str">
        <f ca="1">IFERROR(__xludf.DUMMYFUNCTION("GOOGLETRANSLATE('대전도시공사_청년임대주택 현황_20240630'!B127,""ko"",""en"")"),"5")</f>
        <v>5</v>
      </c>
      <c r="C127" s="1" t="str">
        <f ca="1">IFERROR(__xludf.DUMMYFUNCTION("GOOGLETRANSLATE('대전도시공사_청년임대주택 현황_20240630'!C127,""ko"",""en"")"),"1")</f>
        <v>1</v>
      </c>
      <c r="D127" s="1" t="str">
        <f ca="1">IFERROR(__xludf.DUMMYFUNCTION("GOOGLETRANSLATE('대전도시공사_청년임대주택 현황_20240630'!D127,""ko"",""en"")"),"202")</f>
        <v>202</v>
      </c>
      <c r="E127" s="1" t="str">
        <f ca="1">IFERROR(__xludf.DUMMYFUNCTION("GOOGLETRANSLATE('대전도시공사_청년임대주택 현황_20240630'!E127,""ko"",""en"")"),"48.12")</f>
        <v>48.12</v>
      </c>
      <c r="F127" s="1" t="str">
        <f ca="1">IFERROR(__xludf.DUMMYFUNCTION("GOOGLETRANSLATE('대전도시공사_청년임대주택 현황_20240630'!F127,""ko"",""en"")"),"39.95")</f>
        <v>39.95</v>
      </c>
      <c r="G127" s="1" t="str">
        <f ca="1">IFERROR(__xludf.DUMMYFUNCTION("GOOGLETRANSLATE('대전도시공사_청년임대주택 현황_20240630'!G127,""ko"",""en"")"),"8.17")</f>
        <v>8.17</v>
      </c>
      <c r="H127" s="1" t="str">
        <f ca="1">IFERROR(__xludf.DUMMYFUNCTION("GOOGLETRANSLATE('대전도시공사_청년임대주택 현황_20240630'!H127,""ko"",""en"")"),"Newlyweds 1 (30% of the total price)")</f>
        <v>Newlyweds 1 (30% of the total price)</v>
      </c>
      <c r="I127" s="1" t="str">
        <f ca="1">IFERROR(__xludf.DUMMYFUNCTION("GOOGLETRANSLATE('대전도시공사_청년임대주택 현황_20240630'!I127,""ko"",""en"")"),"6724000")</f>
        <v>6724000</v>
      </c>
      <c r="J127" s="1" t="str">
        <f ca="1">IFERROR(__xludf.DUMMYFUNCTION("GOOGLETRANSLATE('대전도시공사_청년임대주택 현황_20240630'!J127,""ko"",""en"")"),"169700")</f>
        <v>169700</v>
      </c>
    </row>
    <row r="128" spans="1:10" ht="12.5" x14ac:dyDescent="0.25">
      <c r="A128" s="1" t="str">
        <f ca="1">IFERROR(__xludf.DUMMYFUNCTION("GOOGLETRANSLATE('대전도시공사_청년임대주택 현황_20240630'!A128,""ko"",""en"")"),"Yongmun-dong 280-59 (Happyunville, youth rental)")</f>
        <v>Yongmun-dong 280-59 (Happyunville, youth rental)</v>
      </c>
      <c r="B128" s="1" t="str">
        <f ca="1">IFERROR(__xludf.DUMMYFUNCTION("GOOGLETRANSLATE('대전도시공사_청년임대주택 현황_20240630'!B128,""ko"",""en"")"),"6")</f>
        <v>6</v>
      </c>
      <c r="C128" s="1" t="str">
        <f ca="1">IFERROR(__xludf.DUMMYFUNCTION("GOOGLETRANSLATE('대전도시공사_청년임대주택 현황_20240630'!C128,""ko"",""en"")"),"1")</f>
        <v>1</v>
      </c>
      <c r="D128" s="1" t="str">
        <f ca="1">IFERROR(__xludf.DUMMYFUNCTION("GOOGLETRANSLATE('대전도시공사_청년임대주택 현황_20240630'!D128,""ko"",""en"")"),"202")</f>
        <v>202</v>
      </c>
      <c r="E128" s="1" t="str">
        <f ca="1">IFERROR(__xludf.DUMMYFUNCTION("GOOGLETRANSLATE('대전도시공사_청년임대주택 현황_20240630'!E128,""ko"",""en"")"),"48.12")</f>
        <v>48.12</v>
      </c>
      <c r="F128" s="1" t="str">
        <f ca="1">IFERROR(__xludf.DUMMYFUNCTION("GOOGLETRANSLATE('대전도시공사_청년임대주택 현황_20240630'!F128,""ko"",""en"")"),"39.95")</f>
        <v>39.95</v>
      </c>
      <c r="G128" s="1" t="str">
        <f ca="1">IFERROR(__xludf.DUMMYFUNCTION("GOOGLETRANSLATE('대전도시공사_청년임대주택 현황_20240630'!G128,""ko"",""en"")"),"8.17")</f>
        <v>8.17</v>
      </c>
      <c r="H128" s="1" t="str">
        <f ca="1">IFERROR(__xludf.DUMMYFUNCTION("GOOGLETRANSLATE('대전도시공사_청년임대주택 현황_20240630'!H128,""ko"",""en"")"),"Newlyweds 1 (40% of the total price)")</f>
        <v>Newlyweds 1 (40% of the total price)</v>
      </c>
      <c r="I128" s="1" t="str">
        <f ca="1">IFERROR(__xludf.DUMMYFUNCTION("GOOGLETRANSLATE('대전도시공사_청년임대주택 현황_20240630'!I128,""ko"",""en"")"),"6724000")</f>
        <v>6724000</v>
      </c>
      <c r="J128" s="1" t="str">
        <f ca="1">IFERROR(__xludf.DUMMYFUNCTION("GOOGLETRANSLATE('대전도시공사_청년임대주택 현황_20240630'!J128,""ko"",""en"")"),"239900")</f>
        <v>239900</v>
      </c>
    </row>
    <row r="129" spans="1:10" ht="12.5" x14ac:dyDescent="0.25">
      <c r="A129" s="1" t="str">
        <f ca="1">IFERROR(__xludf.DUMMYFUNCTION("GOOGLETRANSLATE('대전도시공사_청년임대주택 현황_20240630'!A129,""ko"",""en"")"),"Yongmun-dong 280-59 (Happyunville, youth rental)")</f>
        <v>Yongmun-dong 280-59 (Happyunville, youth rental)</v>
      </c>
      <c r="B129" s="1" t="str">
        <f ca="1">IFERROR(__xludf.DUMMYFUNCTION("GOOGLETRANSLATE('대전도시공사_청년임대주택 현황_20240630'!B129,""ko"",""en"")"),"7")</f>
        <v>7</v>
      </c>
      <c r="C129" s="1" t="str">
        <f ca="1">IFERROR(__xludf.DUMMYFUNCTION("GOOGLETRANSLATE('대전도시공사_청년임대주택 현황_20240630'!C129,""ko"",""en"")"),"1")</f>
        <v>1</v>
      </c>
      <c r="D129" s="1" t="str">
        <f ca="1">IFERROR(__xludf.DUMMYFUNCTION("GOOGLETRANSLATE('대전도시공사_청년임대주택 현황_20240630'!D129,""ko"",""en"")"),"202")</f>
        <v>202</v>
      </c>
      <c r="E129" s="1" t="str">
        <f ca="1">IFERROR(__xludf.DUMMYFUNCTION("GOOGLETRANSLATE('대전도시공사_청년임대주택 현황_20240630'!E129,""ko"",""en"")"),"48.12")</f>
        <v>48.12</v>
      </c>
      <c r="F129" s="1" t="str">
        <f ca="1">IFERROR(__xludf.DUMMYFUNCTION("GOOGLETRANSLATE('대전도시공사_청년임대주택 현황_20240630'!F129,""ko"",""en"")"),"39.95")</f>
        <v>39.95</v>
      </c>
      <c r="G129" s="1" t="str">
        <f ca="1">IFERROR(__xludf.DUMMYFUNCTION("GOOGLETRANSLATE('대전도시공사_청년임대주택 현황_20240630'!G129,""ko"",""en"")"),"8.17")</f>
        <v>8.17</v>
      </c>
      <c r="H129" s="1" t="str">
        <f ca="1">IFERROR(__xludf.DUMMYFUNCTION("GOOGLETRANSLATE('대전도시공사_청년임대주택 현황_20240630'!H129,""ko"",""en"")"),"Newlyweds 2 (70% of the total price)")</f>
        <v>Newlyweds 2 (70% of the total price)</v>
      </c>
      <c r="I129" s="1" t="str">
        <f ca="1">IFERROR(__xludf.DUMMYFUNCTION("GOOGLETRANSLATE('대전도시공사_청년임대주택 현황_20240630'!I129,""ko"",""en"")"),"6724000")</f>
        <v>6724000</v>
      </c>
      <c r="J129" s="1" t="str">
        <f ca="1">IFERROR(__xludf.DUMMYFUNCTION("GOOGLETRANSLATE('대전도시공사_청년임대주택 현황_20240630'!J129,""ko"",""en"")"),"450200")</f>
        <v>450200</v>
      </c>
    </row>
    <row r="130" spans="1:10" ht="12.5" x14ac:dyDescent="0.25">
      <c r="A130" s="1" t="str">
        <f ca="1">IFERROR(__xludf.DUMMYFUNCTION("GOOGLETRANSLATE('대전도시공사_청년임대주택 현황_20240630'!A130,""ko"",""en"")"),"Yongmun-dong 280-59 (Happyunville, youth rental)")</f>
        <v>Yongmun-dong 280-59 (Happyunville, youth rental)</v>
      </c>
      <c r="B130" s="1" t="str">
        <f ca="1">IFERROR(__xludf.DUMMYFUNCTION("GOOGLETRANSLATE('대전도시공사_청년임대주택 현황_20240630'!B130,""ko"",""en"")"),"8")</f>
        <v>8</v>
      </c>
      <c r="C130" s="1" t="str">
        <f ca="1">IFERROR(__xludf.DUMMYFUNCTION("GOOGLETRANSLATE('대전도시공사_청년임대주택 현황_20240630'!C130,""ko"",""en"")"),"1")</f>
        <v>1</v>
      </c>
      <c r="D130" s="1" t="str">
        <f ca="1">IFERROR(__xludf.DUMMYFUNCTION("GOOGLETRANSLATE('대전도시공사_청년임대주택 현황_20240630'!D130,""ko"",""en"")"),"202")</f>
        <v>202</v>
      </c>
      <c r="E130" s="1" t="str">
        <f ca="1">IFERROR(__xludf.DUMMYFUNCTION("GOOGLETRANSLATE('대전도시공사_청년임대주택 현황_20240630'!E130,""ko"",""en"")"),"48.12")</f>
        <v>48.12</v>
      </c>
      <c r="F130" s="1" t="str">
        <f ca="1">IFERROR(__xludf.DUMMYFUNCTION("GOOGLETRANSLATE('대전도시공사_청년임대주택 현황_20240630'!F130,""ko"",""en"")"),"39.95")</f>
        <v>39.95</v>
      </c>
      <c r="G130" s="1" t="str">
        <f ca="1">IFERROR(__xludf.DUMMYFUNCTION("GOOGLETRANSLATE('대전도시공사_청년임대주택 현황_20240630'!G130,""ko"",""en"")"),"8.17")</f>
        <v>8.17</v>
      </c>
      <c r="H130" s="1" t="str">
        <f ca="1">IFERROR(__xludf.DUMMYFUNCTION("GOOGLETRANSLATE('대전도시공사_청년임대주택 현황_20240630'!H130,""ko"",""en"")"),"Newlyweds 2 (80% of the total price)")</f>
        <v>Newlyweds 2 (80% of the total price)</v>
      </c>
      <c r="I130" s="1" t="str">
        <f ca="1">IFERROR(__xludf.DUMMYFUNCTION("GOOGLETRANSLATE('대전도시공사_청년임대주택 현황_20240630'!I130,""ko"",""en"")"),"6724000")</f>
        <v>6724000</v>
      </c>
      <c r="J130" s="1" t="str">
        <f ca="1">IFERROR(__xludf.DUMMYFUNCTION("GOOGLETRANSLATE('대전도시공사_청년임대주택 현황_20240630'!J130,""ko"",""en"")"),"520300")</f>
        <v>520300</v>
      </c>
    </row>
    <row r="131" spans="1:10" ht="12.5" x14ac:dyDescent="0.25">
      <c r="A131" s="1" t="str">
        <f ca="1">IFERROR(__xludf.DUMMYFUNCTION("GOOGLETRANSLATE('대전도시공사_청년임대주택 현황_20240630'!A131,""ko"",""en"")"),"Yongmun-dong 280-59 (Happyunville, youth rental)")</f>
        <v>Yongmun-dong 280-59 (Happyunville, youth rental)</v>
      </c>
      <c r="B131" s="1" t="str">
        <f ca="1">IFERROR(__xludf.DUMMYFUNCTION("GOOGLETRANSLATE('대전도시공사_청년임대주택 현황_20240630'!B131,""ko"",""en"")"),"9")</f>
        <v>9</v>
      </c>
      <c r="C131" s="1" t="str">
        <f ca="1">IFERROR(__xludf.DUMMYFUNCTION("GOOGLETRANSLATE('대전도시공사_청년임대주택 현황_20240630'!C131,""ko"",""en"")"),"1")</f>
        <v>1</v>
      </c>
      <c r="D131" s="1" t="str">
        <f ca="1">IFERROR(__xludf.DUMMYFUNCTION("GOOGLETRANSLATE('대전도시공사_청년임대주택 현황_20240630'!D131,""ko"",""en"")"),"203")</f>
        <v>203</v>
      </c>
      <c r="E131" s="1" t="str">
        <f ca="1">IFERROR(__xludf.DUMMYFUNCTION("GOOGLETRANSLATE('대전도시공사_청년임대주택 현황_20240630'!E131,""ko"",""en"")"),"24.934")</f>
        <v>24.934</v>
      </c>
      <c r="F131" s="1" t="str">
        <f ca="1">IFERROR(__xludf.DUMMYFUNCTION("GOOGLETRANSLATE('대전도시공사_청년임대주택 현황_20240630'!F131,""ko"",""en"")"),"20.7")</f>
        <v>20.7</v>
      </c>
      <c r="G131" s="1" t="str">
        <f ca="1">IFERROR(__xludf.DUMMYFUNCTION("GOOGLETRANSLATE('대전도시공사_청년임대주택 현황_20240630'!G131,""ko"",""en"")"),"4.234")</f>
        <v>4.234</v>
      </c>
      <c r="H131" s="1" t="str">
        <f ca="1">IFERROR(__xludf.DUMMYFUNCTION("GOOGLETRANSLATE('대전도시공사_청년임대주택 현황_20240630'!H131,""ko"",""en"")"),"Youth Rent 1st Place")</f>
        <v>Youth Rent 1st Place</v>
      </c>
      <c r="I131" s="1" t="str">
        <f ca="1">IFERROR(__xludf.DUMMYFUNCTION("GOOGLETRANSLATE('대전도시공사_청년임대주택 현황_20240630'!I131,""ko"",""en"")"),"1000000")</f>
        <v>1000000</v>
      </c>
      <c r="J131" s="1" t="str">
        <f ca="1">IFERROR(__xludf.DUMMYFUNCTION("GOOGLETRANSLATE('대전도시공사_청년임대주택 현황_20240630'!J131,""ko"",""en"")"),"106800")</f>
        <v>106800</v>
      </c>
    </row>
    <row r="132" spans="1:10" ht="12.5" x14ac:dyDescent="0.25">
      <c r="A132" s="1" t="str">
        <f ca="1">IFERROR(__xludf.DUMMYFUNCTION("GOOGLETRANSLATE('대전도시공사_청년임대주택 현황_20240630'!A132,""ko"",""en"")"),"Yongmun-dong 280-59 (Happyunville, youth rental)")</f>
        <v>Yongmun-dong 280-59 (Happyunville, youth rental)</v>
      </c>
      <c r="B132" s="1" t="str">
        <f ca="1">IFERROR(__xludf.DUMMYFUNCTION("GOOGLETRANSLATE('대전도시공사_청년임대주택 현황_20240630'!B132,""ko"",""en"")"),"10")</f>
        <v>10</v>
      </c>
      <c r="C132" s="1" t="str">
        <f ca="1">IFERROR(__xludf.DUMMYFUNCTION("GOOGLETRANSLATE('대전도시공사_청년임대주택 현황_20240630'!C132,""ko"",""en"")"),"1")</f>
        <v>1</v>
      </c>
      <c r="D132" s="1" t="str">
        <f ca="1">IFERROR(__xludf.DUMMYFUNCTION("GOOGLETRANSLATE('대전도시공사_청년임대주택 현황_20240630'!D132,""ko"",""en"")"),"203")</f>
        <v>203</v>
      </c>
      <c r="E132" s="1" t="str">
        <f ca="1">IFERROR(__xludf.DUMMYFUNCTION("GOOGLETRANSLATE('대전도시공사_청년임대주택 현황_20240630'!E132,""ko"",""en"")"),"24.934")</f>
        <v>24.934</v>
      </c>
      <c r="F132" s="1" t="str">
        <f ca="1">IFERROR(__xludf.DUMMYFUNCTION("GOOGLETRANSLATE('대전도시공사_청년임대주택 현황_20240630'!F132,""ko"",""en"")"),"20.7")</f>
        <v>20.7</v>
      </c>
      <c r="G132" s="1" t="str">
        <f ca="1">IFERROR(__xludf.DUMMYFUNCTION("GOOGLETRANSLATE('대전도시공사_청년임대주택 현황_20240630'!G132,""ko"",""en"")"),"4.234")</f>
        <v>4.234</v>
      </c>
      <c r="H132" s="1" t="str">
        <f ca="1">IFERROR(__xludf.DUMMYFUNCTION("GOOGLETRANSLATE('대전도시공사_청년임대주택 현황_20240630'!H132,""ko"",""en"")"),"Youth Rental 2nd Place")</f>
        <v>Youth Rental 2nd Place</v>
      </c>
      <c r="I132" s="1" t="str">
        <f ca="1">IFERROR(__xludf.DUMMYFUNCTION("GOOGLETRANSLATE('대전도시공사_청년임대주택 현황_20240630'!I132,""ko"",""en"")"),"2000000")</f>
        <v>2000000</v>
      </c>
      <c r="J132" s="1" t="str">
        <f ca="1">IFERROR(__xludf.DUMMYFUNCTION("GOOGLETRANSLATE('대전도시공사_청년임대주택 현황_20240630'!J132,""ko"",""en"")"),"175300")</f>
        <v>175300</v>
      </c>
    </row>
    <row r="133" spans="1:10" ht="12.5" x14ac:dyDescent="0.25">
      <c r="A133" s="1" t="str">
        <f ca="1">IFERROR(__xludf.DUMMYFUNCTION("GOOGLETRANSLATE('대전도시공사_청년임대주택 현황_20240630'!A133,""ko"",""en"")"),"Yongmun-dong 280-59 (Happyunville, youth rental)")</f>
        <v>Yongmun-dong 280-59 (Happyunville, youth rental)</v>
      </c>
      <c r="B133" s="1" t="str">
        <f ca="1">IFERROR(__xludf.DUMMYFUNCTION("GOOGLETRANSLATE('대전도시공사_청년임대주택 현황_20240630'!B133,""ko"",""en"")"),"11")</f>
        <v>11</v>
      </c>
      <c r="C133" s="1" t="str">
        <f ca="1">IFERROR(__xludf.DUMMYFUNCTION("GOOGLETRANSLATE('대전도시공사_청년임대주택 현황_20240630'!C133,""ko"",""en"")"),"1")</f>
        <v>1</v>
      </c>
      <c r="D133" s="1" t="str">
        <f ca="1">IFERROR(__xludf.DUMMYFUNCTION("GOOGLETRANSLATE('대전도시공사_청년임대주택 현황_20240630'!D133,""ko"",""en"")"),"203")</f>
        <v>203</v>
      </c>
      <c r="E133" s="1" t="str">
        <f ca="1">IFERROR(__xludf.DUMMYFUNCTION("GOOGLETRANSLATE('대전도시공사_청년임대주택 현황_20240630'!E133,""ko"",""en"")"),"24.934")</f>
        <v>24.934</v>
      </c>
      <c r="F133" s="1" t="str">
        <f ca="1">IFERROR(__xludf.DUMMYFUNCTION("GOOGLETRANSLATE('대전도시공사_청년임대주택 현황_20240630'!F133,""ko"",""en"")"),"20.7")</f>
        <v>20.7</v>
      </c>
      <c r="G133" s="1" t="str">
        <f ca="1">IFERROR(__xludf.DUMMYFUNCTION("GOOGLETRANSLATE('대전도시공사_청년임대주택 현황_20240630'!G133,""ko"",""en"")"),"4.234")</f>
        <v>4.234</v>
      </c>
      <c r="H133" s="1" t="str">
        <f ca="1">IFERROR(__xludf.DUMMYFUNCTION("GOOGLETRANSLATE('대전도시공사_청년임대주택 현황_20240630'!H133,""ko"",""en"")"),"3rd place for youth rental")</f>
        <v>3rd place for youth rental</v>
      </c>
      <c r="I133" s="1" t="str">
        <f ca="1">IFERROR(__xludf.DUMMYFUNCTION("GOOGLETRANSLATE('대전도시공사_청년임대주택 현황_20240630'!I133,""ko"",""en"")"),"2000000")</f>
        <v>2000000</v>
      </c>
      <c r="J133" s="1" t="str">
        <f ca="1">IFERROR(__xludf.DUMMYFUNCTION("GOOGLETRANSLATE('대전도시공사_청년임대주택 현황_20240630'!J133,""ko"",""en"")"),"175300")</f>
        <v>175300</v>
      </c>
    </row>
    <row r="134" spans="1:10" ht="12.5" x14ac:dyDescent="0.25">
      <c r="A134" s="1" t="str">
        <f ca="1">IFERROR(__xludf.DUMMYFUNCTION("GOOGLETRANSLATE('대전도시공사_청년임대주택 현황_20240630'!A134,""ko"",""en"")"),"Yongmun-dong 280-59 (Happyunville, youth rental)")</f>
        <v>Yongmun-dong 280-59 (Happyunville, youth rental)</v>
      </c>
      <c r="B134" s="1" t="str">
        <f ca="1">IFERROR(__xludf.DUMMYFUNCTION("GOOGLETRANSLATE('대전도시공사_청년임대주택 현황_20240630'!B134,""ko"",""en"")"),"12")</f>
        <v>12</v>
      </c>
      <c r="C134" s="1" t="str">
        <f ca="1">IFERROR(__xludf.DUMMYFUNCTION("GOOGLETRANSLATE('대전도시공사_청년임대주택 현황_20240630'!C134,""ko"",""en"")"),"1")</f>
        <v>1</v>
      </c>
      <c r="D134" s="1" t="str">
        <f ca="1">IFERROR(__xludf.DUMMYFUNCTION("GOOGLETRANSLATE('대전도시공사_청년임대주택 현황_20240630'!D134,""ko"",""en"")"),"203")</f>
        <v>203</v>
      </c>
      <c r="E134" s="1" t="str">
        <f ca="1">IFERROR(__xludf.DUMMYFUNCTION("GOOGLETRANSLATE('대전도시공사_청년임대주택 현황_20240630'!E134,""ko"",""en"")"),"24.934")</f>
        <v>24.934</v>
      </c>
      <c r="F134" s="1" t="str">
        <f ca="1">IFERROR(__xludf.DUMMYFUNCTION("GOOGLETRANSLATE('대전도시공사_청년임대주택 현황_20240630'!F134,""ko"",""en"")"),"20.7")</f>
        <v>20.7</v>
      </c>
      <c r="G134" s="1" t="str">
        <f ca="1">IFERROR(__xludf.DUMMYFUNCTION("GOOGLETRANSLATE('대전도시공사_청년임대주택 현황_20240630'!G134,""ko"",""en"")"),"4.234")</f>
        <v>4.234</v>
      </c>
      <c r="H134" s="1" t="str">
        <f ca="1">IFERROR(__xludf.DUMMYFUNCTION("GOOGLETRANSLATE('대전도시공사_청년임대주택 현황_20240630'!H134,""ko"",""en"")"),"4th place for youth rental")</f>
        <v>4th place for youth rental</v>
      </c>
      <c r="I134" s="1" t="str">
        <f ca="1">IFERROR(__xludf.DUMMYFUNCTION("GOOGLETRANSLATE('대전도시공사_청년임대주택 현황_20240630'!I134,""ko"",""en"")"),"2000000")</f>
        <v>2000000</v>
      </c>
      <c r="J134" s="1" t="str">
        <f ca="1">IFERROR(__xludf.DUMMYFUNCTION("GOOGLETRANSLATE('대전도시공사_청년임대주택 현황_20240630'!J134,""ko"",""en"")"),"175300")</f>
        <v>175300</v>
      </c>
    </row>
    <row r="135" spans="1:10" ht="12.5" x14ac:dyDescent="0.25">
      <c r="A135" s="1" t="str">
        <f ca="1">IFERROR(__xludf.DUMMYFUNCTION("GOOGLETRANSLATE('대전도시공사_청년임대주택 현황_20240630'!A135,""ko"",""en"")"),"Yongmun-dong 280-59 (Happyunville, youth rental)")</f>
        <v>Yongmun-dong 280-59 (Happyunville, youth rental)</v>
      </c>
      <c r="B135" s="1" t="str">
        <f ca="1">IFERROR(__xludf.DUMMYFUNCTION("GOOGLETRANSLATE('대전도시공사_청년임대주택 현황_20240630'!B135,""ko"",""en"")"),"13")</f>
        <v>13</v>
      </c>
      <c r="C135" s="1" t="str">
        <f ca="1">IFERROR(__xludf.DUMMYFUNCTION("GOOGLETRANSLATE('대전도시공사_청년임대주택 현황_20240630'!C135,""ko"",""en"")"),"1")</f>
        <v>1</v>
      </c>
      <c r="D135" s="1" t="str">
        <f ca="1">IFERROR(__xludf.DUMMYFUNCTION("GOOGLETRANSLATE('대전도시공사_청년임대주택 현황_20240630'!D135,""ko"",""en"")"),"204")</f>
        <v>204</v>
      </c>
      <c r="E135" s="1" t="str">
        <f ca="1">IFERROR(__xludf.DUMMYFUNCTION("GOOGLETRANSLATE('대전도시공사_청년임대주택 현황_20240630'!E135,""ko"",""en"")"),"16.936")</f>
        <v>16.936</v>
      </c>
      <c r="F135" s="1" t="str">
        <f ca="1">IFERROR(__xludf.DUMMYFUNCTION("GOOGLETRANSLATE('대전도시공사_청년임대주택 현황_20240630'!F135,""ko"",""en"")"),"14.06")</f>
        <v>14.06</v>
      </c>
      <c r="G135" s="1" t="str">
        <f ca="1">IFERROR(__xludf.DUMMYFUNCTION("GOOGLETRANSLATE('대전도시공사_청년임대주택 현황_20240630'!G135,""ko"",""en"")"),"2.876")</f>
        <v>2.876</v>
      </c>
      <c r="H135" s="1" t="str">
        <f ca="1">IFERROR(__xludf.DUMMYFUNCTION("GOOGLETRANSLATE('대전도시공사_청년임대주택 현황_20240630'!H135,""ko"",""en"")"),"Youth Rent 1st Place")</f>
        <v>Youth Rent 1st Place</v>
      </c>
      <c r="I135" s="1" t="str">
        <f ca="1">IFERROR(__xludf.DUMMYFUNCTION("GOOGLETRANSLATE('대전도시공사_청년임대주택 현황_20240630'!I135,""ko"",""en"")"),"1000000")</f>
        <v>1000000</v>
      </c>
      <c r="J135" s="1" t="str">
        <f ca="1">IFERROR(__xludf.DUMMYFUNCTION("GOOGLETRANSLATE('대전도시공사_청년임대주택 현황_20240630'!J135,""ko"",""en"")"),"75600")</f>
        <v>75600</v>
      </c>
    </row>
    <row r="136" spans="1:10" ht="12.5" x14ac:dyDescent="0.25">
      <c r="A136" s="1" t="str">
        <f ca="1">IFERROR(__xludf.DUMMYFUNCTION("GOOGLETRANSLATE('대전도시공사_청년임대주택 현황_20240630'!A136,""ko"",""en"")"),"Yongmun-dong 280-59 (Happyunville, youth rental)")</f>
        <v>Yongmun-dong 280-59 (Happyunville, youth rental)</v>
      </c>
      <c r="B136" s="1" t="str">
        <f ca="1">IFERROR(__xludf.DUMMYFUNCTION("GOOGLETRANSLATE('대전도시공사_청년임대주택 현황_20240630'!B136,""ko"",""en"")"),"14")</f>
        <v>14</v>
      </c>
      <c r="C136" s="1" t="str">
        <f ca="1">IFERROR(__xludf.DUMMYFUNCTION("GOOGLETRANSLATE('대전도시공사_청년임대주택 현황_20240630'!C136,""ko"",""en"")"),"1")</f>
        <v>1</v>
      </c>
      <c r="D136" s="1" t="str">
        <f ca="1">IFERROR(__xludf.DUMMYFUNCTION("GOOGLETRANSLATE('대전도시공사_청년임대주택 현황_20240630'!D136,""ko"",""en"")"),"204")</f>
        <v>204</v>
      </c>
      <c r="E136" s="1" t="str">
        <f ca="1">IFERROR(__xludf.DUMMYFUNCTION("GOOGLETRANSLATE('대전도시공사_청년임대주택 현황_20240630'!E136,""ko"",""en"")"),"16.936")</f>
        <v>16.936</v>
      </c>
      <c r="F136" s="1" t="str">
        <f ca="1">IFERROR(__xludf.DUMMYFUNCTION("GOOGLETRANSLATE('대전도시공사_청년임대주택 현황_20240630'!F136,""ko"",""en"")"),"14.06")</f>
        <v>14.06</v>
      </c>
      <c r="G136" s="1" t="str">
        <f ca="1">IFERROR(__xludf.DUMMYFUNCTION("GOOGLETRANSLATE('대전도시공사_청년임대주택 현황_20240630'!G136,""ko"",""en"")"),"2.876")</f>
        <v>2.876</v>
      </c>
      <c r="H136" s="1" t="str">
        <f ca="1">IFERROR(__xludf.DUMMYFUNCTION("GOOGLETRANSLATE('대전도시공사_청년임대주택 현황_20240630'!H136,""ko"",""en"")"),"Youth Rental 2nd Place")</f>
        <v>Youth Rental 2nd Place</v>
      </c>
      <c r="I136" s="1" t="str">
        <f ca="1">IFERROR(__xludf.DUMMYFUNCTION("GOOGLETRANSLATE('대전도시공사_청년임대주택 현황_20240630'!I136,""ko"",""en"")"),"2000000")</f>
        <v>2000000</v>
      </c>
      <c r="J136" s="1" t="str">
        <f ca="1">IFERROR(__xludf.DUMMYFUNCTION("GOOGLETRANSLATE('대전도시공사_청년임대주택 현황_20240630'!J136,""ko"",""en"")"),"123400")</f>
        <v>123400</v>
      </c>
    </row>
    <row r="137" spans="1:10" ht="12.5" x14ac:dyDescent="0.25">
      <c r="A137" s="1" t="str">
        <f ca="1">IFERROR(__xludf.DUMMYFUNCTION("GOOGLETRANSLATE('대전도시공사_청년임대주택 현황_20240630'!A137,""ko"",""en"")"),"Yongmun-dong 280-59 (Happyunville, youth rental)")</f>
        <v>Yongmun-dong 280-59 (Happyunville, youth rental)</v>
      </c>
      <c r="B137" s="1" t="str">
        <f ca="1">IFERROR(__xludf.DUMMYFUNCTION("GOOGLETRANSLATE('대전도시공사_청년임대주택 현황_20240630'!B137,""ko"",""en"")"),"15")</f>
        <v>15</v>
      </c>
      <c r="C137" s="1" t="str">
        <f ca="1">IFERROR(__xludf.DUMMYFUNCTION("GOOGLETRANSLATE('대전도시공사_청년임대주택 현황_20240630'!C137,""ko"",""en"")"),"1")</f>
        <v>1</v>
      </c>
      <c r="D137" s="1" t="str">
        <f ca="1">IFERROR(__xludf.DUMMYFUNCTION("GOOGLETRANSLATE('대전도시공사_청년임대주택 현황_20240630'!D137,""ko"",""en"")"),"204")</f>
        <v>204</v>
      </c>
      <c r="E137" s="1" t="str">
        <f ca="1">IFERROR(__xludf.DUMMYFUNCTION("GOOGLETRANSLATE('대전도시공사_청년임대주택 현황_20240630'!E137,""ko"",""en"")"),"16.936")</f>
        <v>16.936</v>
      </c>
      <c r="F137" s="1" t="str">
        <f ca="1">IFERROR(__xludf.DUMMYFUNCTION("GOOGLETRANSLATE('대전도시공사_청년임대주택 현황_20240630'!F137,""ko"",""en"")"),"14.06")</f>
        <v>14.06</v>
      </c>
      <c r="G137" s="1" t="str">
        <f ca="1">IFERROR(__xludf.DUMMYFUNCTION("GOOGLETRANSLATE('대전도시공사_청년임대주택 현황_20240630'!G137,""ko"",""en"")"),"2.876")</f>
        <v>2.876</v>
      </c>
      <c r="H137" s="1" t="str">
        <f ca="1">IFERROR(__xludf.DUMMYFUNCTION("GOOGLETRANSLATE('대전도시공사_청년임대주택 현황_20240630'!H137,""ko"",""en"")"),"3rd place for youth rental")</f>
        <v>3rd place for youth rental</v>
      </c>
      <c r="I137" s="1" t="str">
        <f ca="1">IFERROR(__xludf.DUMMYFUNCTION("GOOGLETRANSLATE('대전도시공사_청년임대주택 현황_20240630'!I137,""ko"",""en"")"),"2000000")</f>
        <v>2000000</v>
      </c>
      <c r="J137" s="1" t="str">
        <f ca="1">IFERROR(__xludf.DUMMYFUNCTION("GOOGLETRANSLATE('대전도시공사_청년임대주택 현황_20240630'!J137,""ko"",""en"")"),"123400")</f>
        <v>123400</v>
      </c>
    </row>
    <row r="138" spans="1:10" ht="12.5" x14ac:dyDescent="0.25">
      <c r="A138" s="1" t="str">
        <f ca="1">IFERROR(__xludf.DUMMYFUNCTION("GOOGLETRANSLATE('대전도시공사_청년임대주택 현황_20240630'!A138,""ko"",""en"")"),"Yongmun-dong 280-59 (Happyunville, youth rental)")</f>
        <v>Yongmun-dong 280-59 (Happyunville, youth rental)</v>
      </c>
      <c r="B138" s="1" t="str">
        <f ca="1">IFERROR(__xludf.DUMMYFUNCTION("GOOGLETRANSLATE('대전도시공사_청년임대주택 현황_20240630'!B138,""ko"",""en"")"),"16")</f>
        <v>16</v>
      </c>
      <c r="C138" s="1" t="str">
        <f ca="1">IFERROR(__xludf.DUMMYFUNCTION("GOOGLETRANSLATE('대전도시공사_청년임대주택 현황_20240630'!C138,""ko"",""en"")"),"1")</f>
        <v>1</v>
      </c>
      <c r="D138" s="1" t="str">
        <f ca="1">IFERROR(__xludf.DUMMYFUNCTION("GOOGLETRANSLATE('대전도시공사_청년임대주택 현황_20240630'!D138,""ko"",""en"")"),"204")</f>
        <v>204</v>
      </c>
      <c r="E138" s="1" t="str">
        <f ca="1">IFERROR(__xludf.DUMMYFUNCTION("GOOGLETRANSLATE('대전도시공사_청년임대주택 현황_20240630'!E138,""ko"",""en"")"),"16.936")</f>
        <v>16.936</v>
      </c>
      <c r="F138" s="1" t="str">
        <f ca="1">IFERROR(__xludf.DUMMYFUNCTION("GOOGLETRANSLATE('대전도시공사_청년임대주택 현황_20240630'!F138,""ko"",""en"")"),"14.06")</f>
        <v>14.06</v>
      </c>
      <c r="G138" s="1" t="str">
        <f ca="1">IFERROR(__xludf.DUMMYFUNCTION("GOOGLETRANSLATE('대전도시공사_청년임대주택 현황_20240630'!G138,""ko"",""en"")"),"2.876")</f>
        <v>2.876</v>
      </c>
      <c r="H138" s="1" t="str">
        <f ca="1">IFERROR(__xludf.DUMMYFUNCTION("GOOGLETRANSLATE('대전도시공사_청년임대주택 현황_20240630'!H138,""ko"",""en"")"),"4th place for youth rental")</f>
        <v>4th place for youth rental</v>
      </c>
      <c r="I138" s="1" t="str">
        <f ca="1">IFERROR(__xludf.DUMMYFUNCTION("GOOGLETRANSLATE('대전도시공사_청년임대주택 현황_20240630'!I138,""ko"",""en"")"),"2000000")</f>
        <v>2000000</v>
      </c>
      <c r="J138" s="1" t="str">
        <f ca="1">IFERROR(__xludf.DUMMYFUNCTION("GOOGLETRANSLATE('대전도시공사_청년임대주택 현황_20240630'!J138,""ko"",""en"")"),"123400")</f>
        <v>123400</v>
      </c>
    </row>
    <row r="139" spans="1:10" ht="12.5" x14ac:dyDescent="0.25">
      <c r="A139" s="1" t="str">
        <f ca="1">IFERROR(__xludf.DUMMYFUNCTION("GOOGLETRANSLATE('대전도시공사_청년임대주택 현황_20240630'!A139,""ko"",""en"")"),"Yongmun-dong 280-59 (Happyunville, youth rental)")</f>
        <v>Yongmun-dong 280-59 (Happyunville, youth rental)</v>
      </c>
      <c r="B139" s="1" t="str">
        <f ca="1">IFERROR(__xludf.DUMMYFUNCTION("GOOGLETRANSLATE('대전도시공사_청년임대주택 현황_20240630'!B139,""ko"",""en"")"),"17")</f>
        <v>17</v>
      </c>
      <c r="C139" s="1" t="str">
        <f ca="1">IFERROR(__xludf.DUMMYFUNCTION("GOOGLETRANSLATE('대전도시공사_청년임대주택 현황_20240630'!C139,""ko"",""en"")"),"1")</f>
        <v>1</v>
      </c>
      <c r="D139" s="1" t="str">
        <f ca="1">IFERROR(__xludf.DUMMYFUNCTION("GOOGLETRANSLATE('대전도시공사_청년임대주택 현황_20240630'!D139,""ko"",""en"")"),"205")</f>
        <v>205</v>
      </c>
      <c r="E139" s="1" t="str">
        <f ca="1">IFERROR(__xludf.DUMMYFUNCTION("GOOGLETRANSLATE('대전도시공사_청년임대주택 현황_20240630'!E139,""ko"",""en"")"),"16.49")</f>
        <v>16.49</v>
      </c>
      <c r="F139" s="1" t="str">
        <f ca="1">IFERROR(__xludf.DUMMYFUNCTION("GOOGLETRANSLATE('대전도시공사_청년임대주택 현황_20240630'!F139,""ko"",""en"")"),"13.69")</f>
        <v>13.69</v>
      </c>
      <c r="G139" s="1" t="str">
        <f ca="1">IFERROR(__xludf.DUMMYFUNCTION("GOOGLETRANSLATE('대전도시공사_청년임대주택 현황_20240630'!G139,""ko"",""en"")"),"2.8")</f>
        <v>2.8</v>
      </c>
      <c r="H139" s="1" t="str">
        <f ca="1">IFERROR(__xludf.DUMMYFUNCTION("GOOGLETRANSLATE('대전도시공사_청년임대주택 현황_20240630'!H139,""ko"",""en"")"),"Youth Rent 1st Place")</f>
        <v>Youth Rent 1st Place</v>
      </c>
      <c r="I139" s="1" t="str">
        <f ca="1">IFERROR(__xludf.DUMMYFUNCTION("GOOGLETRANSLATE('대전도시공사_청년임대주택 현황_20240630'!I139,""ko"",""en"")"),"1000000")</f>
        <v>1000000</v>
      </c>
      <c r="J139" s="1" t="str">
        <f ca="1">IFERROR(__xludf.DUMMYFUNCTION("GOOGLETRANSLATE('대전도시공사_청년임대주택 현황_20240630'!J139,""ko"",""en"")"),"73400")</f>
        <v>73400</v>
      </c>
    </row>
    <row r="140" spans="1:10" ht="12.5" x14ac:dyDescent="0.25">
      <c r="A140" s="1" t="str">
        <f ca="1">IFERROR(__xludf.DUMMYFUNCTION("GOOGLETRANSLATE('대전도시공사_청년임대주택 현황_20240630'!A140,""ko"",""en"")"),"Yongmun-dong 280-59 (Happyunville, youth rental)")</f>
        <v>Yongmun-dong 280-59 (Happyunville, youth rental)</v>
      </c>
      <c r="B140" s="1" t="str">
        <f ca="1">IFERROR(__xludf.DUMMYFUNCTION("GOOGLETRANSLATE('대전도시공사_청년임대주택 현황_20240630'!B140,""ko"",""en"")"),"18")</f>
        <v>18</v>
      </c>
      <c r="C140" s="1" t="str">
        <f ca="1">IFERROR(__xludf.DUMMYFUNCTION("GOOGLETRANSLATE('대전도시공사_청년임대주택 현황_20240630'!C140,""ko"",""en"")"),"1")</f>
        <v>1</v>
      </c>
      <c r="D140" s="1" t="str">
        <f ca="1">IFERROR(__xludf.DUMMYFUNCTION("GOOGLETRANSLATE('대전도시공사_청년임대주택 현황_20240630'!D140,""ko"",""en"")"),"205")</f>
        <v>205</v>
      </c>
      <c r="E140" s="1" t="str">
        <f ca="1">IFERROR(__xludf.DUMMYFUNCTION("GOOGLETRANSLATE('대전도시공사_청년임대주택 현황_20240630'!E140,""ko"",""en"")"),"16.49")</f>
        <v>16.49</v>
      </c>
      <c r="F140" s="1" t="str">
        <f ca="1">IFERROR(__xludf.DUMMYFUNCTION("GOOGLETRANSLATE('대전도시공사_청년임대주택 현황_20240630'!F140,""ko"",""en"")"),"13.69")</f>
        <v>13.69</v>
      </c>
      <c r="G140" s="1" t="str">
        <f ca="1">IFERROR(__xludf.DUMMYFUNCTION("GOOGLETRANSLATE('대전도시공사_청년임대주택 현황_20240630'!G140,""ko"",""en"")"),"2.8")</f>
        <v>2.8</v>
      </c>
      <c r="H140" s="1" t="str">
        <f ca="1">IFERROR(__xludf.DUMMYFUNCTION("GOOGLETRANSLATE('대전도시공사_청년임대주택 현황_20240630'!H140,""ko"",""en"")"),"Youth Rental 2nd Place")</f>
        <v>Youth Rental 2nd Place</v>
      </c>
      <c r="I140" s="1" t="str">
        <f ca="1">IFERROR(__xludf.DUMMYFUNCTION("GOOGLETRANSLATE('대전도시공사_청년임대주택 현황_20240630'!I140,""ko"",""en"")"),"2000000")</f>
        <v>2000000</v>
      </c>
      <c r="J140" s="1" t="str">
        <f ca="1">IFERROR(__xludf.DUMMYFUNCTION("GOOGLETRANSLATE('대전도시공사_청년임대주택 현황_20240630'!J140,""ko"",""en"")"),"119800")</f>
        <v>119800</v>
      </c>
    </row>
    <row r="141" spans="1:10" ht="12.5" x14ac:dyDescent="0.25">
      <c r="A141" s="1" t="str">
        <f ca="1">IFERROR(__xludf.DUMMYFUNCTION("GOOGLETRANSLATE('대전도시공사_청년임대주택 현황_20240630'!A141,""ko"",""en"")"),"Yongmun-dong 280-59 (Happyunville, youth rental)")</f>
        <v>Yongmun-dong 280-59 (Happyunville, youth rental)</v>
      </c>
      <c r="B141" s="1" t="str">
        <f ca="1">IFERROR(__xludf.DUMMYFUNCTION("GOOGLETRANSLATE('대전도시공사_청년임대주택 현황_20240630'!B141,""ko"",""en"")"),"19")</f>
        <v>19</v>
      </c>
      <c r="C141" s="1" t="str">
        <f ca="1">IFERROR(__xludf.DUMMYFUNCTION("GOOGLETRANSLATE('대전도시공사_청년임대주택 현황_20240630'!C141,""ko"",""en"")"),"1")</f>
        <v>1</v>
      </c>
      <c r="D141" s="1" t="str">
        <f ca="1">IFERROR(__xludf.DUMMYFUNCTION("GOOGLETRANSLATE('대전도시공사_청년임대주택 현황_20240630'!D141,""ko"",""en"")"),"205")</f>
        <v>205</v>
      </c>
      <c r="E141" s="1" t="str">
        <f ca="1">IFERROR(__xludf.DUMMYFUNCTION("GOOGLETRANSLATE('대전도시공사_청년임대주택 현황_20240630'!E141,""ko"",""en"")"),"16.49")</f>
        <v>16.49</v>
      </c>
      <c r="F141" s="1" t="str">
        <f ca="1">IFERROR(__xludf.DUMMYFUNCTION("GOOGLETRANSLATE('대전도시공사_청년임대주택 현황_20240630'!F141,""ko"",""en"")"),"13.69")</f>
        <v>13.69</v>
      </c>
      <c r="G141" s="1" t="str">
        <f ca="1">IFERROR(__xludf.DUMMYFUNCTION("GOOGLETRANSLATE('대전도시공사_청년임대주택 현황_20240630'!G141,""ko"",""en"")"),"2.8")</f>
        <v>2.8</v>
      </c>
      <c r="H141" s="1" t="str">
        <f ca="1">IFERROR(__xludf.DUMMYFUNCTION("GOOGLETRANSLATE('대전도시공사_청년임대주택 현황_20240630'!H141,""ko"",""en"")"),"3rd place for youth rental")</f>
        <v>3rd place for youth rental</v>
      </c>
      <c r="I141" s="1" t="str">
        <f ca="1">IFERROR(__xludf.DUMMYFUNCTION("GOOGLETRANSLATE('대전도시공사_청년임대주택 현황_20240630'!I141,""ko"",""en"")"),"2000000")</f>
        <v>2000000</v>
      </c>
      <c r="J141" s="1" t="str">
        <f ca="1">IFERROR(__xludf.DUMMYFUNCTION("GOOGLETRANSLATE('대전도시공사_청년임대주택 현황_20240630'!J141,""ko"",""en"")"),"119800")</f>
        <v>119800</v>
      </c>
    </row>
    <row r="142" spans="1:10" ht="12.5" x14ac:dyDescent="0.25">
      <c r="A142" s="1" t="str">
        <f ca="1">IFERROR(__xludf.DUMMYFUNCTION("GOOGLETRANSLATE('대전도시공사_청년임대주택 현황_20240630'!A142,""ko"",""en"")"),"Yongmun-dong 280-59 (Happyunville, youth rental)")</f>
        <v>Yongmun-dong 280-59 (Happyunville, youth rental)</v>
      </c>
      <c r="B142" s="1" t="str">
        <f ca="1">IFERROR(__xludf.DUMMYFUNCTION("GOOGLETRANSLATE('대전도시공사_청년임대주택 현황_20240630'!B142,""ko"",""en"")"),"20")</f>
        <v>20</v>
      </c>
      <c r="C142" s="1" t="str">
        <f ca="1">IFERROR(__xludf.DUMMYFUNCTION("GOOGLETRANSLATE('대전도시공사_청년임대주택 현황_20240630'!C142,""ko"",""en"")"),"1")</f>
        <v>1</v>
      </c>
      <c r="D142" s="1" t="str">
        <f ca="1">IFERROR(__xludf.DUMMYFUNCTION("GOOGLETRANSLATE('대전도시공사_청년임대주택 현황_20240630'!D142,""ko"",""en"")"),"205")</f>
        <v>205</v>
      </c>
      <c r="E142" s="1" t="str">
        <f ca="1">IFERROR(__xludf.DUMMYFUNCTION("GOOGLETRANSLATE('대전도시공사_청년임대주택 현황_20240630'!E142,""ko"",""en"")"),"16.49")</f>
        <v>16.49</v>
      </c>
      <c r="F142" s="1" t="str">
        <f ca="1">IFERROR(__xludf.DUMMYFUNCTION("GOOGLETRANSLATE('대전도시공사_청년임대주택 현황_20240630'!F142,""ko"",""en"")"),"13.69")</f>
        <v>13.69</v>
      </c>
      <c r="G142" s="1" t="str">
        <f ca="1">IFERROR(__xludf.DUMMYFUNCTION("GOOGLETRANSLATE('대전도시공사_청년임대주택 현황_20240630'!G142,""ko"",""en"")"),"2.8")</f>
        <v>2.8</v>
      </c>
      <c r="H142" s="1" t="str">
        <f ca="1">IFERROR(__xludf.DUMMYFUNCTION("GOOGLETRANSLATE('대전도시공사_청년임대주택 현황_20240630'!H142,""ko"",""en"")"),"4th place for youth rental")</f>
        <v>4th place for youth rental</v>
      </c>
      <c r="I142" s="1" t="str">
        <f ca="1">IFERROR(__xludf.DUMMYFUNCTION("GOOGLETRANSLATE('대전도시공사_청년임대주택 현황_20240630'!I142,""ko"",""en"")"),"2000000")</f>
        <v>2000000</v>
      </c>
      <c r="J142" s="1" t="str">
        <f ca="1">IFERROR(__xludf.DUMMYFUNCTION("GOOGLETRANSLATE('대전도시공사_청년임대주택 현황_20240630'!J142,""ko"",""en"")"),"119800")</f>
        <v>119800</v>
      </c>
    </row>
    <row r="143" spans="1:10" ht="12.5" x14ac:dyDescent="0.25">
      <c r="A143" s="1" t="str">
        <f ca="1">IFERROR(__xludf.DUMMYFUNCTION("GOOGLETRANSLATE('대전도시공사_청년임대주택 현황_20240630'!A143,""ko"",""en"")"),"Yongmun-dong 280-59 (Happyunville, youth rental)")</f>
        <v>Yongmun-dong 280-59 (Happyunville, youth rental)</v>
      </c>
      <c r="B143" s="1" t="str">
        <f ca="1">IFERROR(__xludf.DUMMYFUNCTION("GOOGLETRANSLATE('대전도시공사_청년임대주택 현황_20240630'!B143,""ko"",""en"")"),"21")</f>
        <v>21</v>
      </c>
      <c r="C143" s="1" t="str">
        <f ca="1">IFERROR(__xludf.DUMMYFUNCTION("GOOGLETRANSLATE('대전도시공사_청년임대주택 현황_20240630'!C143,""ko"",""en"")"),"1")</f>
        <v>1</v>
      </c>
      <c r="D143" s="1" t="str">
        <f ca="1">IFERROR(__xludf.DUMMYFUNCTION("GOOGLETRANSLATE('대전도시공사_청년임대주택 현황_20240630'!D143,""ko"",""en"")"),"206")</f>
        <v>206</v>
      </c>
      <c r="E143" s="1" t="str">
        <f ca="1">IFERROR(__xludf.DUMMYFUNCTION("GOOGLETRANSLATE('대전도시공사_청년임대주택 현황_20240630'!E143,""ko"",""en"")"),"43.857")</f>
        <v>43.857</v>
      </c>
      <c r="F143" s="1" t="str">
        <f ca="1">IFERROR(__xludf.DUMMYFUNCTION("GOOGLETRANSLATE('대전도시공사_청년임대주택 현황_20240630'!F143,""ko"",""en"")"),"36.41")</f>
        <v>36.41</v>
      </c>
      <c r="G143" s="1" t="str">
        <f ca="1">IFERROR(__xludf.DUMMYFUNCTION("GOOGLETRANSLATE('대전도시공사_청년임대주택 현황_20240630'!G143,""ko"",""en"")"),"7.447")</f>
        <v>7.447</v>
      </c>
      <c r="H143" s="1" t="str">
        <f ca="1">IFERROR(__xludf.DUMMYFUNCTION("GOOGLETRANSLATE('대전도시공사_청년임대주택 현황_20240630'!H143,""ko"",""en"")"),"Newlyweds 1 (30% of the total price)")</f>
        <v>Newlyweds 1 (30% of the total price)</v>
      </c>
      <c r="I143" s="1" t="str">
        <f ca="1">IFERROR(__xludf.DUMMYFUNCTION("GOOGLETRANSLATE('대전도시공사_청년임대주택 현황_20240630'!I143,""ko"",""en"")"),"6129000")</f>
        <v>6129000</v>
      </c>
      <c r="J143" s="1" t="str">
        <f ca="1">IFERROR(__xludf.DUMMYFUNCTION("GOOGLETRANSLATE('대전도시공사_청년임대주택 현황_20240630'!J143,""ko"",""en"")"),"160300")</f>
        <v>160300</v>
      </c>
    </row>
    <row r="144" spans="1:10" ht="12.5" x14ac:dyDescent="0.25">
      <c r="A144" s="1" t="str">
        <f ca="1">IFERROR(__xludf.DUMMYFUNCTION("GOOGLETRANSLATE('대전도시공사_청년임대주택 현황_20240630'!A144,""ko"",""en"")"),"Yongmun-dong 280-59 (Happyunville, youth rental)")</f>
        <v>Yongmun-dong 280-59 (Happyunville, youth rental)</v>
      </c>
      <c r="B144" s="1" t="str">
        <f ca="1">IFERROR(__xludf.DUMMYFUNCTION("GOOGLETRANSLATE('대전도시공사_청년임대주택 현황_20240630'!B144,""ko"",""en"")"),"22")</f>
        <v>22</v>
      </c>
      <c r="C144" s="1" t="str">
        <f ca="1">IFERROR(__xludf.DUMMYFUNCTION("GOOGLETRANSLATE('대전도시공사_청년임대주택 현황_20240630'!C144,""ko"",""en"")"),"1")</f>
        <v>1</v>
      </c>
      <c r="D144" s="1" t="str">
        <f ca="1">IFERROR(__xludf.DUMMYFUNCTION("GOOGLETRANSLATE('대전도시공사_청년임대주택 현황_20240630'!D144,""ko"",""en"")"),"206")</f>
        <v>206</v>
      </c>
      <c r="E144" s="1" t="str">
        <f ca="1">IFERROR(__xludf.DUMMYFUNCTION("GOOGLETRANSLATE('대전도시공사_청년임대주택 현황_20240630'!E144,""ko"",""en"")"),"43.857")</f>
        <v>43.857</v>
      </c>
      <c r="F144" s="1" t="str">
        <f ca="1">IFERROR(__xludf.DUMMYFUNCTION("GOOGLETRANSLATE('대전도시공사_청년임대주택 현황_20240630'!F144,""ko"",""en"")"),"36.41")</f>
        <v>36.41</v>
      </c>
      <c r="G144" s="1" t="str">
        <f ca="1">IFERROR(__xludf.DUMMYFUNCTION("GOOGLETRANSLATE('대전도시공사_청년임대주택 현황_20240630'!G144,""ko"",""en"")"),"7.447")</f>
        <v>7.447</v>
      </c>
      <c r="H144" s="1" t="str">
        <f ca="1">IFERROR(__xludf.DUMMYFUNCTION("GOOGLETRANSLATE('대전도시공사_청년임대주택 현황_20240630'!H144,""ko"",""en"")"),"Newlyweds 1 (40% of the total price)")</f>
        <v>Newlyweds 1 (40% of the total price)</v>
      </c>
      <c r="I144" s="1" t="str">
        <f ca="1">IFERROR(__xludf.DUMMYFUNCTION("GOOGLETRANSLATE('대전도시공사_청년임대주택 현황_20240630'!I144,""ko"",""en"")"),"6129000")</f>
        <v>6129000</v>
      </c>
      <c r="J144" s="1" t="str">
        <f ca="1">IFERROR(__xludf.DUMMYFUNCTION("GOOGLETRANSLATE('대전도시공사_청년임대주택 현황_20240630'!J144,""ko"",""en"")"),"226000")</f>
        <v>226000</v>
      </c>
    </row>
    <row r="145" spans="1:10" ht="12.5" x14ac:dyDescent="0.25">
      <c r="A145" s="1" t="str">
        <f ca="1">IFERROR(__xludf.DUMMYFUNCTION("GOOGLETRANSLATE('대전도시공사_청년임대주택 현황_20240630'!A145,""ko"",""en"")"),"Yongmun-dong 280-59 (Happyunville, youth rental)")</f>
        <v>Yongmun-dong 280-59 (Happyunville, youth rental)</v>
      </c>
      <c r="B145" s="1" t="str">
        <f ca="1">IFERROR(__xludf.DUMMYFUNCTION("GOOGLETRANSLATE('대전도시공사_청년임대주택 현황_20240630'!B145,""ko"",""en"")"),"23")</f>
        <v>23</v>
      </c>
      <c r="C145" s="1" t="str">
        <f ca="1">IFERROR(__xludf.DUMMYFUNCTION("GOOGLETRANSLATE('대전도시공사_청년임대주택 현황_20240630'!C145,""ko"",""en"")"),"1")</f>
        <v>1</v>
      </c>
      <c r="D145" s="1" t="str">
        <f ca="1">IFERROR(__xludf.DUMMYFUNCTION("GOOGLETRANSLATE('대전도시공사_청년임대주택 현황_20240630'!D145,""ko"",""en"")"),"206")</f>
        <v>206</v>
      </c>
      <c r="E145" s="1" t="str">
        <f ca="1">IFERROR(__xludf.DUMMYFUNCTION("GOOGLETRANSLATE('대전도시공사_청년임대주택 현황_20240630'!E145,""ko"",""en"")"),"43.857")</f>
        <v>43.857</v>
      </c>
      <c r="F145" s="1" t="str">
        <f ca="1">IFERROR(__xludf.DUMMYFUNCTION("GOOGLETRANSLATE('대전도시공사_청년임대주택 현황_20240630'!F145,""ko"",""en"")"),"36.41")</f>
        <v>36.41</v>
      </c>
      <c r="G145" s="1" t="str">
        <f ca="1">IFERROR(__xludf.DUMMYFUNCTION("GOOGLETRANSLATE('대전도시공사_청년임대주택 현황_20240630'!G145,""ko"",""en"")"),"7.447")</f>
        <v>7.447</v>
      </c>
      <c r="H145" s="1" t="str">
        <f ca="1">IFERROR(__xludf.DUMMYFUNCTION("GOOGLETRANSLATE('대전도시공사_청년임대주택 현황_20240630'!H145,""ko"",""en"")"),"Newlyweds 2 (70% of the total price)")</f>
        <v>Newlyweds 2 (70% of the total price)</v>
      </c>
      <c r="I145" s="1" t="str">
        <f ca="1">IFERROR(__xludf.DUMMYFUNCTION("GOOGLETRANSLATE('대전도시공사_청년임대주택 현황_20240630'!I145,""ko"",""en"")"),"6129000")</f>
        <v>6129000</v>
      </c>
      <c r="J145" s="1" t="str">
        <f ca="1">IFERROR(__xludf.DUMMYFUNCTION("GOOGLETRANSLATE('대전도시공사_청년임대주택 현황_20240630'!J145,""ko"",""en"")"),"423300")</f>
        <v>423300</v>
      </c>
    </row>
    <row r="146" spans="1:10" ht="12.5" x14ac:dyDescent="0.25">
      <c r="A146" s="1" t="str">
        <f ca="1">IFERROR(__xludf.DUMMYFUNCTION("GOOGLETRANSLATE('대전도시공사_청년임대주택 현황_20240630'!A146,""ko"",""en"")"),"Yongmun-dong 280-59 (Happyunville, youth rental)")</f>
        <v>Yongmun-dong 280-59 (Happyunville, youth rental)</v>
      </c>
      <c r="B146" s="1" t="str">
        <f ca="1">IFERROR(__xludf.DUMMYFUNCTION("GOOGLETRANSLATE('대전도시공사_청년임대주택 현황_20240630'!B146,""ko"",""en"")"),"24")</f>
        <v>24</v>
      </c>
      <c r="C146" s="1" t="str">
        <f ca="1">IFERROR(__xludf.DUMMYFUNCTION("GOOGLETRANSLATE('대전도시공사_청년임대주택 현황_20240630'!C146,""ko"",""en"")"),"1")</f>
        <v>1</v>
      </c>
      <c r="D146" s="1" t="str">
        <f ca="1">IFERROR(__xludf.DUMMYFUNCTION("GOOGLETRANSLATE('대전도시공사_청년임대주택 현황_20240630'!D146,""ko"",""en"")"),"206")</f>
        <v>206</v>
      </c>
      <c r="E146" s="1" t="str">
        <f ca="1">IFERROR(__xludf.DUMMYFUNCTION("GOOGLETRANSLATE('대전도시공사_청년임대주택 현황_20240630'!E146,""ko"",""en"")"),"43.857")</f>
        <v>43.857</v>
      </c>
      <c r="F146" s="1" t="str">
        <f ca="1">IFERROR(__xludf.DUMMYFUNCTION("GOOGLETRANSLATE('대전도시공사_청년임대주택 현황_20240630'!F146,""ko"",""en"")"),"36.41")</f>
        <v>36.41</v>
      </c>
      <c r="G146" s="1" t="str">
        <f ca="1">IFERROR(__xludf.DUMMYFUNCTION("GOOGLETRANSLATE('대전도시공사_청년임대주택 현황_20240630'!G146,""ko"",""en"")"),"7.447")</f>
        <v>7.447</v>
      </c>
      <c r="H146" s="1" t="str">
        <f ca="1">IFERROR(__xludf.DUMMYFUNCTION("GOOGLETRANSLATE('대전도시공사_청년임대주택 현황_20240630'!H146,""ko"",""en"")"),"Newlyweds 2 (80% of the total price)")</f>
        <v>Newlyweds 2 (80% of the total price)</v>
      </c>
      <c r="I146" s="1" t="str">
        <f ca="1">IFERROR(__xludf.DUMMYFUNCTION("GOOGLETRANSLATE('대전도시공사_청년임대주택 현황_20240630'!I146,""ko"",""en"")"),"6129000")</f>
        <v>6129000</v>
      </c>
      <c r="J146" s="1" t="str">
        <f ca="1">IFERROR(__xludf.DUMMYFUNCTION("GOOGLETRANSLATE('대전도시공사_청년임대주택 현황_20240630'!J146,""ko"",""en"")"),"489100")</f>
        <v>489100</v>
      </c>
    </row>
    <row r="147" spans="1:10" ht="12.5" x14ac:dyDescent="0.25">
      <c r="A147" s="1" t="str">
        <f ca="1">IFERROR(__xludf.DUMMYFUNCTION("GOOGLETRANSLATE('대전도시공사_청년임대주택 현황_20240630'!A147,""ko"",""en"")"),"Yongmun-dong 280-59 (Happyunville, youth rental)")</f>
        <v>Yongmun-dong 280-59 (Happyunville, youth rental)</v>
      </c>
      <c r="B147" s="1" t="str">
        <f ca="1">IFERROR(__xludf.DUMMYFUNCTION("GOOGLETRANSLATE('대전도시공사_청년임대주택 현황_20240630'!B147,""ko"",""en"")"),"25")</f>
        <v>25</v>
      </c>
      <c r="C147" s="1" t="str">
        <f ca="1">IFERROR(__xludf.DUMMYFUNCTION("GOOGLETRANSLATE('대전도시공사_청년임대주택 현황_20240630'!C147,""ko"",""en"")"),"1")</f>
        <v>1</v>
      </c>
      <c r="D147" s="1" t="str">
        <f ca="1">IFERROR(__xludf.DUMMYFUNCTION("GOOGLETRANSLATE('대전도시공사_청년임대주택 현황_20240630'!D147,""ko"",""en"")"),"207")</f>
        <v>207</v>
      </c>
      <c r="E147" s="1" t="str">
        <f ca="1">IFERROR(__xludf.DUMMYFUNCTION("GOOGLETRANSLATE('대전도시공사_청년임대주택 현황_20240630'!E147,""ko"",""en"")"),"29.305")</f>
        <v>29.305</v>
      </c>
      <c r="F147" s="1" t="str">
        <f ca="1">IFERROR(__xludf.DUMMYFUNCTION("GOOGLETRANSLATE('대전도시공사_청년임대주택 현황_20240630'!F147,""ko"",""en"")"),"24.33")</f>
        <v>24.33</v>
      </c>
      <c r="G147" s="1" t="str">
        <f ca="1">IFERROR(__xludf.DUMMYFUNCTION("GOOGLETRANSLATE('대전도시공사_청년임대주택 현황_20240630'!G147,""ko"",""en"")"),"4.975")</f>
        <v>4.975</v>
      </c>
      <c r="H147" s="1" t="str">
        <f ca="1">IFERROR(__xludf.DUMMYFUNCTION("GOOGLETRANSLATE('대전도시공사_청년임대주택 현황_20240630'!H147,""ko"",""en"")"),"Youth Rent 1st Place")</f>
        <v>Youth Rent 1st Place</v>
      </c>
      <c r="I147" s="1" t="str">
        <f ca="1">IFERROR(__xludf.DUMMYFUNCTION("GOOGLETRANSLATE('대전도시공사_청년임대주택 현황_20240630'!I147,""ko"",""en"")"),"1000000")</f>
        <v>1000000</v>
      </c>
      <c r="J147" s="1" t="str">
        <f ca="1">IFERROR(__xludf.DUMMYFUNCTION("GOOGLETRANSLATE('대전도시공사_청년임대주택 현황_20240630'!J147,""ko"",""en"")"),"124000")</f>
        <v>124000</v>
      </c>
    </row>
    <row r="148" spans="1:10" ht="12.5" x14ac:dyDescent="0.25">
      <c r="A148" s="1" t="str">
        <f ca="1">IFERROR(__xludf.DUMMYFUNCTION("GOOGLETRANSLATE('대전도시공사_청년임대주택 현황_20240630'!A148,""ko"",""en"")"),"Yongmun-dong 280-59 (Happyunville, youth rental)")</f>
        <v>Yongmun-dong 280-59 (Happyunville, youth rental)</v>
      </c>
      <c r="B148" s="1" t="str">
        <f ca="1">IFERROR(__xludf.DUMMYFUNCTION("GOOGLETRANSLATE('대전도시공사_청년임대주택 현황_20240630'!B148,""ko"",""en"")"),"26")</f>
        <v>26</v>
      </c>
      <c r="C148" s="1" t="str">
        <f ca="1">IFERROR(__xludf.DUMMYFUNCTION("GOOGLETRANSLATE('대전도시공사_청년임대주택 현황_20240630'!C148,""ko"",""en"")"),"1")</f>
        <v>1</v>
      </c>
      <c r="D148" s="1" t="str">
        <f ca="1">IFERROR(__xludf.DUMMYFUNCTION("GOOGLETRANSLATE('대전도시공사_청년임대주택 현황_20240630'!D148,""ko"",""en"")"),"207")</f>
        <v>207</v>
      </c>
      <c r="E148" s="1" t="str">
        <f ca="1">IFERROR(__xludf.DUMMYFUNCTION("GOOGLETRANSLATE('대전도시공사_청년임대주택 현황_20240630'!E148,""ko"",""en"")"),"29.305")</f>
        <v>29.305</v>
      </c>
      <c r="F148" s="1" t="str">
        <f ca="1">IFERROR(__xludf.DUMMYFUNCTION("GOOGLETRANSLATE('대전도시공사_청년임대주택 현황_20240630'!F148,""ko"",""en"")"),"24.33")</f>
        <v>24.33</v>
      </c>
      <c r="G148" s="1" t="str">
        <f ca="1">IFERROR(__xludf.DUMMYFUNCTION("GOOGLETRANSLATE('대전도시공사_청년임대주택 현황_20240630'!G148,""ko"",""en"")"),"4.975")</f>
        <v>4.975</v>
      </c>
      <c r="H148" s="1" t="str">
        <f ca="1">IFERROR(__xludf.DUMMYFUNCTION("GOOGLETRANSLATE('대전도시공사_청년임대주택 현황_20240630'!H148,""ko"",""en"")"),"Youth Rental 2nd Place")</f>
        <v>Youth Rental 2nd Place</v>
      </c>
      <c r="I148" s="1" t="str">
        <f ca="1">IFERROR(__xludf.DUMMYFUNCTION("GOOGLETRANSLATE('대전도시공사_청년임대주택 현황_20240630'!I148,""ko"",""en"")"),"2000000")</f>
        <v>2000000</v>
      </c>
      <c r="J148" s="1" t="str">
        <f ca="1">IFERROR(__xludf.DUMMYFUNCTION("GOOGLETRANSLATE('대전도시공사_청년임대주택 현황_20240630'!J148,""ko"",""en"")"),"204000")</f>
        <v>204000</v>
      </c>
    </row>
    <row r="149" spans="1:10" ht="12.5" x14ac:dyDescent="0.25">
      <c r="A149" s="1" t="str">
        <f ca="1">IFERROR(__xludf.DUMMYFUNCTION("GOOGLETRANSLATE('대전도시공사_청년임대주택 현황_20240630'!A149,""ko"",""en"")"),"Yongmun-dong 280-59 (Happyunville, youth rental)")</f>
        <v>Yongmun-dong 280-59 (Happyunville, youth rental)</v>
      </c>
      <c r="B149" s="1" t="str">
        <f ca="1">IFERROR(__xludf.DUMMYFUNCTION("GOOGLETRANSLATE('대전도시공사_청년임대주택 현황_20240630'!B149,""ko"",""en"")"),"27")</f>
        <v>27</v>
      </c>
      <c r="C149" s="1" t="str">
        <f ca="1">IFERROR(__xludf.DUMMYFUNCTION("GOOGLETRANSLATE('대전도시공사_청년임대주택 현황_20240630'!C149,""ko"",""en"")"),"1")</f>
        <v>1</v>
      </c>
      <c r="D149" s="1" t="str">
        <f ca="1">IFERROR(__xludf.DUMMYFUNCTION("GOOGLETRANSLATE('대전도시공사_청년임대주택 현황_20240630'!D149,""ko"",""en"")"),"207")</f>
        <v>207</v>
      </c>
      <c r="E149" s="1" t="str">
        <f ca="1">IFERROR(__xludf.DUMMYFUNCTION("GOOGLETRANSLATE('대전도시공사_청년임대주택 현황_20240630'!E149,""ko"",""en"")"),"29.305")</f>
        <v>29.305</v>
      </c>
      <c r="F149" s="1" t="str">
        <f ca="1">IFERROR(__xludf.DUMMYFUNCTION("GOOGLETRANSLATE('대전도시공사_청년임대주택 현황_20240630'!F149,""ko"",""en"")"),"24.33")</f>
        <v>24.33</v>
      </c>
      <c r="G149" s="1" t="str">
        <f ca="1">IFERROR(__xludf.DUMMYFUNCTION("GOOGLETRANSLATE('대전도시공사_청년임대주택 현황_20240630'!G149,""ko"",""en"")"),"4.975")</f>
        <v>4.975</v>
      </c>
      <c r="H149" s="1" t="str">
        <f ca="1">IFERROR(__xludf.DUMMYFUNCTION("GOOGLETRANSLATE('대전도시공사_청년임대주택 현황_20240630'!H149,""ko"",""en"")"),"3rd place for youth rental")</f>
        <v>3rd place for youth rental</v>
      </c>
      <c r="I149" s="1" t="str">
        <f ca="1">IFERROR(__xludf.DUMMYFUNCTION("GOOGLETRANSLATE('대전도시공사_청년임대주택 현황_20240630'!I149,""ko"",""en"")"),"2000000")</f>
        <v>2000000</v>
      </c>
      <c r="J149" s="1" t="str">
        <f ca="1">IFERROR(__xludf.DUMMYFUNCTION("GOOGLETRANSLATE('대전도시공사_청년임대주택 현황_20240630'!J149,""ko"",""en"")"),"204000")</f>
        <v>204000</v>
      </c>
    </row>
    <row r="150" spans="1:10" ht="12.5" x14ac:dyDescent="0.25">
      <c r="A150" s="1" t="str">
        <f ca="1">IFERROR(__xludf.DUMMYFUNCTION("GOOGLETRANSLATE('대전도시공사_청년임대주택 현황_20240630'!A150,""ko"",""en"")"),"Yongmun-dong 280-59 (Happyunville, youth rental)")</f>
        <v>Yongmun-dong 280-59 (Happyunville, youth rental)</v>
      </c>
      <c r="B150" s="1" t="str">
        <f ca="1">IFERROR(__xludf.DUMMYFUNCTION("GOOGLETRANSLATE('대전도시공사_청년임대주택 현황_20240630'!B150,""ko"",""en"")"),"28")</f>
        <v>28</v>
      </c>
      <c r="C150" s="1" t="str">
        <f ca="1">IFERROR(__xludf.DUMMYFUNCTION("GOOGLETRANSLATE('대전도시공사_청년임대주택 현황_20240630'!C150,""ko"",""en"")"),"1")</f>
        <v>1</v>
      </c>
      <c r="D150" s="1" t="str">
        <f ca="1">IFERROR(__xludf.DUMMYFUNCTION("GOOGLETRANSLATE('대전도시공사_청년임대주택 현황_20240630'!D150,""ko"",""en"")"),"207")</f>
        <v>207</v>
      </c>
      <c r="E150" s="1" t="str">
        <f ca="1">IFERROR(__xludf.DUMMYFUNCTION("GOOGLETRANSLATE('대전도시공사_청년임대주택 현황_20240630'!E150,""ko"",""en"")"),"29.305")</f>
        <v>29.305</v>
      </c>
      <c r="F150" s="1" t="str">
        <f ca="1">IFERROR(__xludf.DUMMYFUNCTION("GOOGLETRANSLATE('대전도시공사_청년임대주택 현황_20240630'!F150,""ko"",""en"")"),"24.33")</f>
        <v>24.33</v>
      </c>
      <c r="G150" s="1" t="str">
        <f ca="1">IFERROR(__xludf.DUMMYFUNCTION("GOOGLETRANSLATE('대전도시공사_청년임대주택 현황_20240630'!G150,""ko"",""en"")"),"4.975")</f>
        <v>4.975</v>
      </c>
      <c r="H150" s="1" t="str">
        <f ca="1">IFERROR(__xludf.DUMMYFUNCTION("GOOGLETRANSLATE('대전도시공사_청년임대주택 현황_20240630'!H150,""ko"",""en"")"),"4th place for youth rental")</f>
        <v>4th place for youth rental</v>
      </c>
      <c r="I150" s="1" t="str">
        <f ca="1">IFERROR(__xludf.DUMMYFUNCTION("GOOGLETRANSLATE('대전도시공사_청년임대주택 현황_20240630'!I150,""ko"",""en"")"),"2000000")</f>
        <v>2000000</v>
      </c>
      <c r="J150" s="1" t="str">
        <f ca="1">IFERROR(__xludf.DUMMYFUNCTION("GOOGLETRANSLATE('대전도시공사_청년임대주택 현황_20240630'!J150,""ko"",""en"")"),"204000")</f>
        <v>204000</v>
      </c>
    </row>
    <row r="151" spans="1:10" ht="12.5" x14ac:dyDescent="0.25">
      <c r="A151" s="1" t="str">
        <f ca="1">IFERROR(__xludf.DUMMYFUNCTION("GOOGLETRANSLATE('대전도시공사_청년임대주택 현황_20240630'!A151,""ko"",""en"")"),"Yongmun-dong 280-59 (Happyunville, youth rental)")</f>
        <v>Yongmun-dong 280-59 (Happyunville, youth rental)</v>
      </c>
      <c r="B151" s="1" t="str">
        <f ca="1">IFERROR(__xludf.DUMMYFUNCTION("GOOGLETRANSLATE('대전도시공사_청년임대주택 현황_20240630'!B151,""ko"",""en"")"),"29")</f>
        <v>29</v>
      </c>
      <c r="C151" s="1" t="str">
        <f ca="1">IFERROR(__xludf.DUMMYFUNCTION("GOOGLETRANSLATE('대전도시공사_청년임대주택 현황_20240630'!C151,""ko"",""en"")"),"1")</f>
        <v>1</v>
      </c>
      <c r="D151" s="1" t="str">
        <f ca="1">IFERROR(__xludf.DUMMYFUNCTION("GOOGLETRANSLATE('대전도시공사_청년임대주택 현황_20240630'!D151,""ko"",""en"")"),"301")</f>
        <v>301</v>
      </c>
      <c r="E151" s="1" t="str">
        <f ca="1">IFERROR(__xludf.DUMMYFUNCTION("GOOGLETRANSLATE('대전도시공사_청년임대주택 현황_20240630'!E151,""ko"",""en"")"),"17.851")</f>
        <v>17.851</v>
      </c>
      <c r="F151" s="1" t="str">
        <f ca="1">IFERROR(__xludf.DUMMYFUNCTION("GOOGLETRANSLATE('대전도시공사_청년임대주택 현황_20240630'!F151,""ko"",""en"")"),"14.82")</f>
        <v>14.82</v>
      </c>
      <c r="G151" s="1" t="str">
        <f ca="1">IFERROR(__xludf.DUMMYFUNCTION("GOOGLETRANSLATE('대전도시공사_청년임대주택 현황_20240630'!G151,""ko"",""en"")"),"3.031")</f>
        <v>3.031</v>
      </c>
      <c r="H151" s="1" t="str">
        <f ca="1">IFERROR(__xludf.DUMMYFUNCTION("GOOGLETRANSLATE('대전도시공사_청년임대주택 현황_20240630'!H151,""ko"",""en"")"),"Youth Rent 1st Place")</f>
        <v>Youth Rent 1st Place</v>
      </c>
      <c r="I151" s="1" t="str">
        <f ca="1">IFERROR(__xludf.DUMMYFUNCTION("GOOGLETRANSLATE('대전도시공사_청년임대주택 현황_20240630'!I151,""ko"",""en"")"),"1000000")</f>
        <v>1000000</v>
      </c>
      <c r="J151" s="1" t="str">
        <f ca="1">IFERROR(__xludf.DUMMYFUNCTION("GOOGLETRANSLATE('대전도시공사_청년임대주택 현황_20240630'!J151,""ko"",""en"")"),"78400")</f>
        <v>78400</v>
      </c>
    </row>
    <row r="152" spans="1:10" ht="12.5" x14ac:dyDescent="0.25">
      <c r="A152" s="1" t="str">
        <f ca="1">IFERROR(__xludf.DUMMYFUNCTION("GOOGLETRANSLATE('대전도시공사_청년임대주택 현황_20240630'!A152,""ko"",""en"")"),"Yongmun-dong 280-59 (Happyunville, youth rental)")</f>
        <v>Yongmun-dong 280-59 (Happyunville, youth rental)</v>
      </c>
      <c r="B152" s="1" t="str">
        <f ca="1">IFERROR(__xludf.DUMMYFUNCTION("GOOGLETRANSLATE('대전도시공사_청년임대주택 현황_20240630'!B152,""ko"",""en"")"),"30")</f>
        <v>30</v>
      </c>
      <c r="C152" s="1" t="str">
        <f ca="1">IFERROR(__xludf.DUMMYFUNCTION("GOOGLETRANSLATE('대전도시공사_청년임대주택 현황_20240630'!C152,""ko"",""en"")"),"1")</f>
        <v>1</v>
      </c>
      <c r="D152" s="1" t="str">
        <f ca="1">IFERROR(__xludf.DUMMYFUNCTION("GOOGLETRANSLATE('대전도시공사_청년임대주택 현황_20240630'!D152,""ko"",""en"")"),"301")</f>
        <v>301</v>
      </c>
      <c r="E152" s="1" t="str">
        <f ca="1">IFERROR(__xludf.DUMMYFUNCTION("GOOGLETRANSLATE('대전도시공사_청년임대주택 현황_20240630'!E152,""ko"",""en"")"),"17.851")</f>
        <v>17.851</v>
      </c>
      <c r="F152" s="1" t="str">
        <f ca="1">IFERROR(__xludf.DUMMYFUNCTION("GOOGLETRANSLATE('대전도시공사_청년임대주택 현황_20240630'!F152,""ko"",""en"")"),"14.82")</f>
        <v>14.82</v>
      </c>
      <c r="G152" s="1" t="str">
        <f ca="1">IFERROR(__xludf.DUMMYFUNCTION("GOOGLETRANSLATE('대전도시공사_청년임대주택 현황_20240630'!G152,""ko"",""en"")"),"3.031")</f>
        <v>3.031</v>
      </c>
      <c r="H152" s="1" t="str">
        <f ca="1">IFERROR(__xludf.DUMMYFUNCTION("GOOGLETRANSLATE('대전도시공사_청년임대주택 현황_20240630'!H152,""ko"",""en"")"),"Youth Rental 2nd Place")</f>
        <v>Youth Rental 2nd Place</v>
      </c>
      <c r="I152" s="1" t="str">
        <f ca="1">IFERROR(__xludf.DUMMYFUNCTION("GOOGLETRANSLATE('대전도시공사_청년임대주택 현황_20240630'!I152,""ko"",""en"")"),"2000000")</f>
        <v>2000000</v>
      </c>
      <c r="J152" s="1" t="str">
        <f ca="1">IFERROR(__xludf.DUMMYFUNCTION("GOOGLETRANSLATE('대전도시공사_청년임대주택 현황_20240630'!J152,""ko"",""en"")"),"128100")</f>
        <v>128100</v>
      </c>
    </row>
    <row r="153" spans="1:10" ht="12.5" x14ac:dyDescent="0.25">
      <c r="A153" s="1" t="str">
        <f ca="1">IFERROR(__xludf.DUMMYFUNCTION("GOOGLETRANSLATE('대전도시공사_청년임대주택 현황_20240630'!A153,""ko"",""en"")"),"Yongmun-dong 280-59 (Happyunville, youth rental)")</f>
        <v>Yongmun-dong 280-59 (Happyunville, youth rental)</v>
      </c>
      <c r="B153" s="1" t="str">
        <f ca="1">IFERROR(__xludf.DUMMYFUNCTION("GOOGLETRANSLATE('대전도시공사_청년임대주택 현황_20240630'!B153,""ko"",""en"")"),"31")</f>
        <v>31</v>
      </c>
      <c r="C153" s="1" t="str">
        <f ca="1">IFERROR(__xludf.DUMMYFUNCTION("GOOGLETRANSLATE('대전도시공사_청년임대주택 현황_20240630'!C153,""ko"",""en"")"),"1")</f>
        <v>1</v>
      </c>
      <c r="D153" s="1" t="str">
        <f ca="1">IFERROR(__xludf.DUMMYFUNCTION("GOOGLETRANSLATE('대전도시공사_청년임대주택 현황_20240630'!D153,""ko"",""en"")"),"301")</f>
        <v>301</v>
      </c>
      <c r="E153" s="1" t="str">
        <f ca="1">IFERROR(__xludf.DUMMYFUNCTION("GOOGLETRANSLATE('대전도시공사_청년임대주택 현황_20240630'!E153,""ko"",""en"")"),"17.851")</f>
        <v>17.851</v>
      </c>
      <c r="F153" s="1" t="str">
        <f ca="1">IFERROR(__xludf.DUMMYFUNCTION("GOOGLETRANSLATE('대전도시공사_청년임대주택 현황_20240630'!F153,""ko"",""en"")"),"14.82")</f>
        <v>14.82</v>
      </c>
      <c r="G153" s="1" t="str">
        <f ca="1">IFERROR(__xludf.DUMMYFUNCTION("GOOGLETRANSLATE('대전도시공사_청년임대주택 현황_20240630'!G153,""ko"",""en"")"),"3.031")</f>
        <v>3.031</v>
      </c>
      <c r="H153" s="1" t="str">
        <f ca="1">IFERROR(__xludf.DUMMYFUNCTION("GOOGLETRANSLATE('대전도시공사_청년임대주택 현황_20240630'!H153,""ko"",""en"")"),"3rd place for youth rental")</f>
        <v>3rd place for youth rental</v>
      </c>
      <c r="I153" s="1" t="str">
        <f ca="1">IFERROR(__xludf.DUMMYFUNCTION("GOOGLETRANSLATE('대전도시공사_청년임대주택 현황_20240630'!I153,""ko"",""en"")"),"2000000")</f>
        <v>2000000</v>
      </c>
      <c r="J153" s="1" t="str">
        <f ca="1">IFERROR(__xludf.DUMMYFUNCTION("GOOGLETRANSLATE('대전도시공사_청년임대주택 현황_20240630'!J153,""ko"",""en"")"),"128100")</f>
        <v>128100</v>
      </c>
    </row>
    <row r="154" spans="1:10" ht="12.5" x14ac:dyDescent="0.25">
      <c r="A154" s="1" t="str">
        <f ca="1">IFERROR(__xludf.DUMMYFUNCTION("GOOGLETRANSLATE('대전도시공사_청년임대주택 현황_20240630'!A154,""ko"",""en"")"),"Yongmun-dong 280-59 (Happyunville, youth rental)")</f>
        <v>Yongmun-dong 280-59 (Happyunville, youth rental)</v>
      </c>
      <c r="B154" s="1" t="str">
        <f ca="1">IFERROR(__xludf.DUMMYFUNCTION("GOOGLETRANSLATE('대전도시공사_청년임대주택 현황_20240630'!B154,""ko"",""en"")"),"32")</f>
        <v>32</v>
      </c>
      <c r="C154" s="1" t="str">
        <f ca="1">IFERROR(__xludf.DUMMYFUNCTION("GOOGLETRANSLATE('대전도시공사_청년임대주택 현황_20240630'!C154,""ko"",""en"")"),"1")</f>
        <v>1</v>
      </c>
      <c r="D154" s="1" t="str">
        <f ca="1">IFERROR(__xludf.DUMMYFUNCTION("GOOGLETRANSLATE('대전도시공사_청년임대주택 현황_20240630'!D154,""ko"",""en"")"),"301")</f>
        <v>301</v>
      </c>
      <c r="E154" s="1" t="str">
        <f ca="1">IFERROR(__xludf.DUMMYFUNCTION("GOOGLETRANSLATE('대전도시공사_청년임대주택 현황_20240630'!E154,""ko"",""en"")"),"17.851")</f>
        <v>17.851</v>
      </c>
      <c r="F154" s="1" t="str">
        <f ca="1">IFERROR(__xludf.DUMMYFUNCTION("GOOGLETRANSLATE('대전도시공사_청년임대주택 현황_20240630'!F154,""ko"",""en"")"),"14.82")</f>
        <v>14.82</v>
      </c>
      <c r="G154" s="1" t="str">
        <f ca="1">IFERROR(__xludf.DUMMYFUNCTION("GOOGLETRANSLATE('대전도시공사_청년임대주택 현황_20240630'!G154,""ko"",""en"")"),"3.031")</f>
        <v>3.031</v>
      </c>
      <c r="H154" s="1" t="str">
        <f ca="1">IFERROR(__xludf.DUMMYFUNCTION("GOOGLETRANSLATE('대전도시공사_청년임대주택 현황_20240630'!H154,""ko"",""en"")"),"4th place for youth rental")</f>
        <v>4th place for youth rental</v>
      </c>
      <c r="I154" s="1" t="str">
        <f ca="1">IFERROR(__xludf.DUMMYFUNCTION("GOOGLETRANSLATE('대전도시공사_청년임대주택 현황_20240630'!I154,""ko"",""en"")"),"2000000")</f>
        <v>2000000</v>
      </c>
      <c r="J154" s="1" t="str">
        <f ca="1">IFERROR(__xludf.DUMMYFUNCTION("GOOGLETRANSLATE('대전도시공사_청년임대주택 현황_20240630'!J154,""ko"",""en"")"),"128100")</f>
        <v>128100</v>
      </c>
    </row>
    <row r="155" spans="1:10" ht="12.5" x14ac:dyDescent="0.25">
      <c r="A155" s="1" t="str">
        <f ca="1">IFERROR(__xludf.DUMMYFUNCTION("GOOGLETRANSLATE('대전도시공사_청년임대주택 현황_20240630'!A155,""ko"",""en"")"),"Yongmun-dong 280-59 (Happyunville, youth rental)")</f>
        <v>Yongmun-dong 280-59 (Happyunville, youth rental)</v>
      </c>
      <c r="B155" s="1" t="str">
        <f ca="1">IFERROR(__xludf.DUMMYFUNCTION("GOOGLETRANSLATE('대전도시공사_청년임대주택 현황_20240630'!B155,""ko"",""en"")"),"33")</f>
        <v>33</v>
      </c>
      <c r="C155" s="1" t="str">
        <f ca="1">IFERROR(__xludf.DUMMYFUNCTION("GOOGLETRANSLATE('대전도시공사_청년임대주택 현황_20240630'!C155,""ko"",""en"")"),"1")</f>
        <v>1</v>
      </c>
      <c r="D155" s="1" t="str">
        <f ca="1">IFERROR(__xludf.DUMMYFUNCTION("GOOGLETRANSLATE('대전도시공사_청년임대주택 현황_20240630'!D155,""ko"",""en"")"),"302")</f>
        <v>302</v>
      </c>
      <c r="E155" s="1" t="str">
        <f ca="1">IFERROR(__xludf.DUMMYFUNCTION("GOOGLETRANSLATE('대전도시공사_청년임대주택 현황_20240630'!E155,""ko"",""en"")"),"48.12")</f>
        <v>48.12</v>
      </c>
      <c r="F155" s="1" t="str">
        <f ca="1">IFERROR(__xludf.DUMMYFUNCTION("GOOGLETRANSLATE('대전도시공사_청년임대주택 현황_20240630'!F155,""ko"",""en"")"),"39.95")</f>
        <v>39.95</v>
      </c>
      <c r="G155" s="1" t="str">
        <f ca="1">IFERROR(__xludf.DUMMYFUNCTION("GOOGLETRANSLATE('대전도시공사_청년임대주택 현황_20240630'!G155,""ko"",""en"")"),"8.17")</f>
        <v>8.17</v>
      </c>
      <c r="H155" s="1" t="str">
        <f ca="1">IFERROR(__xludf.DUMMYFUNCTION("GOOGLETRANSLATE('대전도시공사_청년임대주택 현황_20240630'!H155,""ko"",""en"")"),"Newlyweds 1 (30% of the total price)")</f>
        <v>Newlyweds 1 (30% of the total price)</v>
      </c>
      <c r="I155" s="1" t="str">
        <f ca="1">IFERROR(__xludf.DUMMYFUNCTION("GOOGLETRANSLATE('대전도시공사_청년임대주택 현황_20240630'!I155,""ko"",""en"")"),"6724000")</f>
        <v>6724000</v>
      </c>
      <c r="J155" s="1" t="str">
        <f ca="1">IFERROR(__xludf.DUMMYFUNCTION("GOOGLETRANSLATE('대전도시공사_청년임대주택 현황_20240630'!J155,""ko"",""en"")"),"169700")</f>
        <v>169700</v>
      </c>
    </row>
    <row r="156" spans="1:10" ht="12.5" x14ac:dyDescent="0.25">
      <c r="A156" s="1" t="str">
        <f ca="1">IFERROR(__xludf.DUMMYFUNCTION("GOOGLETRANSLATE('대전도시공사_청년임대주택 현황_20240630'!A156,""ko"",""en"")"),"Yongmun-dong 280-59 (Happyunville, youth rental)")</f>
        <v>Yongmun-dong 280-59 (Happyunville, youth rental)</v>
      </c>
      <c r="B156" s="1" t="str">
        <f ca="1">IFERROR(__xludf.DUMMYFUNCTION("GOOGLETRANSLATE('대전도시공사_청년임대주택 현황_20240630'!B156,""ko"",""en"")"),"34")</f>
        <v>34</v>
      </c>
      <c r="C156" s="1" t="str">
        <f ca="1">IFERROR(__xludf.DUMMYFUNCTION("GOOGLETRANSLATE('대전도시공사_청년임대주택 현황_20240630'!C156,""ko"",""en"")"),"1")</f>
        <v>1</v>
      </c>
      <c r="D156" s="1" t="str">
        <f ca="1">IFERROR(__xludf.DUMMYFUNCTION("GOOGLETRANSLATE('대전도시공사_청년임대주택 현황_20240630'!D156,""ko"",""en"")"),"302")</f>
        <v>302</v>
      </c>
      <c r="E156" s="1" t="str">
        <f ca="1">IFERROR(__xludf.DUMMYFUNCTION("GOOGLETRANSLATE('대전도시공사_청년임대주택 현황_20240630'!E156,""ko"",""en"")"),"48.12")</f>
        <v>48.12</v>
      </c>
      <c r="F156" s="1" t="str">
        <f ca="1">IFERROR(__xludf.DUMMYFUNCTION("GOOGLETRANSLATE('대전도시공사_청년임대주택 현황_20240630'!F156,""ko"",""en"")"),"39.95")</f>
        <v>39.95</v>
      </c>
      <c r="G156" s="1" t="str">
        <f ca="1">IFERROR(__xludf.DUMMYFUNCTION("GOOGLETRANSLATE('대전도시공사_청년임대주택 현황_20240630'!G156,""ko"",""en"")"),"8.17")</f>
        <v>8.17</v>
      </c>
      <c r="H156" s="1" t="str">
        <f ca="1">IFERROR(__xludf.DUMMYFUNCTION("GOOGLETRANSLATE('대전도시공사_청년임대주택 현황_20240630'!H156,""ko"",""en"")"),"Newlyweds 1 (40% of the total price)")</f>
        <v>Newlyweds 1 (40% of the total price)</v>
      </c>
      <c r="I156" s="1" t="str">
        <f ca="1">IFERROR(__xludf.DUMMYFUNCTION("GOOGLETRANSLATE('대전도시공사_청년임대주택 현황_20240630'!I156,""ko"",""en"")"),"6724000")</f>
        <v>6724000</v>
      </c>
      <c r="J156" s="1" t="str">
        <f ca="1">IFERROR(__xludf.DUMMYFUNCTION("GOOGLETRANSLATE('대전도시공사_청년임대주택 현황_20240630'!J156,""ko"",""en"")"),"239900")</f>
        <v>239900</v>
      </c>
    </row>
    <row r="157" spans="1:10" ht="12.5" x14ac:dyDescent="0.25">
      <c r="A157" s="1" t="str">
        <f ca="1">IFERROR(__xludf.DUMMYFUNCTION("GOOGLETRANSLATE('대전도시공사_청년임대주택 현황_20240630'!A157,""ko"",""en"")"),"Yongmun-dong 280-59 (Happyunville, youth rental)")</f>
        <v>Yongmun-dong 280-59 (Happyunville, youth rental)</v>
      </c>
      <c r="B157" s="1" t="str">
        <f ca="1">IFERROR(__xludf.DUMMYFUNCTION("GOOGLETRANSLATE('대전도시공사_청년임대주택 현황_20240630'!B157,""ko"",""en"")"),"35")</f>
        <v>35</v>
      </c>
      <c r="C157" s="1" t="str">
        <f ca="1">IFERROR(__xludf.DUMMYFUNCTION("GOOGLETRANSLATE('대전도시공사_청년임대주택 현황_20240630'!C157,""ko"",""en"")"),"1")</f>
        <v>1</v>
      </c>
      <c r="D157" s="1" t="str">
        <f ca="1">IFERROR(__xludf.DUMMYFUNCTION("GOOGLETRANSLATE('대전도시공사_청년임대주택 현황_20240630'!D157,""ko"",""en"")"),"302")</f>
        <v>302</v>
      </c>
      <c r="E157" s="1" t="str">
        <f ca="1">IFERROR(__xludf.DUMMYFUNCTION("GOOGLETRANSLATE('대전도시공사_청년임대주택 현황_20240630'!E157,""ko"",""en"")"),"48.12")</f>
        <v>48.12</v>
      </c>
      <c r="F157" s="1" t="str">
        <f ca="1">IFERROR(__xludf.DUMMYFUNCTION("GOOGLETRANSLATE('대전도시공사_청년임대주택 현황_20240630'!F157,""ko"",""en"")"),"39.95")</f>
        <v>39.95</v>
      </c>
      <c r="G157" s="1" t="str">
        <f ca="1">IFERROR(__xludf.DUMMYFUNCTION("GOOGLETRANSLATE('대전도시공사_청년임대주택 현황_20240630'!G157,""ko"",""en"")"),"8.17")</f>
        <v>8.17</v>
      </c>
      <c r="H157" s="1" t="str">
        <f ca="1">IFERROR(__xludf.DUMMYFUNCTION("GOOGLETRANSLATE('대전도시공사_청년임대주택 현황_20240630'!H157,""ko"",""en"")"),"Newlyweds 2 (70% of the total price)")</f>
        <v>Newlyweds 2 (70% of the total price)</v>
      </c>
      <c r="I157" s="1" t="str">
        <f ca="1">IFERROR(__xludf.DUMMYFUNCTION("GOOGLETRANSLATE('대전도시공사_청년임대주택 현황_20240630'!I157,""ko"",""en"")"),"6724000")</f>
        <v>6724000</v>
      </c>
      <c r="J157" s="1" t="str">
        <f ca="1">IFERROR(__xludf.DUMMYFUNCTION("GOOGLETRANSLATE('대전도시공사_청년임대주택 현황_20240630'!J157,""ko"",""en"")"),"450200")</f>
        <v>450200</v>
      </c>
    </row>
    <row r="158" spans="1:10" ht="12.5" x14ac:dyDescent="0.25">
      <c r="A158" s="1" t="str">
        <f ca="1">IFERROR(__xludf.DUMMYFUNCTION("GOOGLETRANSLATE('대전도시공사_청년임대주택 현황_20240630'!A158,""ko"",""en"")"),"Yongmun-dong 280-59 (Happyunville, youth rental)")</f>
        <v>Yongmun-dong 280-59 (Happyunville, youth rental)</v>
      </c>
      <c r="B158" s="1" t="str">
        <f ca="1">IFERROR(__xludf.DUMMYFUNCTION("GOOGLETRANSLATE('대전도시공사_청년임대주택 현황_20240630'!B158,""ko"",""en"")"),"36")</f>
        <v>36</v>
      </c>
      <c r="C158" s="1" t="str">
        <f ca="1">IFERROR(__xludf.DUMMYFUNCTION("GOOGLETRANSLATE('대전도시공사_청년임대주택 현황_20240630'!C158,""ko"",""en"")"),"1")</f>
        <v>1</v>
      </c>
      <c r="D158" s="1" t="str">
        <f ca="1">IFERROR(__xludf.DUMMYFUNCTION("GOOGLETRANSLATE('대전도시공사_청년임대주택 현황_20240630'!D158,""ko"",""en"")"),"302")</f>
        <v>302</v>
      </c>
      <c r="E158" s="1" t="str">
        <f ca="1">IFERROR(__xludf.DUMMYFUNCTION("GOOGLETRANSLATE('대전도시공사_청년임대주택 현황_20240630'!E158,""ko"",""en"")"),"48.12")</f>
        <v>48.12</v>
      </c>
      <c r="F158" s="1" t="str">
        <f ca="1">IFERROR(__xludf.DUMMYFUNCTION("GOOGLETRANSLATE('대전도시공사_청년임대주택 현황_20240630'!F158,""ko"",""en"")"),"39.95")</f>
        <v>39.95</v>
      </c>
      <c r="G158" s="1" t="str">
        <f ca="1">IFERROR(__xludf.DUMMYFUNCTION("GOOGLETRANSLATE('대전도시공사_청년임대주택 현황_20240630'!G158,""ko"",""en"")"),"8.17")</f>
        <v>8.17</v>
      </c>
      <c r="H158" s="1" t="str">
        <f ca="1">IFERROR(__xludf.DUMMYFUNCTION("GOOGLETRANSLATE('대전도시공사_청년임대주택 현황_20240630'!H158,""ko"",""en"")"),"Newlyweds 2 (80% of the total price)")</f>
        <v>Newlyweds 2 (80% of the total price)</v>
      </c>
      <c r="I158" s="1" t="str">
        <f ca="1">IFERROR(__xludf.DUMMYFUNCTION("GOOGLETRANSLATE('대전도시공사_청년임대주택 현황_20240630'!I158,""ko"",""en"")"),"6724000")</f>
        <v>6724000</v>
      </c>
      <c r="J158" s="1" t="str">
        <f ca="1">IFERROR(__xludf.DUMMYFUNCTION("GOOGLETRANSLATE('대전도시공사_청년임대주택 현황_20240630'!J158,""ko"",""en"")"),"520300")</f>
        <v>520300</v>
      </c>
    </row>
    <row r="159" spans="1:10" ht="12.5" x14ac:dyDescent="0.25">
      <c r="A159" s="1" t="str">
        <f ca="1">IFERROR(__xludf.DUMMYFUNCTION("GOOGLETRANSLATE('대전도시공사_청년임대주택 현황_20240630'!A159,""ko"",""en"")"),"Yongmun-dong 280-59 (Happyunville, youth rental)")</f>
        <v>Yongmun-dong 280-59 (Happyunville, youth rental)</v>
      </c>
      <c r="B159" s="1" t="str">
        <f ca="1">IFERROR(__xludf.DUMMYFUNCTION("GOOGLETRANSLATE('대전도시공사_청년임대주택 현황_20240630'!B159,""ko"",""en"")"),"37")</f>
        <v>37</v>
      </c>
      <c r="C159" s="1" t="str">
        <f ca="1">IFERROR(__xludf.DUMMYFUNCTION("GOOGLETRANSLATE('대전도시공사_청년임대주택 현황_20240630'!C159,""ko"",""en"")"),"1")</f>
        <v>1</v>
      </c>
      <c r="D159" s="1" t="str">
        <f ca="1">IFERROR(__xludf.DUMMYFUNCTION("GOOGLETRANSLATE('대전도시공사_청년임대주택 현황_20240630'!D159,""ko"",""en"")"),"303")</f>
        <v>303</v>
      </c>
      <c r="E159" s="1" t="str">
        <f ca="1">IFERROR(__xludf.DUMMYFUNCTION("GOOGLETRANSLATE('대전도시공사_청년임대주택 현황_20240630'!E159,""ko"",""en"")"),"24.934")</f>
        <v>24.934</v>
      </c>
      <c r="F159" s="1" t="str">
        <f ca="1">IFERROR(__xludf.DUMMYFUNCTION("GOOGLETRANSLATE('대전도시공사_청년임대주택 현황_20240630'!F159,""ko"",""en"")"),"20.7")</f>
        <v>20.7</v>
      </c>
      <c r="G159" s="1" t="str">
        <f ca="1">IFERROR(__xludf.DUMMYFUNCTION("GOOGLETRANSLATE('대전도시공사_청년임대주택 현황_20240630'!G159,""ko"",""en"")"),"4.234")</f>
        <v>4.234</v>
      </c>
      <c r="H159" s="1" t="str">
        <f ca="1">IFERROR(__xludf.DUMMYFUNCTION("GOOGLETRANSLATE('대전도시공사_청년임대주택 현황_20240630'!H159,""ko"",""en"")"),"Youth Rent 1st Place")</f>
        <v>Youth Rent 1st Place</v>
      </c>
      <c r="I159" s="1" t="str">
        <f ca="1">IFERROR(__xludf.DUMMYFUNCTION("GOOGLETRANSLATE('대전도시공사_청년임대주택 현황_20240630'!I159,""ko"",""en"")"),"1000000")</f>
        <v>1000000</v>
      </c>
      <c r="J159" s="1" t="str">
        <f ca="1">IFERROR(__xludf.DUMMYFUNCTION("GOOGLETRANSLATE('대전도시공사_청년임대주택 현황_20240630'!J159,""ko"",""en"")"),"106800")</f>
        <v>106800</v>
      </c>
    </row>
    <row r="160" spans="1:10" ht="12.5" x14ac:dyDescent="0.25">
      <c r="A160" s="1" t="str">
        <f ca="1">IFERROR(__xludf.DUMMYFUNCTION("GOOGLETRANSLATE('대전도시공사_청년임대주택 현황_20240630'!A160,""ko"",""en"")"),"Yongmun-dong 280-59 (Happyunville, youth rental)")</f>
        <v>Yongmun-dong 280-59 (Happyunville, youth rental)</v>
      </c>
      <c r="B160" s="1" t="str">
        <f ca="1">IFERROR(__xludf.DUMMYFUNCTION("GOOGLETRANSLATE('대전도시공사_청년임대주택 현황_20240630'!B160,""ko"",""en"")"),"38")</f>
        <v>38</v>
      </c>
      <c r="C160" s="1" t="str">
        <f ca="1">IFERROR(__xludf.DUMMYFUNCTION("GOOGLETRANSLATE('대전도시공사_청년임대주택 현황_20240630'!C160,""ko"",""en"")"),"1")</f>
        <v>1</v>
      </c>
      <c r="D160" s="1" t="str">
        <f ca="1">IFERROR(__xludf.DUMMYFUNCTION("GOOGLETRANSLATE('대전도시공사_청년임대주택 현황_20240630'!D160,""ko"",""en"")"),"303")</f>
        <v>303</v>
      </c>
      <c r="E160" s="1" t="str">
        <f ca="1">IFERROR(__xludf.DUMMYFUNCTION("GOOGLETRANSLATE('대전도시공사_청년임대주택 현황_20240630'!E160,""ko"",""en"")"),"24.934")</f>
        <v>24.934</v>
      </c>
      <c r="F160" s="1" t="str">
        <f ca="1">IFERROR(__xludf.DUMMYFUNCTION("GOOGLETRANSLATE('대전도시공사_청년임대주택 현황_20240630'!F160,""ko"",""en"")"),"20.7")</f>
        <v>20.7</v>
      </c>
      <c r="G160" s="1" t="str">
        <f ca="1">IFERROR(__xludf.DUMMYFUNCTION("GOOGLETRANSLATE('대전도시공사_청년임대주택 현황_20240630'!G160,""ko"",""en"")"),"4.234")</f>
        <v>4.234</v>
      </c>
      <c r="H160" s="1" t="str">
        <f ca="1">IFERROR(__xludf.DUMMYFUNCTION("GOOGLETRANSLATE('대전도시공사_청년임대주택 현황_20240630'!H160,""ko"",""en"")"),"Youth Rental 2nd Place")</f>
        <v>Youth Rental 2nd Place</v>
      </c>
      <c r="I160" s="1" t="str">
        <f ca="1">IFERROR(__xludf.DUMMYFUNCTION("GOOGLETRANSLATE('대전도시공사_청년임대주택 현황_20240630'!I160,""ko"",""en"")"),"2000000")</f>
        <v>2000000</v>
      </c>
      <c r="J160" s="1" t="str">
        <f ca="1">IFERROR(__xludf.DUMMYFUNCTION("GOOGLETRANSLATE('대전도시공사_청년임대주택 현황_20240630'!J160,""ko"",""en"")"),"175300")</f>
        <v>175300</v>
      </c>
    </row>
    <row r="161" spans="1:10" ht="12.5" x14ac:dyDescent="0.25">
      <c r="A161" s="1" t="str">
        <f ca="1">IFERROR(__xludf.DUMMYFUNCTION("GOOGLETRANSLATE('대전도시공사_청년임대주택 현황_20240630'!A161,""ko"",""en"")"),"Yongmun-dong 280-59 (Happyunville, youth rental)")</f>
        <v>Yongmun-dong 280-59 (Happyunville, youth rental)</v>
      </c>
      <c r="B161" s="1" t="str">
        <f ca="1">IFERROR(__xludf.DUMMYFUNCTION("GOOGLETRANSLATE('대전도시공사_청년임대주택 현황_20240630'!B161,""ko"",""en"")"),"39")</f>
        <v>39</v>
      </c>
      <c r="C161" s="1" t="str">
        <f ca="1">IFERROR(__xludf.DUMMYFUNCTION("GOOGLETRANSLATE('대전도시공사_청년임대주택 현황_20240630'!C161,""ko"",""en"")"),"1")</f>
        <v>1</v>
      </c>
      <c r="D161" s="1" t="str">
        <f ca="1">IFERROR(__xludf.DUMMYFUNCTION("GOOGLETRANSLATE('대전도시공사_청년임대주택 현황_20240630'!D161,""ko"",""en"")"),"303")</f>
        <v>303</v>
      </c>
      <c r="E161" s="1" t="str">
        <f ca="1">IFERROR(__xludf.DUMMYFUNCTION("GOOGLETRANSLATE('대전도시공사_청년임대주택 현황_20240630'!E161,""ko"",""en"")"),"24.934")</f>
        <v>24.934</v>
      </c>
      <c r="F161" s="1" t="str">
        <f ca="1">IFERROR(__xludf.DUMMYFUNCTION("GOOGLETRANSLATE('대전도시공사_청년임대주택 현황_20240630'!F161,""ko"",""en"")"),"20.7")</f>
        <v>20.7</v>
      </c>
      <c r="G161" s="1" t="str">
        <f ca="1">IFERROR(__xludf.DUMMYFUNCTION("GOOGLETRANSLATE('대전도시공사_청년임대주택 현황_20240630'!G161,""ko"",""en"")"),"4.234")</f>
        <v>4.234</v>
      </c>
      <c r="H161" s="1" t="str">
        <f ca="1">IFERROR(__xludf.DUMMYFUNCTION("GOOGLETRANSLATE('대전도시공사_청년임대주택 현황_20240630'!H161,""ko"",""en"")"),"3rd place for youth rental")</f>
        <v>3rd place for youth rental</v>
      </c>
      <c r="I161" s="1" t="str">
        <f ca="1">IFERROR(__xludf.DUMMYFUNCTION("GOOGLETRANSLATE('대전도시공사_청년임대주택 현황_20240630'!I161,""ko"",""en"")"),"2000000")</f>
        <v>2000000</v>
      </c>
      <c r="J161" s="1" t="str">
        <f ca="1">IFERROR(__xludf.DUMMYFUNCTION("GOOGLETRANSLATE('대전도시공사_청년임대주택 현황_20240630'!J161,""ko"",""en"")"),"175300")</f>
        <v>175300</v>
      </c>
    </row>
    <row r="162" spans="1:10" ht="12.5" x14ac:dyDescent="0.25">
      <c r="A162" s="1" t="str">
        <f ca="1">IFERROR(__xludf.DUMMYFUNCTION("GOOGLETRANSLATE('대전도시공사_청년임대주택 현황_20240630'!A162,""ko"",""en"")"),"Yongmun-dong 280-59 (Happyunville, youth rental)")</f>
        <v>Yongmun-dong 280-59 (Happyunville, youth rental)</v>
      </c>
      <c r="B162" s="1" t="str">
        <f ca="1">IFERROR(__xludf.DUMMYFUNCTION("GOOGLETRANSLATE('대전도시공사_청년임대주택 현황_20240630'!B162,""ko"",""en"")"),"40")</f>
        <v>40</v>
      </c>
      <c r="C162" s="1" t="str">
        <f ca="1">IFERROR(__xludf.DUMMYFUNCTION("GOOGLETRANSLATE('대전도시공사_청년임대주택 현황_20240630'!C162,""ko"",""en"")"),"1")</f>
        <v>1</v>
      </c>
      <c r="D162" s="1" t="str">
        <f ca="1">IFERROR(__xludf.DUMMYFUNCTION("GOOGLETRANSLATE('대전도시공사_청년임대주택 현황_20240630'!D162,""ko"",""en"")"),"303")</f>
        <v>303</v>
      </c>
      <c r="E162" s="1" t="str">
        <f ca="1">IFERROR(__xludf.DUMMYFUNCTION("GOOGLETRANSLATE('대전도시공사_청년임대주택 현황_20240630'!E162,""ko"",""en"")"),"24.934")</f>
        <v>24.934</v>
      </c>
      <c r="F162" s="1" t="str">
        <f ca="1">IFERROR(__xludf.DUMMYFUNCTION("GOOGLETRANSLATE('대전도시공사_청년임대주택 현황_20240630'!F162,""ko"",""en"")"),"20.7")</f>
        <v>20.7</v>
      </c>
      <c r="G162" s="1" t="str">
        <f ca="1">IFERROR(__xludf.DUMMYFUNCTION("GOOGLETRANSLATE('대전도시공사_청년임대주택 현황_20240630'!G162,""ko"",""en"")"),"4.234")</f>
        <v>4.234</v>
      </c>
      <c r="H162" s="1" t="str">
        <f ca="1">IFERROR(__xludf.DUMMYFUNCTION("GOOGLETRANSLATE('대전도시공사_청년임대주택 현황_20240630'!H162,""ko"",""en"")"),"4th place for youth rental")</f>
        <v>4th place for youth rental</v>
      </c>
      <c r="I162" s="1" t="str">
        <f ca="1">IFERROR(__xludf.DUMMYFUNCTION("GOOGLETRANSLATE('대전도시공사_청년임대주택 현황_20240630'!I162,""ko"",""en"")"),"2000000")</f>
        <v>2000000</v>
      </c>
      <c r="J162" s="1" t="str">
        <f ca="1">IFERROR(__xludf.DUMMYFUNCTION("GOOGLETRANSLATE('대전도시공사_청년임대주택 현황_20240630'!J162,""ko"",""en"")"),"175300")</f>
        <v>175300</v>
      </c>
    </row>
    <row r="163" spans="1:10" ht="12.5" x14ac:dyDescent="0.25">
      <c r="A163" s="1" t="str">
        <f ca="1">IFERROR(__xludf.DUMMYFUNCTION("GOOGLETRANSLATE('대전도시공사_청년임대주택 현황_20240630'!A163,""ko"",""en"")"),"Yongmun-dong 280-59 (Happyunville, youth rental)")</f>
        <v>Yongmun-dong 280-59 (Happyunville, youth rental)</v>
      </c>
      <c r="B163" s="1" t="str">
        <f ca="1">IFERROR(__xludf.DUMMYFUNCTION("GOOGLETRANSLATE('대전도시공사_청년임대주택 현황_20240630'!B163,""ko"",""en"")"),"41")</f>
        <v>41</v>
      </c>
      <c r="C163" s="1" t="str">
        <f ca="1">IFERROR(__xludf.DUMMYFUNCTION("GOOGLETRANSLATE('대전도시공사_청년임대주택 현황_20240630'!C163,""ko"",""en"")"),"1")</f>
        <v>1</v>
      </c>
      <c r="D163" s="1" t="str">
        <f ca="1">IFERROR(__xludf.DUMMYFUNCTION("GOOGLETRANSLATE('대전도시공사_청년임대주택 현황_20240630'!D163,""ko"",""en"")"),"304")</f>
        <v>304</v>
      </c>
      <c r="E163" s="1" t="str">
        <f ca="1">IFERROR(__xludf.DUMMYFUNCTION("GOOGLETRANSLATE('대전도시공사_청년임대주택 현황_20240630'!E163,""ko"",""en"")"),"16.936")</f>
        <v>16.936</v>
      </c>
      <c r="F163" s="1" t="str">
        <f ca="1">IFERROR(__xludf.DUMMYFUNCTION("GOOGLETRANSLATE('대전도시공사_청년임대주택 현황_20240630'!F163,""ko"",""en"")"),"14.06")</f>
        <v>14.06</v>
      </c>
      <c r="G163" s="1" t="str">
        <f ca="1">IFERROR(__xludf.DUMMYFUNCTION("GOOGLETRANSLATE('대전도시공사_청년임대주택 현황_20240630'!G163,""ko"",""en"")"),"2.876")</f>
        <v>2.876</v>
      </c>
      <c r="H163" s="1" t="str">
        <f ca="1">IFERROR(__xludf.DUMMYFUNCTION("GOOGLETRANSLATE('대전도시공사_청년임대주택 현황_20240630'!H163,""ko"",""en"")"),"Youth Rent 1st Place")</f>
        <v>Youth Rent 1st Place</v>
      </c>
      <c r="I163" s="1" t="str">
        <f ca="1">IFERROR(__xludf.DUMMYFUNCTION("GOOGLETRANSLATE('대전도시공사_청년임대주택 현황_20240630'!I163,""ko"",""en"")"),"1000000")</f>
        <v>1000000</v>
      </c>
      <c r="J163" s="1" t="str">
        <f ca="1">IFERROR(__xludf.DUMMYFUNCTION("GOOGLETRANSLATE('대전도시공사_청년임대주택 현황_20240630'!J163,""ko"",""en"")"),"75600")</f>
        <v>75600</v>
      </c>
    </row>
    <row r="164" spans="1:10" ht="12.5" x14ac:dyDescent="0.25">
      <c r="A164" s="1" t="str">
        <f ca="1">IFERROR(__xludf.DUMMYFUNCTION("GOOGLETRANSLATE('대전도시공사_청년임대주택 현황_20240630'!A164,""ko"",""en"")"),"Yongmun-dong 280-59 (Happyunville, youth rental)")</f>
        <v>Yongmun-dong 280-59 (Happyunville, youth rental)</v>
      </c>
      <c r="B164" s="1" t="str">
        <f ca="1">IFERROR(__xludf.DUMMYFUNCTION("GOOGLETRANSLATE('대전도시공사_청년임대주택 현황_20240630'!B164,""ko"",""en"")"),"42")</f>
        <v>42</v>
      </c>
      <c r="C164" s="1" t="str">
        <f ca="1">IFERROR(__xludf.DUMMYFUNCTION("GOOGLETRANSLATE('대전도시공사_청년임대주택 현황_20240630'!C164,""ko"",""en"")"),"1")</f>
        <v>1</v>
      </c>
      <c r="D164" s="1" t="str">
        <f ca="1">IFERROR(__xludf.DUMMYFUNCTION("GOOGLETRANSLATE('대전도시공사_청년임대주택 현황_20240630'!D164,""ko"",""en"")"),"304")</f>
        <v>304</v>
      </c>
      <c r="E164" s="1" t="str">
        <f ca="1">IFERROR(__xludf.DUMMYFUNCTION("GOOGLETRANSLATE('대전도시공사_청년임대주택 현황_20240630'!E164,""ko"",""en"")"),"16.936")</f>
        <v>16.936</v>
      </c>
      <c r="F164" s="1" t="str">
        <f ca="1">IFERROR(__xludf.DUMMYFUNCTION("GOOGLETRANSLATE('대전도시공사_청년임대주택 현황_20240630'!F164,""ko"",""en"")"),"14.06")</f>
        <v>14.06</v>
      </c>
      <c r="G164" s="1" t="str">
        <f ca="1">IFERROR(__xludf.DUMMYFUNCTION("GOOGLETRANSLATE('대전도시공사_청년임대주택 현황_20240630'!G164,""ko"",""en"")"),"2.876")</f>
        <v>2.876</v>
      </c>
      <c r="H164" s="1" t="str">
        <f ca="1">IFERROR(__xludf.DUMMYFUNCTION("GOOGLETRANSLATE('대전도시공사_청년임대주택 현황_20240630'!H164,""ko"",""en"")"),"Youth Rental 2nd Place")</f>
        <v>Youth Rental 2nd Place</v>
      </c>
      <c r="I164" s="1" t="str">
        <f ca="1">IFERROR(__xludf.DUMMYFUNCTION("GOOGLETRANSLATE('대전도시공사_청년임대주택 현황_20240630'!I164,""ko"",""en"")"),"2000000")</f>
        <v>2000000</v>
      </c>
      <c r="J164" s="1" t="str">
        <f ca="1">IFERROR(__xludf.DUMMYFUNCTION("GOOGLETRANSLATE('대전도시공사_청년임대주택 현황_20240630'!J164,""ko"",""en"")"),"123400")</f>
        <v>123400</v>
      </c>
    </row>
    <row r="165" spans="1:10" ht="12.5" x14ac:dyDescent="0.25">
      <c r="A165" s="1" t="str">
        <f ca="1">IFERROR(__xludf.DUMMYFUNCTION("GOOGLETRANSLATE('대전도시공사_청년임대주택 현황_20240630'!A165,""ko"",""en"")"),"Yongmun-dong 280-59 (Happyunville, youth rental)")</f>
        <v>Yongmun-dong 280-59 (Happyunville, youth rental)</v>
      </c>
      <c r="B165" s="1" t="str">
        <f ca="1">IFERROR(__xludf.DUMMYFUNCTION("GOOGLETRANSLATE('대전도시공사_청년임대주택 현황_20240630'!B165,""ko"",""en"")"),"43")</f>
        <v>43</v>
      </c>
      <c r="C165" s="1" t="str">
        <f ca="1">IFERROR(__xludf.DUMMYFUNCTION("GOOGLETRANSLATE('대전도시공사_청년임대주택 현황_20240630'!C165,""ko"",""en"")"),"1")</f>
        <v>1</v>
      </c>
      <c r="D165" s="1" t="str">
        <f ca="1">IFERROR(__xludf.DUMMYFUNCTION("GOOGLETRANSLATE('대전도시공사_청년임대주택 현황_20240630'!D165,""ko"",""en"")"),"304")</f>
        <v>304</v>
      </c>
      <c r="E165" s="1" t="str">
        <f ca="1">IFERROR(__xludf.DUMMYFUNCTION("GOOGLETRANSLATE('대전도시공사_청년임대주택 현황_20240630'!E165,""ko"",""en"")"),"16.936")</f>
        <v>16.936</v>
      </c>
      <c r="F165" s="1" t="str">
        <f ca="1">IFERROR(__xludf.DUMMYFUNCTION("GOOGLETRANSLATE('대전도시공사_청년임대주택 현황_20240630'!F165,""ko"",""en"")"),"14.06")</f>
        <v>14.06</v>
      </c>
      <c r="G165" s="1" t="str">
        <f ca="1">IFERROR(__xludf.DUMMYFUNCTION("GOOGLETRANSLATE('대전도시공사_청년임대주택 현황_20240630'!G165,""ko"",""en"")"),"2.876")</f>
        <v>2.876</v>
      </c>
      <c r="H165" s="1" t="str">
        <f ca="1">IFERROR(__xludf.DUMMYFUNCTION("GOOGLETRANSLATE('대전도시공사_청년임대주택 현황_20240630'!H165,""ko"",""en"")"),"3rd place for youth rental")</f>
        <v>3rd place for youth rental</v>
      </c>
      <c r="I165" s="1" t="str">
        <f ca="1">IFERROR(__xludf.DUMMYFUNCTION("GOOGLETRANSLATE('대전도시공사_청년임대주택 현황_20240630'!I165,""ko"",""en"")"),"2000000")</f>
        <v>2000000</v>
      </c>
      <c r="J165" s="1" t="str">
        <f ca="1">IFERROR(__xludf.DUMMYFUNCTION("GOOGLETRANSLATE('대전도시공사_청년임대주택 현황_20240630'!J165,""ko"",""en"")"),"123400")</f>
        <v>123400</v>
      </c>
    </row>
    <row r="166" spans="1:10" ht="12.5" x14ac:dyDescent="0.25">
      <c r="A166" s="1" t="str">
        <f ca="1">IFERROR(__xludf.DUMMYFUNCTION("GOOGLETRANSLATE('대전도시공사_청년임대주택 현황_20240630'!A166,""ko"",""en"")"),"Yongmun-dong 280-59 (Happyunville, youth rental)")</f>
        <v>Yongmun-dong 280-59 (Happyunville, youth rental)</v>
      </c>
      <c r="B166" s="1" t="str">
        <f ca="1">IFERROR(__xludf.DUMMYFUNCTION("GOOGLETRANSLATE('대전도시공사_청년임대주택 현황_20240630'!B166,""ko"",""en"")"),"44")</f>
        <v>44</v>
      </c>
      <c r="C166" s="1" t="str">
        <f ca="1">IFERROR(__xludf.DUMMYFUNCTION("GOOGLETRANSLATE('대전도시공사_청년임대주택 현황_20240630'!C166,""ko"",""en"")"),"1")</f>
        <v>1</v>
      </c>
      <c r="D166" s="1" t="str">
        <f ca="1">IFERROR(__xludf.DUMMYFUNCTION("GOOGLETRANSLATE('대전도시공사_청년임대주택 현황_20240630'!D166,""ko"",""en"")"),"304")</f>
        <v>304</v>
      </c>
      <c r="E166" s="1" t="str">
        <f ca="1">IFERROR(__xludf.DUMMYFUNCTION("GOOGLETRANSLATE('대전도시공사_청년임대주택 현황_20240630'!E166,""ko"",""en"")"),"16.936")</f>
        <v>16.936</v>
      </c>
      <c r="F166" s="1" t="str">
        <f ca="1">IFERROR(__xludf.DUMMYFUNCTION("GOOGLETRANSLATE('대전도시공사_청년임대주택 현황_20240630'!F166,""ko"",""en"")"),"14.06")</f>
        <v>14.06</v>
      </c>
      <c r="G166" s="1" t="str">
        <f ca="1">IFERROR(__xludf.DUMMYFUNCTION("GOOGLETRANSLATE('대전도시공사_청년임대주택 현황_20240630'!G166,""ko"",""en"")"),"2.876")</f>
        <v>2.876</v>
      </c>
      <c r="H166" s="1" t="str">
        <f ca="1">IFERROR(__xludf.DUMMYFUNCTION("GOOGLETRANSLATE('대전도시공사_청년임대주택 현황_20240630'!H166,""ko"",""en"")"),"4th place for youth rental")</f>
        <v>4th place for youth rental</v>
      </c>
      <c r="I166" s="1" t="str">
        <f ca="1">IFERROR(__xludf.DUMMYFUNCTION("GOOGLETRANSLATE('대전도시공사_청년임대주택 현황_20240630'!I166,""ko"",""en"")"),"2000000")</f>
        <v>2000000</v>
      </c>
      <c r="J166" s="1" t="str">
        <f ca="1">IFERROR(__xludf.DUMMYFUNCTION("GOOGLETRANSLATE('대전도시공사_청년임대주택 현황_20240630'!J166,""ko"",""en"")"),"123400")</f>
        <v>123400</v>
      </c>
    </row>
    <row r="167" spans="1:10" ht="12.5" x14ac:dyDescent="0.25">
      <c r="A167" s="1" t="str">
        <f ca="1">IFERROR(__xludf.DUMMYFUNCTION("GOOGLETRANSLATE('대전도시공사_청년임대주택 현황_20240630'!A167,""ko"",""en"")"),"Yongmun-dong 280-59 (Happyunville, youth rental)")</f>
        <v>Yongmun-dong 280-59 (Happyunville, youth rental)</v>
      </c>
      <c r="B167" s="1" t="str">
        <f ca="1">IFERROR(__xludf.DUMMYFUNCTION("GOOGLETRANSLATE('대전도시공사_청년임대주택 현황_20240630'!B167,""ko"",""en"")"),"45")</f>
        <v>45</v>
      </c>
      <c r="C167" s="1" t="str">
        <f ca="1">IFERROR(__xludf.DUMMYFUNCTION("GOOGLETRANSLATE('대전도시공사_청년임대주택 현황_20240630'!C167,""ko"",""en"")"),"1")</f>
        <v>1</v>
      </c>
      <c r="D167" s="1" t="str">
        <f ca="1">IFERROR(__xludf.DUMMYFUNCTION("GOOGLETRANSLATE('대전도시공사_청년임대주택 현황_20240630'!D167,""ko"",""en"")"),"305")</f>
        <v>305</v>
      </c>
      <c r="E167" s="1" t="str">
        <f ca="1">IFERROR(__xludf.DUMMYFUNCTION("GOOGLETRANSLATE('대전도시공사_청년임대주택 현황_20240630'!E167,""ko"",""en"")"),"16.49")</f>
        <v>16.49</v>
      </c>
      <c r="F167" s="1" t="str">
        <f ca="1">IFERROR(__xludf.DUMMYFUNCTION("GOOGLETRANSLATE('대전도시공사_청년임대주택 현황_20240630'!F167,""ko"",""en"")"),"13.69")</f>
        <v>13.69</v>
      </c>
      <c r="G167" s="1" t="str">
        <f ca="1">IFERROR(__xludf.DUMMYFUNCTION("GOOGLETRANSLATE('대전도시공사_청년임대주택 현황_20240630'!G167,""ko"",""en"")"),"2.8")</f>
        <v>2.8</v>
      </c>
      <c r="H167" s="1" t="str">
        <f ca="1">IFERROR(__xludf.DUMMYFUNCTION("GOOGLETRANSLATE('대전도시공사_청년임대주택 현황_20240630'!H167,""ko"",""en"")"),"Youth Rent 1st Place")</f>
        <v>Youth Rent 1st Place</v>
      </c>
      <c r="I167" s="1" t="str">
        <f ca="1">IFERROR(__xludf.DUMMYFUNCTION("GOOGLETRANSLATE('대전도시공사_청년임대주택 현황_20240630'!I167,""ko"",""en"")"),"1000000")</f>
        <v>1000000</v>
      </c>
      <c r="J167" s="1" t="str">
        <f ca="1">IFERROR(__xludf.DUMMYFUNCTION("GOOGLETRANSLATE('대전도시공사_청년임대주택 현황_20240630'!J167,""ko"",""en"")"),"73400")</f>
        <v>73400</v>
      </c>
    </row>
    <row r="168" spans="1:10" ht="12.5" x14ac:dyDescent="0.25">
      <c r="A168" s="1" t="str">
        <f ca="1">IFERROR(__xludf.DUMMYFUNCTION("GOOGLETRANSLATE('대전도시공사_청년임대주택 현황_20240630'!A168,""ko"",""en"")"),"Yongmun-dong 280-59 (Happyunville, youth rental)")</f>
        <v>Yongmun-dong 280-59 (Happyunville, youth rental)</v>
      </c>
      <c r="B168" s="1" t="str">
        <f ca="1">IFERROR(__xludf.DUMMYFUNCTION("GOOGLETRANSLATE('대전도시공사_청년임대주택 현황_20240630'!B168,""ko"",""en"")"),"46")</f>
        <v>46</v>
      </c>
      <c r="C168" s="1" t="str">
        <f ca="1">IFERROR(__xludf.DUMMYFUNCTION("GOOGLETRANSLATE('대전도시공사_청년임대주택 현황_20240630'!C168,""ko"",""en"")"),"1")</f>
        <v>1</v>
      </c>
      <c r="D168" s="1" t="str">
        <f ca="1">IFERROR(__xludf.DUMMYFUNCTION("GOOGLETRANSLATE('대전도시공사_청년임대주택 현황_20240630'!D168,""ko"",""en"")"),"305")</f>
        <v>305</v>
      </c>
      <c r="E168" s="1" t="str">
        <f ca="1">IFERROR(__xludf.DUMMYFUNCTION("GOOGLETRANSLATE('대전도시공사_청년임대주택 현황_20240630'!E168,""ko"",""en"")"),"16.49")</f>
        <v>16.49</v>
      </c>
      <c r="F168" s="1" t="str">
        <f ca="1">IFERROR(__xludf.DUMMYFUNCTION("GOOGLETRANSLATE('대전도시공사_청년임대주택 현황_20240630'!F168,""ko"",""en"")"),"13.69")</f>
        <v>13.69</v>
      </c>
      <c r="G168" s="1" t="str">
        <f ca="1">IFERROR(__xludf.DUMMYFUNCTION("GOOGLETRANSLATE('대전도시공사_청년임대주택 현황_20240630'!G168,""ko"",""en"")"),"2.8")</f>
        <v>2.8</v>
      </c>
      <c r="H168" s="1" t="str">
        <f ca="1">IFERROR(__xludf.DUMMYFUNCTION("GOOGLETRANSLATE('대전도시공사_청년임대주택 현황_20240630'!H168,""ko"",""en"")"),"Youth Rental 2nd Place")</f>
        <v>Youth Rental 2nd Place</v>
      </c>
      <c r="I168" s="1" t="str">
        <f ca="1">IFERROR(__xludf.DUMMYFUNCTION("GOOGLETRANSLATE('대전도시공사_청년임대주택 현황_20240630'!I168,""ko"",""en"")"),"2000000")</f>
        <v>2000000</v>
      </c>
      <c r="J168" s="1" t="str">
        <f ca="1">IFERROR(__xludf.DUMMYFUNCTION("GOOGLETRANSLATE('대전도시공사_청년임대주택 현황_20240630'!J168,""ko"",""en"")"),"119800")</f>
        <v>119800</v>
      </c>
    </row>
    <row r="169" spans="1:10" ht="12.5" x14ac:dyDescent="0.25">
      <c r="A169" s="1" t="str">
        <f ca="1">IFERROR(__xludf.DUMMYFUNCTION("GOOGLETRANSLATE('대전도시공사_청년임대주택 현황_20240630'!A169,""ko"",""en"")"),"Yongmun-dong 280-59 (Happyunville, youth rental)")</f>
        <v>Yongmun-dong 280-59 (Happyunville, youth rental)</v>
      </c>
      <c r="B169" s="1" t="str">
        <f ca="1">IFERROR(__xludf.DUMMYFUNCTION("GOOGLETRANSLATE('대전도시공사_청년임대주택 현황_20240630'!B169,""ko"",""en"")"),"47")</f>
        <v>47</v>
      </c>
      <c r="C169" s="1" t="str">
        <f ca="1">IFERROR(__xludf.DUMMYFUNCTION("GOOGLETRANSLATE('대전도시공사_청년임대주택 현황_20240630'!C169,""ko"",""en"")"),"1")</f>
        <v>1</v>
      </c>
      <c r="D169" s="1" t="str">
        <f ca="1">IFERROR(__xludf.DUMMYFUNCTION("GOOGLETRANSLATE('대전도시공사_청년임대주택 현황_20240630'!D169,""ko"",""en"")"),"305")</f>
        <v>305</v>
      </c>
      <c r="E169" s="1" t="str">
        <f ca="1">IFERROR(__xludf.DUMMYFUNCTION("GOOGLETRANSLATE('대전도시공사_청년임대주택 현황_20240630'!E169,""ko"",""en"")"),"16.49")</f>
        <v>16.49</v>
      </c>
      <c r="F169" s="1" t="str">
        <f ca="1">IFERROR(__xludf.DUMMYFUNCTION("GOOGLETRANSLATE('대전도시공사_청년임대주택 현황_20240630'!F169,""ko"",""en"")"),"13.69")</f>
        <v>13.69</v>
      </c>
      <c r="G169" s="1" t="str">
        <f ca="1">IFERROR(__xludf.DUMMYFUNCTION("GOOGLETRANSLATE('대전도시공사_청년임대주택 현황_20240630'!G169,""ko"",""en"")"),"2.8")</f>
        <v>2.8</v>
      </c>
      <c r="H169" s="1" t="str">
        <f ca="1">IFERROR(__xludf.DUMMYFUNCTION("GOOGLETRANSLATE('대전도시공사_청년임대주택 현황_20240630'!H169,""ko"",""en"")"),"3rd place for youth rental")</f>
        <v>3rd place for youth rental</v>
      </c>
      <c r="I169" s="1" t="str">
        <f ca="1">IFERROR(__xludf.DUMMYFUNCTION("GOOGLETRANSLATE('대전도시공사_청년임대주택 현황_20240630'!I169,""ko"",""en"")"),"2000000")</f>
        <v>2000000</v>
      </c>
      <c r="J169" s="1" t="str">
        <f ca="1">IFERROR(__xludf.DUMMYFUNCTION("GOOGLETRANSLATE('대전도시공사_청년임대주택 현황_20240630'!J169,""ko"",""en"")"),"119800")</f>
        <v>119800</v>
      </c>
    </row>
    <row r="170" spans="1:10" ht="12.5" x14ac:dyDescent="0.25">
      <c r="A170" s="1" t="str">
        <f ca="1">IFERROR(__xludf.DUMMYFUNCTION("GOOGLETRANSLATE('대전도시공사_청년임대주택 현황_20240630'!A170,""ko"",""en"")"),"Yongmun-dong 280-59 (Happyunville, youth rental)")</f>
        <v>Yongmun-dong 280-59 (Happyunville, youth rental)</v>
      </c>
      <c r="B170" s="1" t="str">
        <f ca="1">IFERROR(__xludf.DUMMYFUNCTION("GOOGLETRANSLATE('대전도시공사_청년임대주택 현황_20240630'!B170,""ko"",""en"")"),"48")</f>
        <v>48</v>
      </c>
      <c r="C170" s="1" t="str">
        <f ca="1">IFERROR(__xludf.DUMMYFUNCTION("GOOGLETRANSLATE('대전도시공사_청년임대주택 현황_20240630'!C170,""ko"",""en"")"),"1")</f>
        <v>1</v>
      </c>
      <c r="D170" s="1" t="str">
        <f ca="1">IFERROR(__xludf.DUMMYFUNCTION("GOOGLETRANSLATE('대전도시공사_청년임대주택 현황_20240630'!D170,""ko"",""en"")"),"305")</f>
        <v>305</v>
      </c>
      <c r="E170" s="1" t="str">
        <f ca="1">IFERROR(__xludf.DUMMYFUNCTION("GOOGLETRANSLATE('대전도시공사_청년임대주택 현황_20240630'!E170,""ko"",""en"")"),"16.49")</f>
        <v>16.49</v>
      </c>
      <c r="F170" s="1" t="str">
        <f ca="1">IFERROR(__xludf.DUMMYFUNCTION("GOOGLETRANSLATE('대전도시공사_청년임대주택 현황_20240630'!F170,""ko"",""en"")"),"13.69")</f>
        <v>13.69</v>
      </c>
      <c r="G170" s="1" t="str">
        <f ca="1">IFERROR(__xludf.DUMMYFUNCTION("GOOGLETRANSLATE('대전도시공사_청년임대주택 현황_20240630'!G170,""ko"",""en"")"),"2.8")</f>
        <v>2.8</v>
      </c>
      <c r="H170" s="1" t="str">
        <f ca="1">IFERROR(__xludf.DUMMYFUNCTION("GOOGLETRANSLATE('대전도시공사_청년임대주택 현황_20240630'!H170,""ko"",""en"")"),"4th place for youth rental")</f>
        <v>4th place for youth rental</v>
      </c>
      <c r="I170" s="1" t="str">
        <f ca="1">IFERROR(__xludf.DUMMYFUNCTION("GOOGLETRANSLATE('대전도시공사_청년임대주택 현황_20240630'!I170,""ko"",""en"")"),"2000000")</f>
        <v>2000000</v>
      </c>
      <c r="J170" s="1" t="str">
        <f ca="1">IFERROR(__xludf.DUMMYFUNCTION("GOOGLETRANSLATE('대전도시공사_청년임대주택 현황_20240630'!J170,""ko"",""en"")"),"119800")</f>
        <v>119800</v>
      </c>
    </row>
    <row r="171" spans="1:10" ht="12.5" x14ac:dyDescent="0.25">
      <c r="A171" s="1" t="str">
        <f ca="1">IFERROR(__xludf.DUMMYFUNCTION("GOOGLETRANSLATE('대전도시공사_청년임대주택 현황_20240630'!A171,""ko"",""en"")"),"Yongmun-dong 280-59 (Happyunville, youth rental)")</f>
        <v>Yongmun-dong 280-59 (Happyunville, youth rental)</v>
      </c>
      <c r="B171" s="1" t="str">
        <f ca="1">IFERROR(__xludf.DUMMYFUNCTION("GOOGLETRANSLATE('대전도시공사_청년임대주택 현황_20240630'!B171,""ko"",""en"")"),"49")</f>
        <v>49</v>
      </c>
      <c r="C171" s="1" t="str">
        <f ca="1">IFERROR(__xludf.DUMMYFUNCTION("GOOGLETRANSLATE('대전도시공사_청년임대주택 현황_20240630'!C171,""ko"",""en"")"),"1")</f>
        <v>1</v>
      </c>
      <c r="D171" s="1" t="str">
        <f ca="1">IFERROR(__xludf.DUMMYFUNCTION("GOOGLETRANSLATE('대전도시공사_청년임대주택 현황_20240630'!D171,""ko"",""en"")"),"306")</f>
        <v>306</v>
      </c>
      <c r="E171" s="1" t="str">
        <f ca="1">IFERROR(__xludf.DUMMYFUNCTION("GOOGLETRANSLATE('대전도시공사_청년임대주택 현황_20240630'!E171,""ko"",""en"")"),"43.857")</f>
        <v>43.857</v>
      </c>
      <c r="F171" s="1" t="str">
        <f ca="1">IFERROR(__xludf.DUMMYFUNCTION("GOOGLETRANSLATE('대전도시공사_청년임대주택 현황_20240630'!F171,""ko"",""en"")"),"36.41")</f>
        <v>36.41</v>
      </c>
      <c r="G171" s="1" t="str">
        <f ca="1">IFERROR(__xludf.DUMMYFUNCTION("GOOGLETRANSLATE('대전도시공사_청년임대주택 현황_20240630'!G171,""ko"",""en"")"),"7.447")</f>
        <v>7.447</v>
      </c>
      <c r="H171" s="1" t="str">
        <f ca="1">IFERROR(__xludf.DUMMYFUNCTION("GOOGLETRANSLATE('대전도시공사_청년임대주택 현황_20240630'!H171,""ko"",""en"")"),"Newlyweds 1 (30% of the total price)")</f>
        <v>Newlyweds 1 (30% of the total price)</v>
      </c>
      <c r="I171" s="1" t="str">
        <f ca="1">IFERROR(__xludf.DUMMYFUNCTION("GOOGLETRANSLATE('대전도시공사_청년임대주택 현황_20240630'!I171,""ko"",""en"")"),"6129000")</f>
        <v>6129000</v>
      </c>
      <c r="J171" s="1" t="str">
        <f ca="1">IFERROR(__xludf.DUMMYFUNCTION("GOOGLETRANSLATE('대전도시공사_청년임대주택 현황_20240630'!J171,""ko"",""en"")"),"160300")</f>
        <v>160300</v>
      </c>
    </row>
    <row r="172" spans="1:10" ht="12.5" x14ac:dyDescent="0.25">
      <c r="A172" s="1" t="str">
        <f ca="1">IFERROR(__xludf.DUMMYFUNCTION("GOOGLETRANSLATE('대전도시공사_청년임대주택 현황_20240630'!A172,""ko"",""en"")"),"Yongmun-dong 280-59 (Happyunville, youth rental)")</f>
        <v>Yongmun-dong 280-59 (Happyunville, youth rental)</v>
      </c>
      <c r="B172" s="1" t="str">
        <f ca="1">IFERROR(__xludf.DUMMYFUNCTION("GOOGLETRANSLATE('대전도시공사_청년임대주택 현황_20240630'!B172,""ko"",""en"")"),"50")</f>
        <v>50</v>
      </c>
      <c r="C172" s="1" t="str">
        <f ca="1">IFERROR(__xludf.DUMMYFUNCTION("GOOGLETRANSLATE('대전도시공사_청년임대주택 현황_20240630'!C172,""ko"",""en"")"),"1")</f>
        <v>1</v>
      </c>
      <c r="D172" s="1" t="str">
        <f ca="1">IFERROR(__xludf.DUMMYFUNCTION("GOOGLETRANSLATE('대전도시공사_청년임대주택 현황_20240630'!D172,""ko"",""en"")"),"306")</f>
        <v>306</v>
      </c>
      <c r="E172" s="1" t="str">
        <f ca="1">IFERROR(__xludf.DUMMYFUNCTION("GOOGLETRANSLATE('대전도시공사_청년임대주택 현황_20240630'!E172,""ko"",""en"")"),"43.857")</f>
        <v>43.857</v>
      </c>
      <c r="F172" s="1" t="str">
        <f ca="1">IFERROR(__xludf.DUMMYFUNCTION("GOOGLETRANSLATE('대전도시공사_청년임대주택 현황_20240630'!F172,""ko"",""en"")"),"36.41")</f>
        <v>36.41</v>
      </c>
      <c r="G172" s="1" t="str">
        <f ca="1">IFERROR(__xludf.DUMMYFUNCTION("GOOGLETRANSLATE('대전도시공사_청년임대주택 현황_20240630'!G172,""ko"",""en"")"),"7.447")</f>
        <v>7.447</v>
      </c>
      <c r="H172" s="1" t="str">
        <f ca="1">IFERROR(__xludf.DUMMYFUNCTION("GOOGLETRANSLATE('대전도시공사_청년임대주택 현황_20240630'!H172,""ko"",""en"")"),"Newlyweds 1 (40% of the total price)")</f>
        <v>Newlyweds 1 (40% of the total price)</v>
      </c>
      <c r="I172" s="1" t="str">
        <f ca="1">IFERROR(__xludf.DUMMYFUNCTION("GOOGLETRANSLATE('대전도시공사_청년임대주택 현황_20240630'!I172,""ko"",""en"")"),"6129000")</f>
        <v>6129000</v>
      </c>
      <c r="J172" s="1" t="str">
        <f ca="1">IFERROR(__xludf.DUMMYFUNCTION("GOOGLETRANSLATE('대전도시공사_청년임대주택 현황_20240630'!J172,""ko"",""en"")"),"226000")</f>
        <v>226000</v>
      </c>
    </row>
    <row r="173" spans="1:10" ht="12.5" x14ac:dyDescent="0.25">
      <c r="A173" s="1" t="str">
        <f ca="1">IFERROR(__xludf.DUMMYFUNCTION("GOOGLETRANSLATE('대전도시공사_청년임대주택 현황_20240630'!A173,""ko"",""en"")"),"Yongmun-dong 280-59 (Happyunville, youth rental)")</f>
        <v>Yongmun-dong 280-59 (Happyunville, youth rental)</v>
      </c>
      <c r="B173" s="1" t="str">
        <f ca="1">IFERROR(__xludf.DUMMYFUNCTION("GOOGLETRANSLATE('대전도시공사_청년임대주택 현황_20240630'!B173,""ko"",""en"")"),"51")</f>
        <v>51</v>
      </c>
      <c r="C173" s="1" t="str">
        <f ca="1">IFERROR(__xludf.DUMMYFUNCTION("GOOGLETRANSLATE('대전도시공사_청년임대주택 현황_20240630'!C173,""ko"",""en"")"),"1")</f>
        <v>1</v>
      </c>
      <c r="D173" s="1" t="str">
        <f ca="1">IFERROR(__xludf.DUMMYFUNCTION("GOOGLETRANSLATE('대전도시공사_청년임대주택 현황_20240630'!D173,""ko"",""en"")"),"306")</f>
        <v>306</v>
      </c>
      <c r="E173" s="1" t="str">
        <f ca="1">IFERROR(__xludf.DUMMYFUNCTION("GOOGLETRANSLATE('대전도시공사_청년임대주택 현황_20240630'!E173,""ko"",""en"")"),"43.857")</f>
        <v>43.857</v>
      </c>
      <c r="F173" s="1" t="str">
        <f ca="1">IFERROR(__xludf.DUMMYFUNCTION("GOOGLETRANSLATE('대전도시공사_청년임대주택 현황_20240630'!F173,""ko"",""en"")"),"36.41")</f>
        <v>36.41</v>
      </c>
      <c r="G173" s="1" t="str">
        <f ca="1">IFERROR(__xludf.DUMMYFUNCTION("GOOGLETRANSLATE('대전도시공사_청년임대주택 현황_20240630'!G173,""ko"",""en"")"),"7.447")</f>
        <v>7.447</v>
      </c>
      <c r="H173" s="1" t="str">
        <f ca="1">IFERROR(__xludf.DUMMYFUNCTION("GOOGLETRANSLATE('대전도시공사_청년임대주택 현황_20240630'!H173,""ko"",""en"")"),"Newlyweds 2 (70% of the total price)")</f>
        <v>Newlyweds 2 (70% of the total price)</v>
      </c>
      <c r="I173" s="1" t="str">
        <f ca="1">IFERROR(__xludf.DUMMYFUNCTION("GOOGLETRANSLATE('대전도시공사_청년임대주택 현황_20240630'!I173,""ko"",""en"")"),"6129000")</f>
        <v>6129000</v>
      </c>
      <c r="J173" s="1" t="str">
        <f ca="1">IFERROR(__xludf.DUMMYFUNCTION("GOOGLETRANSLATE('대전도시공사_청년임대주택 현황_20240630'!J173,""ko"",""en"")"),"423300")</f>
        <v>423300</v>
      </c>
    </row>
    <row r="174" spans="1:10" ht="12.5" x14ac:dyDescent="0.25">
      <c r="A174" s="1" t="str">
        <f ca="1">IFERROR(__xludf.DUMMYFUNCTION("GOOGLETRANSLATE('대전도시공사_청년임대주택 현황_20240630'!A174,""ko"",""en"")"),"Yongmun-dong 280-59 (Happyunville, youth rental)")</f>
        <v>Yongmun-dong 280-59 (Happyunville, youth rental)</v>
      </c>
      <c r="B174" s="1" t="str">
        <f ca="1">IFERROR(__xludf.DUMMYFUNCTION("GOOGLETRANSLATE('대전도시공사_청년임대주택 현황_20240630'!B174,""ko"",""en"")"),"52")</f>
        <v>52</v>
      </c>
      <c r="C174" s="1" t="str">
        <f ca="1">IFERROR(__xludf.DUMMYFUNCTION("GOOGLETRANSLATE('대전도시공사_청년임대주택 현황_20240630'!C174,""ko"",""en"")"),"1")</f>
        <v>1</v>
      </c>
      <c r="D174" s="1" t="str">
        <f ca="1">IFERROR(__xludf.DUMMYFUNCTION("GOOGLETRANSLATE('대전도시공사_청년임대주택 현황_20240630'!D174,""ko"",""en"")"),"306")</f>
        <v>306</v>
      </c>
      <c r="E174" s="1" t="str">
        <f ca="1">IFERROR(__xludf.DUMMYFUNCTION("GOOGLETRANSLATE('대전도시공사_청년임대주택 현황_20240630'!E174,""ko"",""en"")"),"43.857")</f>
        <v>43.857</v>
      </c>
      <c r="F174" s="1" t="str">
        <f ca="1">IFERROR(__xludf.DUMMYFUNCTION("GOOGLETRANSLATE('대전도시공사_청년임대주택 현황_20240630'!F174,""ko"",""en"")"),"36.41")</f>
        <v>36.41</v>
      </c>
      <c r="G174" s="1" t="str">
        <f ca="1">IFERROR(__xludf.DUMMYFUNCTION("GOOGLETRANSLATE('대전도시공사_청년임대주택 현황_20240630'!G174,""ko"",""en"")"),"7.447")</f>
        <v>7.447</v>
      </c>
      <c r="H174" s="1" t="str">
        <f ca="1">IFERROR(__xludf.DUMMYFUNCTION("GOOGLETRANSLATE('대전도시공사_청년임대주택 현황_20240630'!H174,""ko"",""en"")"),"Newlyweds 2 (80% of the total price)")</f>
        <v>Newlyweds 2 (80% of the total price)</v>
      </c>
      <c r="I174" s="1" t="str">
        <f ca="1">IFERROR(__xludf.DUMMYFUNCTION("GOOGLETRANSLATE('대전도시공사_청년임대주택 현황_20240630'!I174,""ko"",""en"")"),"6129000")</f>
        <v>6129000</v>
      </c>
      <c r="J174" s="1" t="str">
        <f ca="1">IFERROR(__xludf.DUMMYFUNCTION("GOOGLETRANSLATE('대전도시공사_청년임대주택 현황_20240630'!J174,""ko"",""en"")"),"489100")</f>
        <v>489100</v>
      </c>
    </row>
    <row r="175" spans="1:10" ht="12.5" x14ac:dyDescent="0.25">
      <c r="A175" s="1" t="str">
        <f ca="1">IFERROR(__xludf.DUMMYFUNCTION("GOOGLETRANSLATE('대전도시공사_청년임대주택 현황_20240630'!A175,""ko"",""en"")"),"Yongmun-dong 280-59 (Happyunville, youth rental)")</f>
        <v>Yongmun-dong 280-59 (Happyunville, youth rental)</v>
      </c>
      <c r="B175" s="1" t="str">
        <f ca="1">IFERROR(__xludf.DUMMYFUNCTION("GOOGLETRANSLATE('대전도시공사_청년임대주택 현황_20240630'!B175,""ko"",""en"")"),"53")</f>
        <v>53</v>
      </c>
      <c r="C175" s="1" t="str">
        <f ca="1">IFERROR(__xludf.DUMMYFUNCTION("GOOGLETRANSLATE('대전도시공사_청년임대주택 현황_20240630'!C175,""ko"",""en"")"),"1")</f>
        <v>1</v>
      </c>
      <c r="D175" s="1" t="str">
        <f ca="1">IFERROR(__xludf.DUMMYFUNCTION("GOOGLETRANSLATE('대전도시공사_청년임대주택 현황_20240630'!D175,""ko"",""en"")"),"307")</f>
        <v>307</v>
      </c>
      <c r="E175" s="1" t="str">
        <f ca="1">IFERROR(__xludf.DUMMYFUNCTION("GOOGLETRANSLATE('대전도시공사_청년임대주택 현황_20240630'!E175,""ko"",""en"")"),"29.305")</f>
        <v>29.305</v>
      </c>
      <c r="F175" s="1" t="str">
        <f ca="1">IFERROR(__xludf.DUMMYFUNCTION("GOOGLETRANSLATE('대전도시공사_청년임대주택 현황_20240630'!F175,""ko"",""en"")"),"24.33")</f>
        <v>24.33</v>
      </c>
      <c r="G175" s="1" t="str">
        <f ca="1">IFERROR(__xludf.DUMMYFUNCTION("GOOGLETRANSLATE('대전도시공사_청년임대주택 현황_20240630'!G175,""ko"",""en"")"),"4.975")</f>
        <v>4.975</v>
      </c>
      <c r="H175" s="1" t="str">
        <f ca="1">IFERROR(__xludf.DUMMYFUNCTION("GOOGLETRANSLATE('대전도시공사_청년임대주택 현황_20240630'!H175,""ko"",""en"")"),"Beneficiary")</f>
        <v>Beneficiary</v>
      </c>
      <c r="I175" s="1" t="str">
        <f ca="1">IFERROR(__xludf.DUMMYFUNCTION("GOOGLETRANSLATE('대전도시공사_청년임대주택 현황_20240630'!I175,""ko"",""en"")"),"1000000")</f>
        <v>1000000</v>
      </c>
      <c r="J175" s="1" t="str">
        <f ca="1">IFERROR(__xludf.DUMMYFUNCTION("GOOGLETRANSLATE('대전도시공사_청년임대주택 현황_20240630'!J175,""ko"",""en"")"),"124000")</f>
        <v>124000</v>
      </c>
    </row>
    <row r="176" spans="1:10" ht="12.5" x14ac:dyDescent="0.25">
      <c r="A176" s="1" t="str">
        <f ca="1">IFERROR(__xludf.DUMMYFUNCTION("GOOGLETRANSLATE('대전도시공사_청년임대주택 현황_20240630'!A176,""ko"",""en"")"),"Yongmun-dong 280-59 (Happyunville, youth rental)")</f>
        <v>Yongmun-dong 280-59 (Happyunville, youth rental)</v>
      </c>
      <c r="B176" s="1" t="str">
        <f ca="1">IFERROR(__xludf.DUMMYFUNCTION("GOOGLETRANSLATE('대전도시공사_청년임대주택 현황_20240630'!B176,""ko"",""en"")"),"54")</f>
        <v>54</v>
      </c>
      <c r="C176" s="1" t="str">
        <f ca="1">IFERROR(__xludf.DUMMYFUNCTION("GOOGLETRANSLATE('대전도시공사_청년임대주택 현황_20240630'!C176,""ko"",""en"")"),"1")</f>
        <v>1</v>
      </c>
      <c r="D176" s="1" t="str">
        <f ca="1">IFERROR(__xludf.DUMMYFUNCTION("GOOGLETRANSLATE('대전도시공사_청년임대주택 현황_20240630'!D176,""ko"",""en"")"),"307")</f>
        <v>307</v>
      </c>
      <c r="E176" s="1" t="str">
        <f ca="1">IFERROR(__xludf.DUMMYFUNCTION("GOOGLETRANSLATE('대전도시공사_청년임대주택 현황_20240630'!E176,""ko"",""en"")"),"29.305")</f>
        <v>29.305</v>
      </c>
      <c r="F176" s="1" t="str">
        <f ca="1">IFERROR(__xludf.DUMMYFUNCTION("GOOGLETRANSLATE('대전도시공사_청년임대주택 현황_20240630'!F176,""ko"",""en"")"),"24.33")</f>
        <v>24.33</v>
      </c>
      <c r="G176" s="1" t="str">
        <f ca="1">IFERROR(__xludf.DUMMYFUNCTION("GOOGLETRANSLATE('대전도시공사_청년임대주택 현황_20240630'!G176,""ko"",""en"")"),"4.975")</f>
        <v>4.975</v>
      </c>
      <c r="H176" s="1" t="str">
        <f ca="1">IFERROR(__xludf.DUMMYFUNCTION("GOOGLETRANSLATE('대전도시공사_청년임대주택 현황_20240630'!H176,""ko"",""en"")"),"Youth Rent 1st Place")</f>
        <v>Youth Rent 1st Place</v>
      </c>
      <c r="I176" s="1" t="str">
        <f ca="1">IFERROR(__xludf.DUMMYFUNCTION("GOOGLETRANSLATE('대전도시공사_청년임대주택 현황_20240630'!I176,""ko"",""en"")"),"1000000")</f>
        <v>1000000</v>
      </c>
      <c r="J176" s="1" t="str">
        <f ca="1">IFERROR(__xludf.DUMMYFUNCTION("GOOGLETRANSLATE('대전도시공사_청년임대주택 현황_20240630'!J176,""ko"",""en"")"),"124000")</f>
        <v>124000</v>
      </c>
    </row>
    <row r="177" spans="1:10" ht="12.5" x14ac:dyDescent="0.25">
      <c r="A177" s="1" t="str">
        <f ca="1">IFERROR(__xludf.DUMMYFUNCTION("GOOGLETRANSLATE('대전도시공사_청년임대주택 현황_20240630'!A177,""ko"",""en"")"),"Yongmun-dong 280-59 (Happyunville, youth rental)")</f>
        <v>Yongmun-dong 280-59 (Happyunville, youth rental)</v>
      </c>
      <c r="B177" s="1" t="str">
        <f ca="1">IFERROR(__xludf.DUMMYFUNCTION("GOOGLETRANSLATE('대전도시공사_청년임대주택 현황_20240630'!B177,""ko"",""en"")"),"55")</f>
        <v>55</v>
      </c>
      <c r="C177" s="1" t="str">
        <f ca="1">IFERROR(__xludf.DUMMYFUNCTION("GOOGLETRANSLATE('대전도시공사_청년임대주택 현황_20240630'!C177,""ko"",""en"")"),"1")</f>
        <v>1</v>
      </c>
      <c r="D177" s="1" t="str">
        <f ca="1">IFERROR(__xludf.DUMMYFUNCTION("GOOGLETRANSLATE('대전도시공사_청년임대주택 현황_20240630'!D177,""ko"",""en"")"),"307")</f>
        <v>307</v>
      </c>
      <c r="E177" s="1" t="str">
        <f ca="1">IFERROR(__xludf.DUMMYFUNCTION("GOOGLETRANSLATE('대전도시공사_청년임대주택 현황_20240630'!E177,""ko"",""en"")"),"29.305")</f>
        <v>29.305</v>
      </c>
      <c r="F177" s="1" t="str">
        <f ca="1">IFERROR(__xludf.DUMMYFUNCTION("GOOGLETRANSLATE('대전도시공사_청년임대주택 현황_20240630'!F177,""ko"",""en"")"),"24.33")</f>
        <v>24.33</v>
      </c>
      <c r="G177" s="1" t="str">
        <f ca="1">IFERROR(__xludf.DUMMYFUNCTION("GOOGLETRANSLATE('대전도시공사_청년임대주택 현황_20240630'!G177,""ko"",""en"")"),"4.975")</f>
        <v>4.975</v>
      </c>
      <c r="H177" s="1" t="str">
        <f ca="1">IFERROR(__xludf.DUMMYFUNCTION("GOOGLETRANSLATE('대전도시공사_청년임대주택 현황_20240630'!H177,""ko"",""en"")"),"Youth Rental 2nd Place")</f>
        <v>Youth Rental 2nd Place</v>
      </c>
      <c r="I177" s="1" t="str">
        <f ca="1">IFERROR(__xludf.DUMMYFUNCTION("GOOGLETRANSLATE('대전도시공사_청년임대주택 현황_20240630'!I177,""ko"",""en"")"),"2000000")</f>
        <v>2000000</v>
      </c>
      <c r="J177" s="1" t="str">
        <f ca="1">IFERROR(__xludf.DUMMYFUNCTION("GOOGLETRANSLATE('대전도시공사_청년임대주택 현황_20240630'!J177,""ko"",""en"")"),"204000")</f>
        <v>204000</v>
      </c>
    </row>
    <row r="178" spans="1:10" ht="12.5" x14ac:dyDescent="0.25">
      <c r="A178" s="1" t="str">
        <f ca="1">IFERROR(__xludf.DUMMYFUNCTION("GOOGLETRANSLATE('대전도시공사_청년임대주택 현황_20240630'!A178,""ko"",""en"")"),"Yongmun-dong 280-59 (Happyunville, youth rental)")</f>
        <v>Yongmun-dong 280-59 (Happyunville, youth rental)</v>
      </c>
      <c r="B178" s="1" t="str">
        <f ca="1">IFERROR(__xludf.DUMMYFUNCTION("GOOGLETRANSLATE('대전도시공사_청년임대주택 현황_20240630'!B178,""ko"",""en"")"),"56")</f>
        <v>56</v>
      </c>
      <c r="C178" s="1" t="str">
        <f ca="1">IFERROR(__xludf.DUMMYFUNCTION("GOOGLETRANSLATE('대전도시공사_청년임대주택 현황_20240630'!C178,""ko"",""en"")"),"1")</f>
        <v>1</v>
      </c>
      <c r="D178" s="1" t="str">
        <f ca="1">IFERROR(__xludf.DUMMYFUNCTION("GOOGLETRANSLATE('대전도시공사_청년임대주택 현황_20240630'!D178,""ko"",""en"")"),"307")</f>
        <v>307</v>
      </c>
      <c r="E178" s="1" t="str">
        <f ca="1">IFERROR(__xludf.DUMMYFUNCTION("GOOGLETRANSLATE('대전도시공사_청년임대주택 현황_20240630'!E178,""ko"",""en"")"),"29.305")</f>
        <v>29.305</v>
      </c>
      <c r="F178" s="1" t="str">
        <f ca="1">IFERROR(__xludf.DUMMYFUNCTION("GOOGLETRANSLATE('대전도시공사_청년임대주택 현황_20240630'!F178,""ko"",""en"")"),"24.33")</f>
        <v>24.33</v>
      </c>
      <c r="G178" s="1" t="str">
        <f ca="1">IFERROR(__xludf.DUMMYFUNCTION("GOOGLETRANSLATE('대전도시공사_청년임대주택 현황_20240630'!G178,""ko"",""en"")"),"4.975")</f>
        <v>4.975</v>
      </c>
      <c r="H178" s="1" t="str">
        <f ca="1">IFERROR(__xludf.DUMMYFUNCTION("GOOGLETRANSLATE('대전도시공사_청년임대주택 현황_20240630'!H178,""ko"",""en"")"),"3rd place for youth rental")</f>
        <v>3rd place for youth rental</v>
      </c>
      <c r="I178" s="1" t="str">
        <f ca="1">IFERROR(__xludf.DUMMYFUNCTION("GOOGLETRANSLATE('대전도시공사_청년임대주택 현황_20240630'!I178,""ko"",""en"")"),"2000000")</f>
        <v>2000000</v>
      </c>
      <c r="J178" s="1" t="str">
        <f ca="1">IFERROR(__xludf.DUMMYFUNCTION("GOOGLETRANSLATE('대전도시공사_청년임대주택 현황_20240630'!J178,""ko"",""en"")"),"204000")</f>
        <v>204000</v>
      </c>
    </row>
    <row r="179" spans="1:10" ht="12.5" x14ac:dyDescent="0.25">
      <c r="A179" s="1" t="str">
        <f ca="1">IFERROR(__xludf.DUMMYFUNCTION("GOOGLETRANSLATE('대전도시공사_청년임대주택 현황_20240630'!A179,""ko"",""en"")"),"Yongmun-dong 280-59 (Happyunville, youth rental)")</f>
        <v>Yongmun-dong 280-59 (Happyunville, youth rental)</v>
      </c>
      <c r="B179" s="1" t="str">
        <f ca="1">IFERROR(__xludf.DUMMYFUNCTION("GOOGLETRANSLATE('대전도시공사_청년임대주택 현황_20240630'!B179,""ko"",""en"")"),"57")</f>
        <v>57</v>
      </c>
      <c r="C179" s="1" t="str">
        <f ca="1">IFERROR(__xludf.DUMMYFUNCTION("GOOGLETRANSLATE('대전도시공사_청년임대주택 현황_20240630'!C179,""ko"",""en"")"),"1")</f>
        <v>1</v>
      </c>
      <c r="D179" s="1" t="str">
        <f ca="1">IFERROR(__xludf.DUMMYFUNCTION("GOOGLETRANSLATE('대전도시공사_청년임대주택 현황_20240630'!D179,""ko"",""en"")"),"307")</f>
        <v>307</v>
      </c>
      <c r="E179" s="1" t="str">
        <f ca="1">IFERROR(__xludf.DUMMYFUNCTION("GOOGLETRANSLATE('대전도시공사_청년임대주택 현황_20240630'!E179,""ko"",""en"")"),"29.305")</f>
        <v>29.305</v>
      </c>
      <c r="F179" s="1" t="str">
        <f ca="1">IFERROR(__xludf.DUMMYFUNCTION("GOOGLETRANSLATE('대전도시공사_청년임대주택 현황_20240630'!F179,""ko"",""en"")"),"24.33")</f>
        <v>24.33</v>
      </c>
      <c r="G179" s="1" t="str">
        <f ca="1">IFERROR(__xludf.DUMMYFUNCTION("GOOGLETRANSLATE('대전도시공사_청년임대주택 현황_20240630'!G179,""ko"",""en"")"),"4.975")</f>
        <v>4.975</v>
      </c>
      <c r="H179" s="1" t="str">
        <f ca="1">IFERROR(__xludf.DUMMYFUNCTION("GOOGLETRANSLATE('대전도시공사_청년임대주택 현황_20240630'!H179,""ko"",""en"")"),"4th place for youth rental")</f>
        <v>4th place for youth rental</v>
      </c>
      <c r="I179" s="1" t="str">
        <f ca="1">IFERROR(__xludf.DUMMYFUNCTION("GOOGLETRANSLATE('대전도시공사_청년임대주택 현황_20240630'!I179,""ko"",""en"")"),"2000000")</f>
        <v>2000000</v>
      </c>
      <c r="J179" s="1" t="str">
        <f ca="1">IFERROR(__xludf.DUMMYFUNCTION("GOOGLETRANSLATE('대전도시공사_청년임대주택 현황_20240630'!J179,""ko"",""en"")"),"204000")</f>
        <v>204000</v>
      </c>
    </row>
    <row r="180" spans="1:10" ht="12.5" x14ac:dyDescent="0.25">
      <c r="A180" s="1" t="str">
        <f ca="1">IFERROR(__xludf.DUMMYFUNCTION("GOOGLETRANSLATE('대전도시공사_청년임대주택 현황_20240630'!A180,""ko"",""en"")"),"Yongmun-dong 280-59 (Happyunville, youth rental)")</f>
        <v>Yongmun-dong 280-59 (Happyunville, youth rental)</v>
      </c>
      <c r="B180" s="1" t="str">
        <f ca="1">IFERROR(__xludf.DUMMYFUNCTION("GOOGLETRANSLATE('대전도시공사_청년임대주택 현황_20240630'!B180,""ko"",""en"")"),"58")</f>
        <v>58</v>
      </c>
      <c r="C180" s="1" t="str">
        <f ca="1">IFERROR(__xludf.DUMMYFUNCTION("GOOGLETRANSLATE('대전도시공사_청년임대주택 현황_20240630'!C180,""ko"",""en"")"),"1")</f>
        <v>1</v>
      </c>
      <c r="D180" s="1" t="str">
        <f ca="1">IFERROR(__xludf.DUMMYFUNCTION("GOOGLETRANSLATE('대전도시공사_청년임대주택 현황_20240630'!D180,""ko"",""en"")"),"401")</f>
        <v>401</v>
      </c>
      <c r="E180" s="1" t="str">
        <f ca="1">IFERROR(__xludf.DUMMYFUNCTION("GOOGLETRANSLATE('대전도시공사_청년임대주택 현황_20240630'!E180,""ko"",""en"")"),"35.617")</f>
        <v>35.617</v>
      </c>
      <c r="F180" s="1" t="str">
        <f ca="1">IFERROR(__xludf.DUMMYFUNCTION("GOOGLETRANSLATE('대전도시공사_청년임대주택 현황_20240630'!F180,""ko"",""en"")"),"29.57")</f>
        <v>29.57</v>
      </c>
      <c r="G180" s="1" t="str">
        <f ca="1">IFERROR(__xludf.DUMMYFUNCTION("GOOGLETRANSLATE('대전도시공사_청년임대주택 현황_20240630'!G180,""ko"",""en"")"),"6.047")</f>
        <v>6.047</v>
      </c>
      <c r="H180" s="1" t="str">
        <f ca="1">IFERROR(__xludf.DUMMYFUNCTION("GOOGLETRANSLATE('대전도시공사_청년임대주택 현황_20240630'!H180,""ko"",""en"")"),"Youth Rent 1st Place")</f>
        <v>Youth Rent 1st Place</v>
      </c>
      <c r="I180" s="1" t="str">
        <f ca="1">IFERROR(__xludf.DUMMYFUNCTION("GOOGLETRANSLATE('대전도시공사_청년임대주택 현황_20240630'!I180,""ko"",""en"")"),"1000000")</f>
        <v>1000000</v>
      </c>
      <c r="J180" s="1" t="str">
        <f ca="1">IFERROR(__xludf.DUMMYFUNCTION("GOOGLETRANSLATE('대전도시공사_청년임대주택 현황_20240630'!J180,""ko"",""en"")"),"146000")</f>
        <v>146000</v>
      </c>
    </row>
    <row r="181" spans="1:10" ht="12.5" x14ac:dyDescent="0.25">
      <c r="A181" s="1" t="str">
        <f ca="1">IFERROR(__xludf.DUMMYFUNCTION("GOOGLETRANSLATE('대전도시공사_청년임대주택 현황_20240630'!A181,""ko"",""en"")"),"Yongmun-dong 280-59 (Happyunville, youth rental)")</f>
        <v>Yongmun-dong 280-59 (Happyunville, youth rental)</v>
      </c>
      <c r="B181" s="1" t="str">
        <f ca="1">IFERROR(__xludf.DUMMYFUNCTION("GOOGLETRANSLATE('대전도시공사_청년임대주택 현황_20240630'!B181,""ko"",""en"")"),"59")</f>
        <v>59</v>
      </c>
      <c r="C181" s="1" t="str">
        <f ca="1">IFERROR(__xludf.DUMMYFUNCTION("GOOGLETRANSLATE('대전도시공사_청년임대주택 현황_20240630'!C181,""ko"",""en"")"),"1")</f>
        <v>1</v>
      </c>
      <c r="D181" s="1" t="str">
        <f ca="1">IFERROR(__xludf.DUMMYFUNCTION("GOOGLETRANSLATE('대전도시공사_청년임대주택 현황_20240630'!D181,""ko"",""en"")"),"401")</f>
        <v>401</v>
      </c>
      <c r="E181" s="1" t="str">
        <f ca="1">IFERROR(__xludf.DUMMYFUNCTION("GOOGLETRANSLATE('대전도시공사_청년임대주택 현황_20240630'!E181,""ko"",""en"")"),"35.617")</f>
        <v>35.617</v>
      </c>
      <c r="F181" s="1" t="str">
        <f ca="1">IFERROR(__xludf.DUMMYFUNCTION("GOOGLETRANSLATE('대전도시공사_청년임대주택 현황_20240630'!F181,""ko"",""en"")"),"29.57")</f>
        <v>29.57</v>
      </c>
      <c r="G181" s="1" t="str">
        <f ca="1">IFERROR(__xludf.DUMMYFUNCTION("GOOGLETRANSLATE('대전도시공사_청년임대주택 현황_20240630'!G181,""ko"",""en"")"),"6.047")</f>
        <v>6.047</v>
      </c>
      <c r="H181" s="1" t="str">
        <f ca="1">IFERROR(__xludf.DUMMYFUNCTION("GOOGLETRANSLATE('대전도시공사_청년임대주택 현황_20240630'!H181,""ko"",""en"")"),"Youth Rental 2nd Place")</f>
        <v>Youth Rental 2nd Place</v>
      </c>
      <c r="I181" s="1" t="str">
        <f ca="1">IFERROR(__xludf.DUMMYFUNCTION("GOOGLETRANSLATE('대전도시공사_청년임대주택 현황_20240630'!I181,""ko"",""en"")"),"2000000")</f>
        <v>2000000</v>
      </c>
      <c r="J181" s="1" t="str">
        <f ca="1">IFERROR(__xludf.DUMMYFUNCTION("GOOGLETRANSLATE('대전도시공사_청년임대주택 현황_20240630'!J181,""ko"",""en"")"),"240400")</f>
        <v>240400</v>
      </c>
    </row>
    <row r="182" spans="1:10" ht="12.5" x14ac:dyDescent="0.25">
      <c r="A182" s="1" t="str">
        <f ca="1">IFERROR(__xludf.DUMMYFUNCTION("GOOGLETRANSLATE('대전도시공사_청년임대주택 현황_20240630'!A182,""ko"",""en"")"),"Yongmun-dong 280-59 (Happyunville, youth rental)")</f>
        <v>Yongmun-dong 280-59 (Happyunville, youth rental)</v>
      </c>
      <c r="B182" s="1" t="str">
        <f ca="1">IFERROR(__xludf.DUMMYFUNCTION("GOOGLETRANSLATE('대전도시공사_청년임대주택 현황_20240630'!B182,""ko"",""en"")"),"60")</f>
        <v>60</v>
      </c>
      <c r="C182" s="1" t="str">
        <f ca="1">IFERROR(__xludf.DUMMYFUNCTION("GOOGLETRANSLATE('대전도시공사_청년임대주택 현황_20240630'!C182,""ko"",""en"")"),"1")</f>
        <v>1</v>
      </c>
      <c r="D182" s="1" t="str">
        <f ca="1">IFERROR(__xludf.DUMMYFUNCTION("GOOGLETRANSLATE('대전도시공사_청년임대주택 현황_20240630'!D182,""ko"",""en"")"),"401")</f>
        <v>401</v>
      </c>
      <c r="E182" s="1" t="str">
        <f ca="1">IFERROR(__xludf.DUMMYFUNCTION("GOOGLETRANSLATE('대전도시공사_청년임대주택 현황_20240630'!E182,""ko"",""en"")"),"35.617")</f>
        <v>35.617</v>
      </c>
      <c r="F182" s="1" t="str">
        <f ca="1">IFERROR(__xludf.DUMMYFUNCTION("GOOGLETRANSLATE('대전도시공사_청년임대주택 현황_20240630'!F182,""ko"",""en"")"),"29.57")</f>
        <v>29.57</v>
      </c>
      <c r="G182" s="1" t="str">
        <f ca="1">IFERROR(__xludf.DUMMYFUNCTION("GOOGLETRANSLATE('대전도시공사_청년임대주택 현황_20240630'!G182,""ko"",""en"")"),"6.047")</f>
        <v>6.047</v>
      </c>
      <c r="H182" s="1" t="str">
        <f ca="1">IFERROR(__xludf.DUMMYFUNCTION("GOOGLETRANSLATE('대전도시공사_청년임대주택 현황_20240630'!H182,""ko"",""en"")"),"3rd place for youth rental")</f>
        <v>3rd place for youth rental</v>
      </c>
      <c r="I182" s="1" t="str">
        <f ca="1">IFERROR(__xludf.DUMMYFUNCTION("GOOGLETRANSLATE('대전도시공사_청년임대주택 현황_20240630'!I182,""ko"",""en"")"),"2000000")</f>
        <v>2000000</v>
      </c>
      <c r="J182" s="1" t="str">
        <f ca="1">IFERROR(__xludf.DUMMYFUNCTION("GOOGLETRANSLATE('대전도시공사_청년임대주택 현황_20240630'!J182,""ko"",""en"")"),"240400")</f>
        <v>240400</v>
      </c>
    </row>
    <row r="183" spans="1:10" ht="12.5" x14ac:dyDescent="0.25">
      <c r="A183" s="1" t="str">
        <f ca="1">IFERROR(__xludf.DUMMYFUNCTION("GOOGLETRANSLATE('대전도시공사_청년임대주택 현황_20240630'!A183,""ko"",""en"")"),"Yongmun-dong 280-59 (Happyunville, youth rental)")</f>
        <v>Yongmun-dong 280-59 (Happyunville, youth rental)</v>
      </c>
      <c r="B183" s="1" t="str">
        <f ca="1">IFERROR(__xludf.DUMMYFUNCTION("GOOGLETRANSLATE('대전도시공사_청년임대주택 현황_20240630'!B183,""ko"",""en"")"),"61")</f>
        <v>61</v>
      </c>
      <c r="C183" s="1" t="str">
        <f ca="1">IFERROR(__xludf.DUMMYFUNCTION("GOOGLETRANSLATE('대전도시공사_청년임대주택 현황_20240630'!C183,""ko"",""en"")"),"1")</f>
        <v>1</v>
      </c>
      <c r="D183" s="1" t="str">
        <f ca="1">IFERROR(__xludf.DUMMYFUNCTION("GOOGLETRANSLATE('대전도시공사_청년임대주택 현황_20240630'!D183,""ko"",""en"")"),"401")</f>
        <v>401</v>
      </c>
      <c r="E183" s="1" t="str">
        <f ca="1">IFERROR(__xludf.DUMMYFUNCTION("GOOGLETRANSLATE('대전도시공사_청년임대주택 현황_20240630'!E183,""ko"",""en"")"),"35.617")</f>
        <v>35.617</v>
      </c>
      <c r="F183" s="1" t="str">
        <f ca="1">IFERROR(__xludf.DUMMYFUNCTION("GOOGLETRANSLATE('대전도시공사_청년임대주택 현황_20240630'!F183,""ko"",""en"")"),"29.57")</f>
        <v>29.57</v>
      </c>
      <c r="G183" s="1" t="str">
        <f ca="1">IFERROR(__xludf.DUMMYFUNCTION("GOOGLETRANSLATE('대전도시공사_청년임대주택 현황_20240630'!G183,""ko"",""en"")"),"6.047")</f>
        <v>6.047</v>
      </c>
      <c r="H183" s="1" t="str">
        <f ca="1">IFERROR(__xludf.DUMMYFUNCTION("GOOGLETRANSLATE('대전도시공사_청년임대주택 현황_20240630'!H183,""ko"",""en"")"),"4th place for youth rental")</f>
        <v>4th place for youth rental</v>
      </c>
      <c r="I183" s="1" t="str">
        <f ca="1">IFERROR(__xludf.DUMMYFUNCTION("GOOGLETRANSLATE('대전도시공사_청년임대주택 현황_20240630'!I183,""ko"",""en"")"),"2000000")</f>
        <v>2000000</v>
      </c>
      <c r="J183" s="1" t="str">
        <f ca="1">IFERROR(__xludf.DUMMYFUNCTION("GOOGLETRANSLATE('대전도시공사_청년임대주택 현황_20240630'!J183,""ko"",""en"")"),"240400")</f>
        <v>240400</v>
      </c>
    </row>
    <row r="184" spans="1:10" ht="12.5" x14ac:dyDescent="0.25">
      <c r="A184" s="1" t="str">
        <f ca="1">IFERROR(__xludf.DUMMYFUNCTION("GOOGLETRANSLATE('대전도시공사_청년임대주택 현황_20240630'!A184,""ko"",""en"")"),"Yongmun-dong 280-59 (Happyunville, youth rental)")</f>
        <v>Yongmun-dong 280-59 (Happyunville, youth rental)</v>
      </c>
      <c r="B184" s="1" t="str">
        <f ca="1">IFERROR(__xludf.DUMMYFUNCTION("GOOGLETRANSLATE('대전도시공사_청년임대주택 현황_20240630'!B184,""ko"",""en"")"),"62")</f>
        <v>62</v>
      </c>
      <c r="C184" s="1" t="str">
        <f ca="1">IFERROR(__xludf.DUMMYFUNCTION("GOOGLETRANSLATE('대전도시공사_청년임대주택 현황_20240630'!C184,""ko"",""en"")"),"1")</f>
        <v>1</v>
      </c>
      <c r="D184" s="1" t="str">
        <f ca="1">IFERROR(__xludf.DUMMYFUNCTION("GOOGLETRANSLATE('대전도시공사_청년임대주택 현황_20240630'!D184,""ko"",""en"")"),"402")</f>
        <v>402</v>
      </c>
      <c r="E184" s="1" t="str">
        <f ca="1">IFERROR(__xludf.DUMMYFUNCTION("GOOGLETRANSLATE('대전도시공사_청년임대주택 현황_20240630'!E184,""ko"",""en"")"),"27.668")</f>
        <v>27.668</v>
      </c>
      <c r="F184" s="1" t="str">
        <f ca="1">IFERROR(__xludf.DUMMYFUNCTION("GOOGLETRANSLATE('대전도시공사_청년임대주택 현황_20240630'!F184,""ko"",""en"")"),"22.97")</f>
        <v>22.97</v>
      </c>
      <c r="G184" s="1" t="str">
        <f ca="1">IFERROR(__xludf.DUMMYFUNCTION("GOOGLETRANSLATE('대전도시공사_청년임대주택 현황_20240630'!G184,""ko"",""en"")"),"4.698")</f>
        <v>4.698</v>
      </c>
      <c r="H184" s="1" t="str">
        <f ca="1">IFERROR(__xludf.DUMMYFUNCTION("GOOGLETRANSLATE('대전도시공사_청년임대주택 현황_20240630'!H184,""ko"",""en"")"),"Youth Rent 1st Place")</f>
        <v>Youth Rent 1st Place</v>
      </c>
      <c r="I184" s="1" t="str">
        <f ca="1">IFERROR(__xludf.DUMMYFUNCTION("GOOGLETRANSLATE('대전도시공사_청년임대주택 현황_20240630'!I184,""ko"",""en"")"),"1000000")</f>
        <v>1000000</v>
      </c>
      <c r="J184" s="1" t="str">
        <f ca="1">IFERROR(__xludf.DUMMYFUNCTION("GOOGLETRANSLATE('대전도시공사_청년임대주택 현황_20240630'!J184,""ko"",""en"")"),"114200")</f>
        <v>114200</v>
      </c>
    </row>
    <row r="185" spans="1:10" ht="12.5" x14ac:dyDescent="0.25">
      <c r="A185" s="1" t="str">
        <f ca="1">IFERROR(__xludf.DUMMYFUNCTION("GOOGLETRANSLATE('대전도시공사_청년임대주택 현황_20240630'!A185,""ko"",""en"")"),"Yongmun-dong 280-59 (Happyunville, youth rental)")</f>
        <v>Yongmun-dong 280-59 (Happyunville, youth rental)</v>
      </c>
      <c r="B185" s="1" t="str">
        <f ca="1">IFERROR(__xludf.DUMMYFUNCTION("GOOGLETRANSLATE('대전도시공사_청년임대주택 현황_20240630'!B185,""ko"",""en"")"),"63")</f>
        <v>63</v>
      </c>
      <c r="C185" s="1" t="str">
        <f ca="1">IFERROR(__xludf.DUMMYFUNCTION("GOOGLETRANSLATE('대전도시공사_청년임대주택 현황_20240630'!C185,""ko"",""en"")"),"1")</f>
        <v>1</v>
      </c>
      <c r="D185" s="1" t="str">
        <f ca="1">IFERROR(__xludf.DUMMYFUNCTION("GOOGLETRANSLATE('대전도시공사_청년임대주택 현황_20240630'!D185,""ko"",""en"")"),"402")</f>
        <v>402</v>
      </c>
      <c r="E185" s="1" t="str">
        <f ca="1">IFERROR(__xludf.DUMMYFUNCTION("GOOGLETRANSLATE('대전도시공사_청년임대주택 현황_20240630'!E185,""ko"",""en"")"),"27.668")</f>
        <v>27.668</v>
      </c>
      <c r="F185" s="1" t="str">
        <f ca="1">IFERROR(__xludf.DUMMYFUNCTION("GOOGLETRANSLATE('대전도시공사_청년임대주택 현황_20240630'!F185,""ko"",""en"")"),"22.97")</f>
        <v>22.97</v>
      </c>
      <c r="G185" s="1" t="str">
        <f ca="1">IFERROR(__xludf.DUMMYFUNCTION("GOOGLETRANSLATE('대전도시공사_청년임대주택 현황_20240630'!G185,""ko"",""en"")"),"4.698")</f>
        <v>4.698</v>
      </c>
      <c r="H185" s="1" t="str">
        <f ca="1">IFERROR(__xludf.DUMMYFUNCTION("GOOGLETRANSLATE('대전도시공사_청년임대주택 현황_20240630'!H185,""ko"",""en"")"),"Youth Rental 2nd Place")</f>
        <v>Youth Rental 2nd Place</v>
      </c>
      <c r="I185" s="1" t="str">
        <f ca="1">IFERROR(__xludf.DUMMYFUNCTION("GOOGLETRANSLATE('대전도시공사_청년임대주택 현황_20240630'!I185,""ko"",""en"")"),"2000000")</f>
        <v>2000000</v>
      </c>
      <c r="J185" s="1" t="str">
        <f ca="1">IFERROR(__xludf.DUMMYFUNCTION("GOOGLETRANSLATE('대전도시공사_청년임대주택 현황_20240630'!J185,""ko"",""en"")"),"187600")</f>
        <v>187600</v>
      </c>
    </row>
    <row r="186" spans="1:10" ht="12.5" x14ac:dyDescent="0.25">
      <c r="A186" s="1" t="str">
        <f ca="1">IFERROR(__xludf.DUMMYFUNCTION("GOOGLETRANSLATE('대전도시공사_청년임대주택 현황_20240630'!A186,""ko"",""en"")"),"Yongmun-dong 280-59 (Happyunville, youth rental)")</f>
        <v>Yongmun-dong 280-59 (Happyunville, youth rental)</v>
      </c>
      <c r="B186" s="1" t="str">
        <f ca="1">IFERROR(__xludf.DUMMYFUNCTION("GOOGLETRANSLATE('대전도시공사_청년임대주택 현황_20240630'!B186,""ko"",""en"")"),"64")</f>
        <v>64</v>
      </c>
      <c r="C186" s="1" t="str">
        <f ca="1">IFERROR(__xludf.DUMMYFUNCTION("GOOGLETRANSLATE('대전도시공사_청년임대주택 현황_20240630'!C186,""ko"",""en"")"),"1")</f>
        <v>1</v>
      </c>
      <c r="D186" s="1" t="str">
        <f ca="1">IFERROR(__xludf.DUMMYFUNCTION("GOOGLETRANSLATE('대전도시공사_청년임대주택 현황_20240630'!D186,""ko"",""en"")"),"402")</f>
        <v>402</v>
      </c>
      <c r="E186" s="1" t="str">
        <f ca="1">IFERROR(__xludf.DUMMYFUNCTION("GOOGLETRANSLATE('대전도시공사_청년임대주택 현황_20240630'!E186,""ko"",""en"")"),"27.668")</f>
        <v>27.668</v>
      </c>
      <c r="F186" s="1" t="str">
        <f ca="1">IFERROR(__xludf.DUMMYFUNCTION("GOOGLETRANSLATE('대전도시공사_청년임대주택 현황_20240630'!F186,""ko"",""en"")"),"22.97")</f>
        <v>22.97</v>
      </c>
      <c r="G186" s="1" t="str">
        <f ca="1">IFERROR(__xludf.DUMMYFUNCTION("GOOGLETRANSLATE('대전도시공사_청년임대주택 현황_20240630'!G186,""ko"",""en"")"),"4.698")</f>
        <v>4.698</v>
      </c>
      <c r="H186" s="1" t="str">
        <f ca="1">IFERROR(__xludf.DUMMYFUNCTION("GOOGLETRANSLATE('대전도시공사_청년임대주택 현황_20240630'!H186,""ko"",""en"")"),"3rd place for youth rental")</f>
        <v>3rd place for youth rental</v>
      </c>
      <c r="I186" s="1" t="str">
        <f ca="1">IFERROR(__xludf.DUMMYFUNCTION("GOOGLETRANSLATE('대전도시공사_청년임대주택 현황_20240630'!I186,""ko"",""en"")"),"2000000")</f>
        <v>2000000</v>
      </c>
      <c r="J186" s="1" t="str">
        <f ca="1">IFERROR(__xludf.DUMMYFUNCTION("GOOGLETRANSLATE('대전도시공사_청년임대주택 현황_20240630'!J186,""ko"",""en"")"),"187600")</f>
        <v>187600</v>
      </c>
    </row>
    <row r="187" spans="1:10" ht="12.5" x14ac:dyDescent="0.25">
      <c r="A187" s="1" t="str">
        <f ca="1">IFERROR(__xludf.DUMMYFUNCTION("GOOGLETRANSLATE('대전도시공사_청년임대주택 현황_20240630'!A187,""ko"",""en"")"),"Yongmun-dong 280-59 (Happyunville, youth rental)")</f>
        <v>Yongmun-dong 280-59 (Happyunville, youth rental)</v>
      </c>
      <c r="B187" s="1" t="str">
        <f ca="1">IFERROR(__xludf.DUMMYFUNCTION("GOOGLETRANSLATE('대전도시공사_청년임대주택 현황_20240630'!B187,""ko"",""en"")"),"65")</f>
        <v>65</v>
      </c>
      <c r="C187" s="1" t="str">
        <f ca="1">IFERROR(__xludf.DUMMYFUNCTION("GOOGLETRANSLATE('대전도시공사_청년임대주택 현황_20240630'!C187,""ko"",""en"")"),"1")</f>
        <v>1</v>
      </c>
      <c r="D187" s="1" t="str">
        <f ca="1">IFERROR(__xludf.DUMMYFUNCTION("GOOGLETRANSLATE('대전도시공사_청년임대주택 현황_20240630'!D187,""ko"",""en"")"),"402")</f>
        <v>402</v>
      </c>
      <c r="E187" s="1" t="str">
        <f ca="1">IFERROR(__xludf.DUMMYFUNCTION("GOOGLETRANSLATE('대전도시공사_청년임대주택 현황_20240630'!E187,""ko"",""en"")"),"27.668")</f>
        <v>27.668</v>
      </c>
      <c r="F187" s="1" t="str">
        <f ca="1">IFERROR(__xludf.DUMMYFUNCTION("GOOGLETRANSLATE('대전도시공사_청년임대주택 현황_20240630'!F187,""ko"",""en"")"),"22.97")</f>
        <v>22.97</v>
      </c>
      <c r="G187" s="1" t="str">
        <f ca="1">IFERROR(__xludf.DUMMYFUNCTION("GOOGLETRANSLATE('대전도시공사_청년임대주택 현황_20240630'!G187,""ko"",""en"")"),"4.698")</f>
        <v>4.698</v>
      </c>
      <c r="H187" s="1" t="str">
        <f ca="1">IFERROR(__xludf.DUMMYFUNCTION("GOOGLETRANSLATE('대전도시공사_청년임대주택 현황_20240630'!H187,""ko"",""en"")"),"4th place for youth rental")</f>
        <v>4th place for youth rental</v>
      </c>
      <c r="I187" s="1" t="str">
        <f ca="1">IFERROR(__xludf.DUMMYFUNCTION("GOOGLETRANSLATE('대전도시공사_청년임대주택 현황_20240630'!I187,""ko"",""en"")"),"2000000")</f>
        <v>2000000</v>
      </c>
      <c r="J187" s="1" t="str">
        <f ca="1">IFERROR(__xludf.DUMMYFUNCTION("GOOGLETRANSLATE('대전도시공사_청년임대주택 현황_20240630'!J187,""ko"",""en"")"),"187600")</f>
        <v>187600</v>
      </c>
    </row>
    <row r="188" spans="1:10" ht="12.5" x14ac:dyDescent="0.25">
      <c r="A188" s="1" t="str">
        <f ca="1">IFERROR(__xludf.DUMMYFUNCTION("GOOGLETRANSLATE('대전도시공사_청년임대주택 현황_20240630'!A188,""ko"",""en"")"),"Yongmun-dong 280-59 (Happyunville, youth rental)")</f>
        <v>Yongmun-dong 280-59 (Happyunville, youth rental)</v>
      </c>
      <c r="B188" s="1" t="str">
        <f ca="1">IFERROR(__xludf.DUMMYFUNCTION("GOOGLETRANSLATE('대전도시공사_청년임대주택 현황_20240630'!B188,""ko"",""en"")"),"66")</f>
        <v>66</v>
      </c>
      <c r="C188" s="1" t="str">
        <f ca="1">IFERROR(__xludf.DUMMYFUNCTION("GOOGLETRANSLATE('대전도시공사_청년임대주택 현황_20240630'!C188,""ko"",""en"")"),"1")</f>
        <v>1</v>
      </c>
      <c r="D188" s="1" t="str">
        <f ca="1">IFERROR(__xludf.DUMMYFUNCTION("GOOGLETRANSLATE('대전도시공사_청년임대주택 현황_20240630'!D188,""ko"",""en"")"),"403")</f>
        <v>403</v>
      </c>
      <c r="E188" s="1" t="str">
        <f ca="1">IFERROR(__xludf.DUMMYFUNCTION("GOOGLETRANSLATE('대전도시공사_청년임대주택 현황_20240630'!E188,""ko"",""en"")"),"29.005")</f>
        <v>29.005</v>
      </c>
      <c r="F188" s="1" t="str">
        <f ca="1">IFERROR(__xludf.DUMMYFUNCTION("GOOGLETRANSLATE('대전도시공사_청년임대주택 현황_20240630'!F188,""ko"",""en"")"),"24.08")</f>
        <v>24.08</v>
      </c>
      <c r="G188" s="1" t="str">
        <f ca="1">IFERROR(__xludf.DUMMYFUNCTION("GOOGLETRANSLATE('대전도시공사_청년임대주택 현황_20240630'!G188,""ko"",""en"")"),"4.925")</f>
        <v>4.925</v>
      </c>
      <c r="H188" s="1" t="str">
        <f ca="1">IFERROR(__xludf.DUMMYFUNCTION("GOOGLETRANSLATE('대전도시공사_청년임대주택 현황_20240630'!H188,""ko"",""en"")"),"Beneficiary")</f>
        <v>Beneficiary</v>
      </c>
      <c r="I188" s="1" t="str">
        <f ca="1">IFERROR(__xludf.DUMMYFUNCTION("GOOGLETRANSLATE('대전도시공사_청년임대주택 현황_20240630'!I188,""ko"",""en"")"),"1000000")</f>
        <v>1000000</v>
      </c>
      <c r="J188" s="1" t="str">
        <f ca="1">IFERROR(__xludf.DUMMYFUNCTION("GOOGLETRANSLATE('대전도시공사_청년임대주택 현황_20240630'!J188,""ko"",""en"")"),"120100")</f>
        <v>120100</v>
      </c>
    </row>
    <row r="189" spans="1:10" ht="12.5" x14ac:dyDescent="0.25">
      <c r="A189" s="1" t="str">
        <f ca="1">IFERROR(__xludf.DUMMYFUNCTION("GOOGLETRANSLATE('대전도시공사_청년임대주택 현황_20240630'!A189,""ko"",""en"")"),"Yongmun-dong 280-59 (Happyunville, youth rental)")</f>
        <v>Yongmun-dong 280-59 (Happyunville, youth rental)</v>
      </c>
      <c r="B189" s="1" t="str">
        <f ca="1">IFERROR(__xludf.DUMMYFUNCTION("GOOGLETRANSLATE('대전도시공사_청년임대주택 현황_20240630'!B189,""ko"",""en"")"),"67")</f>
        <v>67</v>
      </c>
      <c r="C189" s="1" t="str">
        <f ca="1">IFERROR(__xludf.DUMMYFUNCTION("GOOGLETRANSLATE('대전도시공사_청년임대주택 현황_20240630'!C189,""ko"",""en"")"),"1")</f>
        <v>1</v>
      </c>
      <c r="D189" s="1" t="str">
        <f ca="1">IFERROR(__xludf.DUMMYFUNCTION("GOOGLETRANSLATE('대전도시공사_청년임대주택 현황_20240630'!D189,""ko"",""en"")"),"403")</f>
        <v>403</v>
      </c>
      <c r="E189" s="1" t="str">
        <f ca="1">IFERROR(__xludf.DUMMYFUNCTION("GOOGLETRANSLATE('대전도시공사_청년임대주택 현황_20240630'!E189,""ko"",""en"")"),"29.005")</f>
        <v>29.005</v>
      </c>
      <c r="F189" s="1" t="str">
        <f ca="1">IFERROR(__xludf.DUMMYFUNCTION("GOOGLETRANSLATE('대전도시공사_청년임대주택 현황_20240630'!F189,""ko"",""en"")"),"24.08")</f>
        <v>24.08</v>
      </c>
      <c r="G189" s="1" t="str">
        <f ca="1">IFERROR(__xludf.DUMMYFUNCTION("GOOGLETRANSLATE('대전도시공사_청년임대주택 현황_20240630'!G189,""ko"",""en"")"),"4.925")</f>
        <v>4.925</v>
      </c>
      <c r="H189" s="1" t="str">
        <f ca="1">IFERROR(__xludf.DUMMYFUNCTION("GOOGLETRANSLATE('대전도시공사_청년임대주택 현황_20240630'!H189,""ko"",""en"")"),"Youth Rent 1st Place")</f>
        <v>Youth Rent 1st Place</v>
      </c>
      <c r="I189" s="1" t="str">
        <f ca="1">IFERROR(__xludf.DUMMYFUNCTION("GOOGLETRANSLATE('대전도시공사_청년임대주택 현황_20240630'!I189,""ko"",""en"")"),"1000000")</f>
        <v>1000000</v>
      </c>
      <c r="J189" s="1" t="str">
        <f ca="1">IFERROR(__xludf.DUMMYFUNCTION("GOOGLETRANSLATE('대전도시공사_청년임대주택 현황_20240630'!J189,""ko"",""en"")"),"120100")</f>
        <v>120100</v>
      </c>
    </row>
    <row r="190" spans="1:10" ht="12.5" x14ac:dyDescent="0.25">
      <c r="A190" s="1" t="str">
        <f ca="1">IFERROR(__xludf.DUMMYFUNCTION("GOOGLETRANSLATE('대전도시공사_청년임대주택 현황_20240630'!A190,""ko"",""en"")"),"Yongmun-dong 280-59 (Happyunville, youth rental)")</f>
        <v>Yongmun-dong 280-59 (Happyunville, youth rental)</v>
      </c>
      <c r="B190" s="1" t="str">
        <f ca="1">IFERROR(__xludf.DUMMYFUNCTION("GOOGLETRANSLATE('대전도시공사_청년임대주택 현황_20240630'!B190,""ko"",""en"")"),"68")</f>
        <v>68</v>
      </c>
      <c r="C190" s="1" t="str">
        <f ca="1">IFERROR(__xludf.DUMMYFUNCTION("GOOGLETRANSLATE('대전도시공사_청년임대주택 현황_20240630'!C190,""ko"",""en"")"),"1")</f>
        <v>1</v>
      </c>
      <c r="D190" s="1" t="str">
        <f ca="1">IFERROR(__xludf.DUMMYFUNCTION("GOOGLETRANSLATE('대전도시공사_청년임대주택 현황_20240630'!D190,""ko"",""en"")"),"403")</f>
        <v>403</v>
      </c>
      <c r="E190" s="1" t="str">
        <f ca="1">IFERROR(__xludf.DUMMYFUNCTION("GOOGLETRANSLATE('대전도시공사_청년임대주택 현황_20240630'!E190,""ko"",""en"")"),"29.005")</f>
        <v>29.005</v>
      </c>
      <c r="F190" s="1" t="str">
        <f ca="1">IFERROR(__xludf.DUMMYFUNCTION("GOOGLETRANSLATE('대전도시공사_청년임대주택 현황_20240630'!F190,""ko"",""en"")"),"24.08")</f>
        <v>24.08</v>
      </c>
      <c r="G190" s="1" t="str">
        <f ca="1">IFERROR(__xludf.DUMMYFUNCTION("GOOGLETRANSLATE('대전도시공사_청년임대주택 현황_20240630'!G190,""ko"",""en"")"),"4.925")</f>
        <v>4.925</v>
      </c>
      <c r="H190" s="1" t="str">
        <f ca="1">IFERROR(__xludf.DUMMYFUNCTION("GOOGLETRANSLATE('대전도시공사_청년임대주택 현황_20240630'!H190,""ko"",""en"")"),"Youth Rental 2nd Place")</f>
        <v>Youth Rental 2nd Place</v>
      </c>
      <c r="I190" s="1" t="str">
        <f ca="1">IFERROR(__xludf.DUMMYFUNCTION("GOOGLETRANSLATE('대전도시공사_청년임대주택 현황_20240630'!I190,""ko"",""en"")"),"2000000")</f>
        <v>2000000</v>
      </c>
      <c r="J190" s="1" t="str">
        <f ca="1">IFERROR(__xludf.DUMMYFUNCTION("GOOGLETRANSLATE('대전도시공사_청년임대주택 현황_20240630'!J190,""ko"",""en"")"),"197400")</f>
        <v>197400</v>
      </c>
    </row>
    <row r="191" spans="1:10" ht="12.5" x14ac:dyDescent="0.25">
      <c r="A191" s="1" t="str">
        <f ca="1">IFERROR(__xludf.DUMMYFUNCTION("GOOGLETRANSLATE('대전도시공사_청년임대주택 현황_20240630'!A191,""ko"",""en"")"),"Yongmun-dong 280-59 (Happyunville, youth rental)")</f>
        <v>Yongmun-dong 280-59 (Happyunville, youth rental)</v>
      </c>
      <c r="B191" s="1" t="str">
        <f ca="1">IFERROR(__xludf.DUMMYFUNCTION("GOOGLETRANSLATE('대전도시공사_청년임대주택 현황_20240630'!B191,""ko"",""en"")"),"69")</f>
        <v>69</v>
      </c>
      <c r="C191" s="1" t="str">
        <f ca="1">IFERROR(__xludf.DUMMYFUNCTION("GOOGLETRANSLATE('대전도시공사_청년임대주택 현황_20240630'!C191,""ko"",""en"")"),"1")</f>
        <v>1</v>
      </c>
      <c r="D191" s="1" t="str">
        <f ca="1">IFERROR(__xludf.DUMMYFUNCTION("GOOGLETRANSLATE('대전도시공사_청년임대주택 현황_20240630'!D191,""ko"",""en"")"),"403")</f>
        <v>403</v>
      </c>
      <c r="E191" s="1" t="str">
        <f ca="1">IFERROR(__xludf.DUMMYFUNCTION("GOOGLETRANSLATE('대전도시공사_청년임대주택 현황_20240630'!E191,""ko"",""en"")"),"29.005")</f>
        <v>29.005</v>
      </c>
      <c r="F191" s="1" t="str">
        <f ca="1">IFERROR(__xludf.DUMMYFUNCTION("GOOGLETRANSLATE('대전도시공사_청년임대주택 현황_20240630'!F191,""ko"",""en"")"),"24.08")</f>
        <v>24.08</v>
      </c>
      <c r="G191" s="1" t="str">
        <f ca="1">IFERROR(__xludf.DUMMYFUNCTION("GOOGLETRANSLATE('대전도시공사_청년임대주택 현황_20240630'!G191,""ko"",""en"")"),"4.925")</f>
        <v>4.925</v>
      </c>
      <c r="H191" s="1" t="str">
        <f ca="1">IFERROR(__xludf.DUMMYFUNCTION("GOOGLETRANSLATE('대전도시공사_청년임대주택 현황_20240630'!H191,""ko"",""en"")"),"3rd place for youth rental")</f>
        <v>3rd place for youth rental</v>
      </c>
      <c r="I191" s="1" t="str">
        <f ca="1">IFERROR(__xludf.DUMMYFUNCTION("GOOGLETRANSLATE('대전도시공사_청년임대주택 현황_20240630'!I191,""ko"",""en"")"),"2000000")</f>
        <v>2000000</v>
      </c>
      <c r="J191" s="1" t="str">
        <f ca="1">IFERROR(__xludf.DUMMYFUNCTION("GOOGLETRANSLATE('대전도시공사_청년임대주택 현황_20240630'!J191,""ko"",""en"")"),"197400")</f>
        <v>197400</v>
      </c>
    </row>
    <row r="192" spans="1:10" ht="12.5" x14ac:dyDescent="0.25">
      <c r="A192" s="1" t="str">
        <f ca="1">IFERROR(__xludf.DUMMYFUNCTION("GOOGLETRANSLATE('대전도시공사_청년임대주택 현황_20240630'!A192,""ko"",""en"")"),"Yongmun-dong 280-59 (Happyunville, youth rental)")</f>
        <v>Yongmun-dong 280-59 (Happyunville, youth rental)</v>
      </c>
      <c r="B192" s="1" t="str">
        <f ca="1">IFERROR(__xludf.DUMMYFUNCTION("GOOGLETRANSLATE('대전도시공사_청년임대주택 현황_20240630'!B192,""ko"",""en"")"),"70")</f>
        <v>70</v>
      </c>
      <c r="C192" s="1" t="str">
        <f ca="1">IFERROR(__xludf.DUMMYFUNCTION("GOOGLETRANSLATE('대전도시공사_청년임대주택 현황_20240630'!C192,""ko"",""en"")"),"1")</f>
        <v>1</v>
      </c>
      <c r="D192" s="1" t="str">
        <f ca="1">IFERROR(__xludf.DUMMYFUNCTION("GOOGLETRANSLATE('대전도시공사_청년임대주택 현황_20240630'!D192,""ko"",""en"")"),"403")</f>
        <v>403</v>
      </c>
      <c r="E192" s="1" t="str">
        <f ca="1">IFERROR(__xludf.DUMMYFUNCTION("GOOGLETRANSLATE('대전도시공사_청년임대주택 현황_20240630'!E192,""ko"",""en"")"),"29.005")</f>
        <v>29.005</v>
      </c>
      <c r="F192" s="1" t="str">
        <f ca="1">IFERROR(__xludf.DUMMYFUNCTION("GOOGLETRANSLATE('대전도시공사_청년임대주택 현황_20240630'!F192,""ko"",""en"")"),"24.08")</f>
        <v>24.08</v>
      </c>
      <c r="G192" s="1" t="str">
        <f ca="1">IFERROR(__xludf.DUMMYFUNCTION("GOOGLETRANSLATE('대전도시공사_청년임대주택 현황_20240630'!G192,""ko"",""en"")"),"4.925")</f>
        <v>4.925</v>
      </c>
      <c r="H192" s="1" t="str">
        <f ca="1">IFERROR(__xludf.DUMMYFUNCTION("GOOGLETRANSLATE('대전도시공사_청년임대주택 현황_20240630'!H192,""ko"",""en"")"),"4th place for youth rental")</f>
        <v>4th place for youth rental</v>
      </c>
      <c r="I192" s="1" t="str">
        <f ca="1">IFERROR(__xludf.DUMMYFUNCTION("GOOGLETRANSLATE('대전도시공사_청년임대주택 현황_20240630'!I192,""ko"",""en"")"),"2000000")</f>
        <v>2000000</v>
      </c>
      <c r="J192" s="1" t="str">
        <f ca="1">IFERROR(__xludf.DUMMYFUNCTION("GOOGLETRANSLATE('대전도시공사_청년임대주택 현황_20240630'!J192,""ko"",""en"")"),"197400")</f>
        <v>197400</v>
      </c>
    </row>
    <row r="193" spans="1:10" ht="12.5" x14ac:dyDescent="0.25">
      <c r="A193" s="1" t="str">
        <f ca="1">IFERROR(__xludf.DUMMYFUNCTION("GOOGLETRANSLATE('대전도시공사_청년임대주택 현황_20240630'!A193,""ko"",""en"")"),"Yongmun-dong 280-59 (Happyunville, youth rental)")</f>
        <v>Yongmun-dong 280-59 (Happyunville, youth rental)</v>
      </c>
      <c r="B193" s="1" t="str">
        <f ca="1">IFERROR(__xludf.DUMMYFUNCTION("GOOGLETRANSLATE('대전도시공사_청년임대주택 현황_20240630'!B193,""ko"",""en"")"),"71")</f>
        <v>71</v>
      </c>
      <c r="C193" s="1" t="str">
        <f ca="1">IFERROR(__xludf.DUMMYFUNCTION("GOOGLETRANSLATE('대전도시공사_청년임대주택 현황_20240630'!C193,""ko"",""en"")"),"1")</f>
        <v>1</v>
      </c>
      <c r="D193" s="1" t="str">
        <f ca="1">IFERROR(__xludf.DUMMYFUNCTION("GOOGLETRANSLATE('대전도시공사_청년임대주택 현황_20240630'!D193,""ko"",""en"")"),"404")</f>
        <v>404</v>
      </c>
      <c r="E193" s="1" t="str">
        <f ca="1">IFERROR(__xludf.DUMMYFUNCTION("GOOGLETRANSLATE('대전도시공사_청년임대주택 현황_20240630'!E193,""ko"",""en"")"),"112.044")</f>
        <v>112.044</v>
      </c>
      <c r="F193" s="1" t="str">
        <f ca="1">IFERROR(__xludf.DUMMYFUNCTION("GOOGLETRANSLATE('대전도시공사_청년임대주택 현황_20240630'!F193,""ko"",""en"")"),"93.02")</f>
        <v>93.02</v>
      </c>
      <c r="G193" s="1" t="str">
        <f ca="1">IFERROR(__xludf.DUMMYFUNCTION("GOOGLETRANSLATE('대전도시공사_청년임대주택 현황_20240630'!G193,""ko"",""en"")"),"19.024")</f>
        <v>19.024</v>
      </c>
      <c r="H193" s="1" t="str">
        <f ca="1">IFERROR(__xludf.DUMMYFUNCTION("GOOGLETRANSLATE('대전도시공사_청년임대주택 현황_20240630'!H193,""ko"",""en"")"),"Newlyweds 1 (30% of the total price)")</f>
        <v>Newlyweds 1 (30% of the total price)</v>
      </c>
      <c r="I193" s="1" t="str">
        <f ca="1">IFERROR(__xludf.DUMMYFUNCTION("GOOGLETRANSLATE('대전도시공사_청년임대주택 현황_20240630'!I193,""ko"",""en"")"),"15658000")</f>
        <v>15658000</v>
      </c>
      <c r="J193" s="1" t="str">
        <f ca="1">IFERROR(__xludf.DUMMYFUNCTION("GOOGLETRANSLATE('대전도시공사_청년임대주택 현황_20240630'!J193,""ko"",""en"")"),"282100")</f>
        <v>282100</v>
      </c>
    </row>
    <row r="194" spans="1:10" ht="12.5" x14ac:dyDescent="0.25">
      <c r="A194" s="1" t="str">
        <f ca="1">IFERROR(__xludf.DUMMYFUNCTION("GOOGLETRANSLATE('대전도시공사_청년임대주택 현황_20240630'!A194,""ko"",""en"")"),"Yongmun-dong 280-59 (Happyunville, youth rental)")</f>
        <v>Yongmun-dong 280-59 (Happyunville, youth rental)</v>
      </c>
      <c r="B194" s="1" t="str">
        <f ca="1">IFERROR(__xludf.DUMMYFUNCTION("GOOGLETRANSLATE('대전도시공사_청년임대주택 현황_20240630'!B194,""ko"",""en"")"),"72")</f>
        <v>72</v>
      </c>
      <c r="C194" s="1" t="str">
        <f ca="1">IFERROR(__xludf.DUMMYFUNCTION("GOOGLETRANSLATE('대전도시공사_청년임대주택 현황_20240630'!C194,""ko"",""en"")"),"1")</f>
        <v>1</v>
      </c>
      <c r="D194" s="1" t="str">
        <f ca="1">IFERROR(__xludf.DUMMYFUNCTION("GOOGLETRANSLATE('대전도시공사_청년임대주택 현황_20240630'!D194,""ko"",""en"")"),"404")</f>
        <v>404</v>
      </c>
      <c r="E194" s="1" t="str">
        <f ca="1">IFERROR(__xludf.DUMMYFUNCTION("GOOGLETRANSLATE('대전도시공사_청년임대주택 현황_20240630'!E194,""ko"",""en"")"),"112.044")</f>
        <v>112.044</v>
      </c>
      <c r="F194" s="1" t="str">
        <f ca="1">IFERROR(__xludf.DUMMYFUNCTION("GOOGLETRANSLATE('대전도시공사_청년임대주택 현황_20240630'!F194,""ko"",""en"")"),"93.02")</f>
        <v>93.02</v>
      </c>
      <c r="G194" s="1" t="str">
        <f ca="1">IFERROR(__xludf.DUMMYFUNCTION("GOOGLETRANSLATE('대전도시공사_청년임대주택 현황_20240630'!G194,""ko"",""en"")"),"19.024")</f>
        <v>19.024</v>
      </c>
      <c r="H194" s="1" t="str">
        <f ca="1">IFERROR(__xludf.DUMMYFUNCTION("GOOGLETRANSLATE('대전도시공사_청년임대주택 현황_20240630'!H194,""ko"",""en"")"),"Newlyweds 1 (40% of the total price)")</f>
        <v>Newlyweds 1 (40% of the total price)</v>
      </c>
      <c r="I194" s="1" t="str">
        <f ca="1">IFERROR(__xludf.DUMMYFUNCTION("GOOGLETRANSLATE('대전도시공사_청년임대주택 현황_20240630'!I194,""ko"",""en"")"),"15658000")</f>
        <v>15658000</v>
      </c>
      <c r="J194" s="1" t="str">
        <f ca="1">IFERROR(__xludf.DUMMYFUNCTION("GOOGLETRANSLATE('대전도시공사_청년임대주택 현황_20240630'!J194,""ko"",""en"")"),"407700")</f>
        <v>407700</v>
      </c>
    </row>
    <row r="195" spans="1:10" ht="12.5" x14ac:dyDescent="0.25">
      <c r="A195" s="1" t="str">
        <f ca="1">IFERROR(__xludf.DUMMYFUNCTION("GOOGLETRANSLATE('대전도시공사_청년임대주택 현황_20240630'!A195,""ko"",""en"")"),"Yongmun-dong 280-59 (Happyunville, youth rental)")</f>
        <v>Yongmun-dong 280-59 (Happyunville, youth rental)</v>
      </c>
      <c r="B195" s="1" t="str">
        <f ca="1">IFERROR(__xludf.DUMMYFUNCTION("GOOGLETRANSLATE('대전도시공사_청년임대주택 현황_20240630'!B195,""ko"",""en"")"),"73")</f>
        <v>73</v>
      </c>
      <c r="C195" s="1" t="str">
        <f ca="1">IFERROR(__xludf.DUMMYFUNCTION("GOOGLETRANSLATE('대전도시공사_청년임대주택 현황_20240630'!C195,""ko"",""en"")"),"1")</f>
        <v>1</v>
      </c>
      <c r="D195" s="1" t="str">
        <f ca="1">IFERROR(__xludf.DUMMYFUNCTION("GOOGLETRANSLATE('대전도시공사_청년임대주택 현황_20240630'!D195,""ko"",""en"")"),"404")</f>
        <v>404</v>
      </c>
      <c r="E195" s="1" t="str">
        <f ca="1">IFERROR(__xludf.DUMMYFUNCTION("GOOGLETRANSLATE('대전도시공사_청년임대주택 현황_20240630'!E195,""ko"",""en"")"),"112.044")</f>
        <v>112.044</v>
      </c>
      <c r="F195" s="1" t="str">
        <f ca="1">IFERROR(__xludf.DUMMYFUNCTION("GOOGLETRANSLATE('대전도시공사_청년임대주택 현황_20240630'!F195,""ko"",""en"")"),"93.02")</f>
        <v>93.02</v>
      </c>
      <c r="G195" s="1" t="str">
        <f ca="1">IFERROR(__xludf.DUMMYFUNCTION("GOOGLETRANSLATE('대전도시공사_청년임대주택 현황_20240630'!G195,""ko"",""en"")"),"19.024")</f>
        <v>19.024</v>
      </c>
      <c r="H195" s="1" t="str">
        <f ca="1">IFERROR(__xludf.DUMMYFUNCTION("GOOGLETRANSLATE('대전도시공사_청년임대주택 현황_20240630'!H195,""ko"",""en"")"),"Newlyweds 2 (70% of the total price)")</f>
        <v>Newlyweds 2 (70% of the total price)</v>
      </c>
      <c r="I195" s="1" t="str">
        <f ca="1">IFERROR(__xludf.DUMMYFUNCTION("GOOGLETRANSLATE('대전도시공사_청년임대주택 현황_20240630'!I195,""ko"",""en"")"),"15658000")</f>
        <v>15658000</v>
      </c>
      <c r="J195" s="1" t="str">
        <f ca="1">IFERROR(__xludf.DUMMYFUNCTION("GOOGLETRANSLATE('대전도시공사_청년임대주택 현황_20240630'!J195,""ko"",""en"")"),"784300")</f>
        <v>784300</v>
      </c>
    </row>
    <row r="196" spans="1:10" ht="12.5" x14ac:dyDescent="0.25">
      <c r="A196" s="1" t="str">
        <f ca="1">IFERROR(__xludf.DUMMYFUNCTION("GOOGLETRANSLATE('대전도시공사_청년임대주택 현황_20240630'!A196,""ko"",""en"")"),"Yongmun-dong 280-59 (Happyunville, youth rental)")</f>
        <v>Yongmun-dong 280-59 (Happyunville, youth rental)</v>
      </c>
      <c r="B196" s="1" t="str">
        <f ca="1">IFERROR(__xludf.DUMMYFUNCTION("GOOGLETRANSLATE('대전도시공사_청년임대주택 현황_20240630'!B196,""ko"",""en"")"),"74")</f>
        <v>74</v>
      </c>
      <c r="C196" s="1" t="str">
        <f ca="1">IFERROR(__xludf.DUMMYFUNCTION("GOOGLETRANSLATE('대전도시공사_청년임대주택 현황_20240630'!C196,""ko"",""en"")"),"1")</f>
        <v>1</v>
      </c>
      <c r="D196" s="1" t="str">
        <f ca="1">IFERROR(__xludf.DUMMYFUNCTION("GOOGLETRANSLATE('대전도시공사_청년임대주택 현황_20240630'!D196,""ko"",""en"")"),"404")</f>
        <v>404</v>
      </c>
      <c r="E196" s="1" t="str">
        <f ca="1">IFERROR(__xludf.DUMMYFUNCTION("GOOGLETRANSLATE('대전도시공사_청년임대주택 현황_20240630'!E196,""ko"",""en"")"),"112.044")</f>
        <v>112.044</v>
      </c>
      <c r="F196" s="1" t="str">
        <f ca="1">IFERROR(__xludf.DUMMYFUNCTION("GOOGLETRANSLATE('대전도시공사_청년임대주택 현황_20240630'!F196,""ko"",""en"")"),"93.02")</f>
        <v>93.02</v>
      </c>
      <c r="G196" s="1" t="str">
        <f ca="1">IFERROR(__xludf.DUMMYFUNCTION("GOOGLETRANSLATE('대전도시공사_청년임대주택 현황_20240630'!G196,""ko"",""en"")"),"19.024")</f>
        <v>19.024</v>
      </c>
      <c r="H196" s="1" t="str">
        <f ca="1">IFERROR(__xludf.DUMMYFUNCTION("GOOGLETRANSLATE('대전도시공사_청년임대주택 현황_20240630'!H196,""ko"",""en"")"),"Newlyweds 2 (80% of the total price)")</f>
        <v>Newlyweds 2 (80% of the total price)</v>
      </c>
      <c r="I196" s="1" t="str">
        <f ca="1">IFERROR(__xludf.DUMMYFUNCTION("GOOGLETRANSLATE('대전도시공사_청년임대주택 현황_20240630'!I196,""ko"",""en"")"),"15658000")</f>
        <v>15658000</v>
      </c>
      <c r="J196" s="1" t="str">
        <f ca="1">IFERROR(__xludf.DUMMYFUNCTION("GOOGLETRANSLATE('대전도시공사_청년임대주택 현황_20240630'!J196,""ko"",""en"")"),"909800")</f>
        <v>909800</v>
      </c>
    </row>
    <row r="197" spans="1:10" ht="12.5" x14ac:dyDescent="0.25">
      <c r="A197" s="1" t="str">
        <f ca="1">IFERROR(__xludf.DUMMYFUNCTION("GOOGLETRANSLATE('대전도시공사_청년임대주택 현황_20240630'!A197,""ko"",""en"")"),"Deokmyeong-dong 505-4 (The M House, youth rental)")</f>
        <v>Deokmyeong-dong 505-4 (The M House, youth rental)</v>
      </c>
      <c r="B197" s="1" t="str">
        <f ca="1">IFERROR(__xludf.DUMMYFUNCTION("GOOGLETRANSLATE('대전도시공사_청년임대주택 현황_20240630'!B197,""ko"",""en"")"),"1")</f>
        <v>1</v>
      </c>
      <c r="C197" s="1" t="str">
        <f ca="1">IFERROR(__xludf.DUMMYFUNCTION("GOOGLETRANSLATE('대전도시공사_청년임대주택 현황_20240630'!C197,""ko"",""en"")"),"1")</f>
        <v>1</v>
      </c>
      <c r="D197" s="1" t="str">
        <f ca="1">IFERROR(__xludf.DUMMYFUNCTION("GOOGLETRANSLATE('대전도시공사_청년임대주택 현황_20240630'!D197,""ko"",""en"")"),"201")</f>
        <v>201</v>
      </c>
      <c r="E197" s="1" t="str">
        <f ca="1">IFERROR(__xludf.DUMMYFUNCTION("GOOGLETRANSLATE('대전도시공사_청년임대주택 현황_20240630'!E197,""ko"",""en"")"),"58.313")</f>
        <v>58.313</v>
      </c>
      <c r="F197" s="1" t="str">
        <f ca="1">IFERROR(__xludf.DUMMYFUNCTION("GOOGLETRANSLATE('대전도시공사_청년임대주택 현황_20240630'!F197,""ko"",""en"")"),"49.14")</f>
        <v>49.14</v>
      </c>
      <c r="G197" s="1" t="str">
        <f ca="1">IFERROR(__xludf.DUMMYFUNCTION("GOOGLETRANSLATE('대전도시공사_청년임대주택 현황_20240630'!G197,""ko"",""en"")"),"9.173")</f>
        <v>9.173</v>
      </c>
      <c r="H197" s="1" t="str">
        <f ca="1">IFERROR(__xludf.DUMMYFUNCTION("GOOGLETRANSLATE('대전도시공사_청년임대주택 현황_20240630'!H197,""ko"",""en"")"),"Newlyweds 1 (30% of the total price)")</f>
        <v>Newlyweds 1 (30% of the total price)</v>
      </c>
      <c r="I197" s="1" t="str">
        <f ca="1">IFERROR(__xludf.DUMMYFUNCTION("GOOGLETRANSLATE('대전도시공사_청년임대주택 현황_20240630'!I197,""ko"",""en"")"),"8149000")</f>
        <v>8149000</v>
      </c>
      <c r="J197" s="1" t="str">
        <f ca="1">IFERROR(__xludf.DUMMYFUNCTION("GOOGLETRANSLATE('대전도시공사_청년임대주택 현황_20240630'!J197,""ko"",""en"")"),"126700")</f>
        <v>126700</v>
      </c>
    </row>
    <row r="198" spans="1:10" ht="12.5" x14ac:dyDescent="0.25">
      <c r="A198" s="1" t="str">
        <f ca="1">IFERROR(__xludf.DUMMYFUNCTION("GOOGLETRANSLATE('대전도시공사_청년임대주택 현황_20240630'!A198,""ko"",""en"")"),"Deokmyeong-dong 505-4 (The M House, youth rental)")</f>
        <v>Deokmyeong-dong 505-4 (The M House, youth rental)</v>
      </c>
      <c r="B198" s="1" t="str">
        <f ca="1">IFERROR(__xludf.DUMMYFUNCTION("GOOGLETRANSLATE('대전도시공사_청년임대주택 현황_20240630'!B198,""ko"",""en"")"),"2")</f>
        <v>2</v>
      </c>
      <c r="C198" s="1" t="str">
        <f ca="1">IFERROR(__xludf.DUMMYFUNCTION("GOOGLETRANSLATE('대전도시공사_청년임대주택 현황_20240630'!C198,""ko"",""en"")"),"1")</f>
        <v>1</v>
      </c>
      <c r="D198" s="1" t="str">
        <f ca="1">IFERROR(__xludf.DUMMYFUNCTION("GOOGLETRANSLATE('대전도시공사_청년임대주택 현황_20240630'!D198,""ko"",""en"")"),"201")</f>
        <v>201</v>
      </c>
      <c r="E198" s="1" t="str">
        <f ca="1">IFERROR(__xludf.DUMMYFUNCTION("GOOGLETRANSLATE('대전도시공사_청년임대주택 현황_20240630'!E198,""ko"",""en"")"),"58.313")</f>
        <v>58.313</v>
      </c>
      <c r="F198" s="1" t="str">
        <f ca="1">IFERROR(__xludf.DUMMYFUNCTION("GOOGLETRANSLATE('대전도시공사_청년임대주택 현황_20240630'!F198,""ko"",""en"")"),"49.14")</f>
        <v>49.14</v>
      </c>
      <c r="G198" s="1" t="str">
        <f ca="1">IFERROR(__xludf.DUMMYFUNCTION("GOOGLETRANSLATE('대전도시공사_청년임대주택 현황_20240630'!G198,""ko"",""en"")"),"9.173")</f>
        <v>9.173</v>
      </c>
      <c r="H198" s="1" t="str">
        <f ca="1">IFERROR(__xludf.DUMMYFUNCTION("GOOGLETRANSLATE('대전도시공사_청년임대주택 현황_20240630'!H198,""ko"",""en"")"),"Newlyweds 1 (40% of the total price)")</f>
        <v>Newlyweds 1 (40% of the total price)</v>
      </c>
      <c r="I198" s="1" t="str">
        <f ca="1">IFERROR(__xludf.DUMMYFUNCTION("GOOGLETRANSLATE('대전도시공사_청년임대주택 현황_20240630'!I198,""ko"",""en"")"),"8149000")</f>
        <v>8149000</v>
      </c>
      <c r="J198" s="1" t="str">
        <f ca="1">IFERROR(__xludf.DUMMYFUNCTION("GOOGLETRANSLATE('대전도시공사_청년임대주택 현황_20240630'!J198,""ko"",""en"")"),"185400")</f>
        <v>185400</v>
      </c>
    </row>
    <row r="199" spans="1:10" ht="12.5" x14ac:dyDescent="0.25">
      <c r="A199" s="1" t="str">
        <f ca="1">IFERROR(__xludf.DUMMYFUNCTION("GOOGLETRANSLATE('대전도시공사_청년임대주택 현황_20240630'!A199,""ko"",""en"")"),"Deokmyeong-dong 505-4 (The M House, youth rental)")</f>
        <v>Deokmyeong-dong 505-4 (The M House, youth rental)</v>
      </c>
      <c r="B199" s="1" t="str">
        <f ca="1">IFERROR(__xludf.DUMMYFUNCTION("GOOGLETRANSLATE('대전도시공사_청년임대주택 현황_20240630'!B199,""ko"",""en"")"),"3")</f>
        <v>3</v>
      </c>
      <c r="C199" s="1" t="str">
        <f ca="1">IFERROR(__xludf.DUMMYFUNCTION("GOOGLETRANSLATE('대전도시공사_청년임대주택 현황_20240630'!C199,""ko"",""en"")"),"1")</f>
        <v>1</v>
      </c>
      <c r="D199" s="1" t="str">
        <f ca="1">IFERROR(__xludf.DUMMYFUNCTION("GOOGLETRANSLATE('대전도시공사_청년임대주택 현황_20240630'!D199,""ko"",""en"")"),"201")</f>
        <v>201</v>
      </c>
      <c r="E199" s="1" t="str">
        <f ca="1">IFERROR(__xludf.DUMMYFUNCTION("GOOGLETRANSLATE('대전도시공사_청년임대주택 현황_20240630'!E199,""ko"",""en"")"),"58.313")</f>
        <v>58.313</v>
      </c>
      <c r="F199" s="1" t="str">
        <f ca="1">IFERROR(__xludf.DUMMYFUNCTION("GOOGLETRANSLATE('대전도시공사_청년임대주택 현황_20240630'!F199,""ko"",""en"")"),"49.14")</f>
        <v>49.14</v>
      </c>
      <c r="G199" s="1" t="str">
        <f ca="1">IFERROR(__xludf.DUMMYFUNCTION("GOOGLETRANSLATE('대전도시공사_청년임대주택 현황_20240630'!G199,""ko"",""en"")"),"9.173")</f>
        <v>9.173</v>
      </c>
      <c r="H199" s="1" t="str">
        <f ca="1">IFERROR(__xludf.DUMMYFUNCTION("GOOGLETRANSLATE('대전도시공사_청년임대주택 현황_20240630'!H199,""ko"",""en"")"),"Newlyweds 2 (70% of the total price)")</f>
        <v>Newlyweds 2 (70% of the total price)</v>
      </c>
      <c r="I199" s="1" t="str">
        <f ca="1">IFERROR(__xludf.DUMMYFUNCTION("GOOGLETRANSLATE('대전도시공사_청년임대주택 현황_20240630'!I199,""ko"",""en"")"),"8149000")</f>
        <v>8149000</v>
      </c>
      <c r="J199" s="1" t="str">
        <f ca="1">IFERROR(__xludf.DUMMYFUNCTION("GOOGLETRANSLATE('대전도시공사_청년임대주택 현황_20240630'!J199,""ko"",""en"")"),"361500")</f>
        <v>361500</v>
      </c>
    </row>
    <row r="200" spans="1:10" ht="12.5" x14ac:dyDescent="0.25">
      <c r="A200" s="1" t="str">
        <f ca="1">IFERROR(__xludf.DUMMYFUNCTION("GOOGLETRANSLATE('대전도시공사_청년임대주택 현황_20240630'!A200,""ko"",""en"")"),"Deokmyeong-dong 505-4 (The M House, youth rental)")</f>
        <v>Deokmyeong-dong 505-4 (The M House, youth rental)</v>
      </c>
      <c r="B200" s="1" t="str">
        <f ca="1">IFERROR(__xludf.DUMMYFUNCTION("GOOGLETRANSLATE('대전도시공사_청년임대주택 현황_20240630'!B200,""ko"",""en"")"),"4")</f>
        <v>4</v>
      </c>
      <c r="C200" s="1" t="str">
        <f ca="1">IFERROR(__xludf.DUMMYFUNCTION("GOOGLETRANSLATE('대전도시공사_청년임대주택 현황_20240630'!C200,""ko"",""en"")"),"1")</f>
        <v>1</v>
      </c>
      <c r="D200" s="1" t="str">
        <f ca="1">IFERROR(__xludf.DUMMYFUNCTION("GOOGLETRANSLATE('대전도시공사_청년임대주택 현황_20240630'!D200,""ko"",""en"")"),"201")</f>
        <v>201</v>
      </c>
      <c r="E200" s="1" t="str">
        <f ca="1">IFERROR(__xludf.DUMMYFUNCTION("GOOGLETRANSLATE('대전도시공사_청년임대주택 현황_20240630'!E200,""ko"",""en"")"),"58.313")</f>
        <v>58.313</v>
      </c>
      <c r="F200" s="1" t="str">
        <f ca="1">IFERROR(__xludf.DUMMYFUNCTION("GOOGLETRANSLATE('대전도시공사_청년임대주택 현황_20240630'!F200,""ko"",""en"")"),"49.14")</f>
        <v>49.14</v>
      </c>
      <c r="G200" s="1" t="str">
        <f ca="1">IFERROR(__xludf.DUMMYFUNCTION("GOOGLETRANSLATE('대전도시공사_청년임대주택 현황_20240630'!G200,""ko"",""en"")"),"9.173")</f>
        <v>9.173</v>
      </c>
      <c r="H200" s="1" t="str">
        <f ca="1">IFERROR(__xludf.DUMMYFUNCTION("GOOGLETRANSLATE('대전도시공사_청년임대주택 현황_20240630'!H200,""ko"",""en"")"),"Newlyweds 2 (80% of the total price)")</f>
        <v>Newlyweds 2 (80% of the total price)</v>
      </c>
      <c r="I200" s="1" t="str">
        <f ca="1">IFERROR(__xludf.DUMMYFUNCTION("GOOGLETRANSLATE('대전도시공사_청년임대주택 현황_20240630'!I200,""ko"",""en"")"),"8149000")</f>
        <v>8149000</v>
      </c>
      <c r="J200" s="1" t="str">
        <f ca="1">IFERROR(__xludf.DUMMYFUNCTION("GOOGLETRANSLATE('대전도시공사_청년임대주택 현황_20240630'!J200,""ko"",""en"")"),"420200")</f>
        <v>420200</v>
      </c>
    </row>
    <row r="201" spans="1:10" ht="12.5" x14ac:dyDescent="0.25">
      <c r="A201" s="1" t="str">
        <f ca="1">IFERROR(__xludf.DUMMYFUNCTION("GOOGLETRANSLATE('대전도시공사_청년임대주택 현황_20240630'!A201,""ko"",""en"")"),"Deokmyeong-dong 505-4 (The M House, youth rental)")</f>
        <v>Deokmyeong-dong 505-4 (The M House, youth rental)</v>
      </c>
      <c r="B201" s="1" t="str">
        <f ca="1">IFERROR(__xludf.DUMMYFUNCTION("GOOGLETRANSLATE('대전도시공사_청년임대주택 현황_20240630'!B201,""ko"",""en"")"),"5")</f>
        <v>5</v>
      </c>
      <c r="C201" s="1" t="str">
        <f ca="1">IFERROR(__xludf.DUMMYFUNCTION("GOOGLETRANSLATE('대전도시공사_청년임대주택 현황_20240630'!C201,""ko"",""en"")"),"1")</f>
        <v>1</v>
      </c>
      <c r="D201" s="1" t="str">
        <f ca="1">IFERROR(__xludf.DUMMYFUNCTION("GOOGLETRANSLATE('대전도시공사_청년임대주택 현황_20240630'!D201,""ko"",""en"")"),"202")</f>
        <v>202</v>
      </c>
      <c r="E201" s="1" t="str">
        <f ca="1">IFERROR(__xludf.DUMMYFUNCTION("GOOGLETRANSLATE('대전도시공사_청년임대주택 현황_20240630'!E201,""ko"",""en"")"),"36.098")</f>
        <v>36.098</v>
      </c>
      <c r="F201" s="1" t="str">
        <f ca="1">IFERROR(__xludf.DUMMYFUNCTION("GOOGLETRANSLATE('대전도시공사_청년임대주택 현황_20240630'!F201,""ko"",""en"")"),"30.42")</f>
        <v>30.42</v>
      </c>
      <c r="G201" s="1" t="str">
        <f ca="1">IFERROR(__xludf.DUMMYFUNCTION("GOOGLETRANSLATE('대전도시공사_청년임대주택 현황_20240630'!G201,""ko"",""en"")"),"5.678")</f>
        <v>5.678</v>
      </c>
      <c r="H201" s="1" t="str">
        <f ca="1">IFERROR(__xludf.DUMMYFUNCTION("GOOGLETRANSLATE('대전도시공사_청년임대주택 현황_20240630'!H201,""ko"",""en"")"),"Youth Rent 1st Place")</f>
        <v>Youth Rent 1st Place</v>
      </c>
      <c r="I201" s="1" t="str">
        <f ca="1">IFERROR(__xludf.DUMMYFUNCTION("GOOGLETRANSLATE('대전도시공사_청년임대주택 현황_20240630'!I201,""ko"",""en"")"),"1000000")</f>
        <v>1000000</v>
      </c>
      <c r="J201" s="1" t="str">
        <f ca="1">IFERROR(__xludf.DUMMYFUNCTION("GOOGLETRANSLATE('대전도시공사_청년임대주택 현황_20240630'!J201,""ko"",""en"")"),"109500")</f>
        <v>109500</v>
      </c>
    </row>
    <row r="202" spans="1:10" ht="12.5" x14ac:dyDescent="0.25">
      <c r="A202" s="1" t="str">
        <f ca="1">IFERROR(__xludf.DUMMYFUNCTION("GOOGLETRANSLATE('대전도시공사_청년임대주택 현황_20240630'!A202,""ko"",""en"")"),"Deokmyeong-dong 505-4 (The M House, youth rental)")</f>
        <v>Deokmyeong-dong 505-4 (The M House, youth rental)</v>
      </c>
      <c r="B202" s="1" t="str">
        <f ca="1">IFERROR(__xludf.DUMMYFUNCTION("GOOGLETRANSLATE('대전도시공사_청년임대주택 현황_20240630'!B202,""ko"",""en"")"),"6")</f>
        <v>6</v>
      </c>
      <c r="C202" s="1" t="str">
        <f ca="1">IFERROR(__xludf.DUMMYFUNCTION("GOOGLETRANSLATE('대전도시공사_청년임대주택 현황_20240630'!C202,""ko"",""en"")"),"1")</f>
        <v>1</v>
      </c>
      <c r="D202" s="1" t="str">
        <f ca="1">IFERROR(__xludf.DUMMYFUNCTION("GOOGLETRANSLATE('대전도시공사_청년임대주택 현황_20240630'!D202,""ko"",""en"")"),"202")</f>
        <v>202</v>
      </c>
      <c r="E202" s="1" t="str">
        <f ca="1">IFERROR(__xludf.DUMMYFUNCTION("GOOGLETRANSLATE('대전도시공사_청년임대주택 현황_20240630'!E202,""ko"",""en"")"),"36.098")</f>
        <v>36.098</v>
      </c>
      <c r="F202" s="1" t="str">
        <f ca="1">IFERROR(__xludf.DUMMYFUNCTION("GOOGLETRANSLATE('대전도시공사_청년임대주택 현황_20240630'!F202,""ko"",""en"")"),"30.42")</f>
        <v>30.42</v>
      </c>
      <c r="G202" s="1" t="str">
        <f ca="1">IFERROR(__xludf.DUMMYFUNCTION("GOOGLETRANSLATE('대전도시공사_청년임대주택 현황_20240630'!G202,""ko"",""en"")"),"5.678")</f>
        <v>5.678</v>
      </c>
      <c r="H202" s="1" t="str">
        <f ca="1">IFERROR(__xludf.DUMMYFUNCTION("GOOGLETRANSLATE('대전도시공사_청년임대주택 현황_20240630'!H202,""ko"",""en"")"),"Youth Rental 2nd Place")</f>
        <v>Youth Rental 2nd Place</v>
      </c>
      <c r="I202" s="1" t="str">
        <f ca="1">IFERROR(__xludf.DUMMYFUNCTION("GOOGLETRANSLATE('대전도시공사_청년임대주택 현황_20240630'!I202,""ko"",""en"")"),"2000000")</f>
        <v>2000000</v>
      </c>
      <c r="J202" s="1" t="str">
        <f ca="1">IFERROR(__xludf.DUMMYFUNCTION("GOOGLETRANSLATE('대전도시공사_청년임대주택 현황_20240630'!J202,""ko"",""en"")"),"179800")</f>
        <v>179800</v>
      </c>
    </row>
    <row r="203" spans="1:10" ht="12.5" x14ac:dyDescent="0.25">
      <c r="A203" s="1" t="str">
        <f ca="1">IFERROR(__xludf.DUMMYFUNCTION("GOOGLETRANSLATE('대전도시공사_청년임대주택 현황_20240630'!A203,""ko"",""en"")"),"Deokmyeong-dong 505-4 (The M House, youth rental)")</f>
        <v>Deokmyeong-dong 505-4 (The M House, youth rental)</v>
      </c>
      <c r="B203" s="1" t="str">
        <f ca="1">IFERROR(__xludf.DUMMYFUNCTION("GOOGLETRANSLATE('대전도시공사_청년임대주택 현황_20240630'!B203,""ko"",""en"")"),"7")</f>
        <v>7</v>
      </c>
      <c r="C203" s="1" t="str">
        <f ca="1">IFERROR(__xludf.DUMMYFUNCTION("GOOGLETRANSLATE('대전도시공사_청년임대주택 현황_20240630'!C203,""ko"",""en"")"),"1")</f>
        <v>1</v>
      </c>
      <c r="D203" s="1" t="str">
        <f ca="1">IFERROR(__xludf.DUMMYFUNCTION("GOOGLETRANSLATE('대전도시공사_청년임대주택 현황_20240630'!D203,""ko"",""en"")"),"202")</f>
        <v>202</v>
      </c>
      <c r="E203" s="1" t="str">
        <f ca="1">IFERROR(__xludf.DUMMYFUNCTION("GOOGLETRANSLATE('대전도시공사_청년임대주택 현황_20240630'!E203,""ko"",""en"")"),"36.098")</f>
        <v>36.098</v>
      </c>
      <c r="F203" s="1" t="str">
        <f ca="1">IFERROR(__xludf.DUMMYFUNCTION("GOOGLETRANSLATE('대전도시공사_청년임대주택 현황_20240630'!F203,""ko"",""en"")"),"30.42")</f>
        <v>30.42</v>
      </c>
      <c r="G203" s="1" t="str">
        <f ca="1">IFERROR(__xludf.DUMMYFUNCTION("GOOGLETRANSLATE('대전도시공사_청년임대주택 현황_20240630'!G203,""ko"",""en"")"),"5.678")</f>
        <v>5.678</v>
      </c>
      <c r="H203" s="1" t="str">
        <f ca="1">IFERROR(__xludf.DUMMYFUNCTION("GOOGLETRANSLATE('대전도시공사_청년임대주택 현황_20240630'!H203,""ko"",""en"")"),"3rd place for youth rental")</f>
        <v>3rd place for youth rental</v>
      </c>
      <c r="I203" s="1" t="str">
        <f ca="1">IFERROR(__xludf.DUMMYFUNCTION("GOOGLETRANSLATE('대전도시공사_청년임대주택 현황_20240630'!I203,""ko"",""en"")"),"2000000")</f>
        <v>2000000</v>
      </c>
      <c r="J203" s="1" t="str">
        <f ca="1">IFERROR(__xludf.DUMMYFUNCTION("GOOGLETRANSLATE('대전도시공사_청년임대주택 현황_20240630'!J203,""ko"",""en"")"),"179800")</f>
        <v>179800</v>
      </c>
    </row>
    <row r="204" spans="1:10" ht="12.5" x14ac:dyDescent="0.25">
      <c r="A204" s="1" t="str">
        <f ca="1">IFERROR(__xludf.DUMMYFUNCTION("GOOGLETRANSLATE('대전도시공사_청년임대주택 현황_20240630'!A204,""ko"",""en"")"),"Deokmyeong-dong 505-4 (The M House, youth rental)")</f>
        <v>Deokmyeong-dong 505-4 (The M House, youth rental)</v>
      </c>
      <c r="B204" s="1" t="str">
        <f ca="1">IFERROR(__xludf.DUMMYFUNCTION("GOOGLETRANSLATE('대전도시공사_청년임대주택 현황_20240630'!B204,""ko"",""en"")"),"8")</f>
        <v>8</v>
      </c>
      <c r="C204" s="1" t="str">
        <f ca="1">IFERROR(__xludf.DUMMYFUNCTION("GOOGLETRANSLATE('대전도시공사_청년임대주택 현황_20240630'!C204,""ko"",""en"")"),"1")</f>
        <v>1</v>
      </c>
      <c r="D204" s="1" t="str">
        <f ca="1">IFERROR(__xludf.DUMMYFUNCTION("GOOGLETRANSLATE('대전도시공사_청년임대주택 현황_20240630'!D204,""ko"",""en"")"),"202")</f>
        <v>202</v>
      </c>
      <c r="E204" s="1" t="str">
        <f ca="1">IFERROR(__xludf.DUMMYFUNCTION("GOOGLETRANSLATE('대전도시공사_청년임대주택 현황_20240630'!E204,""ko"",""en"")"),"36.098")</f>
        <v>36.098</v>
      </c>
      <c r="F204" s="1" t="str">
        <f ca="1">IFERROR(__xludf.DUMMYFUNCTION("GOOGLETRANSLATE('대전도시공사_청년임대주택 현황_20240630'!F204,""ko"",""en"")"),"30.42")</f>
        <v>30.42</v>
      </c>
      <c r="G204" s="1" t="str">
        <f ca="1">IFERROR(__xludf.DUMMYFUNCTION("GOOGLETRANSLATE('대전도시공사_청년임대주택 현황_20240630'!G204,""ko"",""en"")"),"5.678")</f>
        <v>5.678</v>
      </c>
      <c r="H204" s="1" t="str">
        <f ca="1">IFERROR(__xludf.DUMMYFUNCTION("GOOGLETRANSLATE('대전도시공사_청년임대주택 현황_20240630'!H204,""ko"",""en"")"),"4th place for youth rental")</f>
        <v>4th place for youth rental</v>
      </c>
      <c r="I204" s="1" t="str">
        <f ca="1">IFERROR(__xludf.DUMMYFUNCTION("GOOGLETRANSLATE('대전도시공사_청년임대주택 현황_20240630'!I204,""ko"",""en"")"),"2000000")</f>
        <v>2000000</v>
      </c>
      <c r="J204" s="1" t="str">
        <f ca="1">IFERROR(__xludf.DUMMYFUNCTION("GOOGLETRANSLATE('대전도시공사_청년임대주택 현황_20240630'!J204,""ko"",""en"")"),"179800")</f>
        <v>179800</v>
      </c>
    </row>
    <row r="205" spans="1:10" ht="12.5" x14ac:dyDescent="0.25">
      <c r="A205" s="1" t="str">
        <f ca="1">IFERROR(__xludf.DUMMYFUNCTION("GOOGLETRANSLATE('대전도시공사_청년임대주택 현황_20240630'!A205,""ko"",""en"")"),"Deokmyeong-dong 505-4 (The M House, youth rental)")</f>
        <v>Deokmyeong-dong 505-4 (The M House, youth rental)</v>
      </c>
      <c r="B205" s="1" t="str">
        <f ca="1">IFERROR(__xludf.DUMMYFUNCTION("GOOGLETRANSLATE('대전도시공사_청년임대주택 현황_20240630'!B205,""ko"",""en"")"),"9")</f>
        <v>9</v>
      </c>
      <c r="C205" s="1" t="str">
        <f ca="1">IFERROR(__xludf.DUMMYFUNCTION("GOOGLETRANSLATE('대전도시공사_청년임대주택 현황_20240630'!C205,""ko"",""en"")"),"1")</f>
        <v>1</v>
      </c>
      <c r="D205" s="1" t="str">
        <f ca="1">IFERROR(__xludf.DUMMYFUNCTION("GOOGLETRANSLATE('대전도시공사_청년임대주택 현황_20240630'!D205,""ko"",""en"")"),"203")</f>
        <v>203</v>
      </c>
      <c r="E205" s="1" t="str">
        <f ca="1">IFERROR(__xludf.DUMMYFUNCTION("GOOGLETRANSLATE('대전도시공사_청년임대주택 현황_20240630'!E205,""ko"",""en"")"),"36.098")</f>
        <v>36.098</v>
      </c>
      <c r="F205" s="1" t="str">
        <f ca="1">IFERROR(__xludf.DUMMYFUNCTION("GOOGLETRANSLATE('대전도시공사_청년임대주택 현황_20240630'!F205,""ko"",""en"")"),"30.42")</f>
        <v>30.42</v>
      </c>
      <c r="G205" s="1" t="str">
        <f ca="1">IFERROR(__xludf.DUMMYFUNCTION("GOOGLETRANSLATE('대전도시공사_청년임대주택 현황_20240630'!G205,""ko"",""en"")"),"5.678")</f>
        <v>5.678</v>
      </c>
      <c r="H205" s="1" t="str">
        <f ca="1">IFERROR(__xludf.DUMMYFUNCTION("GOOGLETRANSLATE('대전도시공사_청년임대주택 현황_20240630'!H205,""ko"",""en"")"),"Youth Rent 1st Place")</f>
        <v>Youth Rent 1st Place</v>
      </c>
      <c r="I205" s="1" t="str">
        <f ca="1">IFERROR(__xludf.DUMMYFUNCTION("GOOGLETRANSLATE('대전도시공사_청년임대주택 현황_20240630'!I205,""ko"",""en"")"),"1000000")</f>
        <v>1000000</v>
      </c>
      <c r="J205" s="1" t="str">
        <f ca="1">IFERROR(__xludf.DUMMYFUNCTION("GOOGLETRANSLATE('대전도시공사_청년임대주택 현황_20240630'!J205,""ko"",""en"")"),"111900")</f>
        <v>111900</v>
      </c>
    </row>
    <row r="206" spans="1:10" ht="12.5" x14ac:dyDescent="0.25">
      <c r="A206" s="1" t="str">
        <f ca="1">IFERROR(__xludf.DUMMYFUNCTION("GOOGLETRANSLATE('대전도시공사_청년임대주택 현황_20240630'!A206,""ko"",""en"")"),"Deokmyeong-dong 505-4 (The M House, youth rental)")</f>
        <v>Deokmyeong-dong 505-4 (The M House, youth rental)</v>
      </c>
      <c r="B206" s="1" t="str">
        <f ca="1">IFERROR(__xludf.DUMMYFUNCTION("GOOGLETRANSLATE('대전도시공사_청년임대주택 현황_20240630'!B206,""ko"",""en"")"),"10")</f>
        <v>10</v>
      </c>
      <c r="C206" s="1" t="str">
        <f ca="1">IFERROR(__xludf.DUMMYFUNCTION("GOOGLETRANSLATE('대전도시공사_청년임대주택 현황_20240630'!C206,""ko"",""en"")"),"1")</f>
        <v>1</v>
      </c>
      <c r="D206" s="1" t="str">
        <f ca="1">IFERROR(__xludf.DUMMYFUNCTION("GOOGLETRANSLATE('대전도시공사_청년임대주택 현황_20240630'!D206,""ko"",""en"")"),"203")</f>
        <v>203</v>
      </c>
      <c r="E206" s="1" t="str">
        <f ca="1">IFERROR(__xludf.DUMMYFUNCTION("GOOGLETRANSLATE('대전도시공사_청년임대주택 현황_20240630'!E206,""ko"",""en"")"),"36.098")</f>
        <v>36.098</v>
      </c>
      <c r="F206" s="1" t="str">
        <f ca="1">IFERROR(__xludf.DUMMYFUNCTION("GOOGLETRANSLATE('대전도시공사_청년임대주택 현황_20240630'!F206,""ko"",""en"")"),"30.42")</f>
        <v>30.42</v>
      </c>
      <c r="G206" s="1" t="str">
        <f ca="1">IFERROR(__xludf.DUMMYFUNCTION("GOOGLETRANSLATE('대전도시공사_청년임대주택 현황_20240630'!G206,""ko"",""en"")"),"5.678")</f>
        <v>5.678</v>
      </c>
      <c r="H206" s="1" t="str">
        <f ca="1">IFERROR(__xludf.DUMMYFUNCTION("GOOGLETRANSLATE('대전도시공사_청년임대주택 현황_20240630'!H206,""ko"",""en"")"),"Youth Rental 2nd Place")</f>
        <v>Youth Rental 2nd Place</v>
      </c>
      <c r="I206" s="1" t="str">
        <f ca="1">IFERROR(__xludf.DUMMYFUNCTION("GOOGLETRANSLATE('대전도시공사_청년임대주택 현황_20240630'!I206,""ko"",""en"")"),"2000000")</f>
        <v>2000000</v>
      </c>
      <c r="J206" s="1" t="str">
        <f ca="1">IFERROR(__xludf.DUMMYFUNCTION("GOOGLETRANSLATE('대전도시공사_청년임대주택 현황_20240630'!J206,""ko"",""en"")"),"183700")</f>
        <v>183700</v>
      </c>
    </row>
    <row r="207" spans="1:10" ht="12.5" x14ac:dyDescent="0.25">
      <c r="A207" s="1" t="str">
        <f ca="1">IFERROR(__xludf.DUMMYFUNCTION("GOOGLETRANSLATE('대전도시공사_청년임대주택 현황_20240630'!A207,""ko"",""en"")"),"Deokmyeong-dong 505-4 (The M House, youth rental)")</f>
        <v>Deokmyeong-dong 505-4 (The M House, youth rental)</v>
      </c>
      <c r="B207" s="1" t="str">
        <f ca="1">IFERROR(__xludf.DUMMYFUNCTION("GOOGLETRANSLATE('대전도시공사_청년임대주택 현황_20240630'!B207,""ko"",""en"")"),"11")</f>
        <v>11</v>
      </c>
      <c r="C207" s="1" t="str">
        <f ca="1">IFERROR(__xludf.DUMMYFUNCTION("GOOGLETRANSLATE('대전도시공사_청년임대주택 현황_20240630'!C207,""ko"",""en"")"),"1")</f>
        <v>1</v>
      </c>
      <c r="D207" s="1" t="str">
        <f ca="1">IFERROR(__xludf.DUMMYFUNCTION("GOOGLETRANSLATE('대전도시공사_청년임대주택 현황_20240630'!D207,""ko"",""en"")"),"203")</f>
        <v>203</v>
      </c>
      <c r="E207" s="1" t="str">
        <f ca="1">IFERROR(__xludf.DUMMYFUNCTION("GOOGLETRANSLATE('대전도시공사_청년임대주택 현황_20240630'!E207,""ko"",""en"")"),"36.098")</f>
        <v>36.098</v>
      </c>
      <c r="F207" s="1" t="str">
        <f ca="1">IFERROR(__xludf.DUMMYFUNCTION("GOOGLETRANSLATE('대전도시공사_청년임대주택 현황_20240630'!F207,""ko"",""en"")"),"30.42")</f>
        <v>30.42</v>
      </c>
      <c r="G207" s="1" t="str">
        <f ca="1">IFERROR(__xludf.DUMMYFUNCTION("GOOGLETRANSLATE('대전도시공사_청년임대주택 현황_20240630'!G207,""ko"",""en"")"),"5.678")</f>
        <v>5.678</v>
      </c>
      <c r="H207" s="1" t="str">
        <f ca="1">IFERROR(__xludf.DUMMYFUNCTION("GOOGLETRANSLATE('대전도시공사_청년임대주택 현황_20240630'!H207,""ko"",""en"")"),"3rd place for youth rental")</f>
        <v>3rd place for youth rental</v>
      </c>
      <c r="I207" s="1" t="str">
        <f ca="1">IFERROR(__xludf.DUMMYFUNCTION("GOOGLETRANSLATE('대전도시공사_청년임대주택 현황_20240630'!I207,""ko"",""en"")"),"2000000")</f>
        <v>2000000</v>
      </c>
      <c r="J207" s="1" t="str">
        <f ca="1">IFERROR(__xludf.DUMMYFUNCTION("GOOGLETRANSLATE('대전도시공사_청년임대주택 현황_20240630'!J207,""ko"",""en"")"),"183700")</f>
        <v>183700</v>
      </c>
    </row>
    <row r="208" spans="1:10" ht="12.5" x14ac:dyDescent="0.25">
      <c r="A208" s="1" t="str">
        <f ca="1">IFERROR(__xludf.DUMMYFUNCTION("GOOGLETRANSLATE('대전도시공사_청년임대주택 현황_20240630'!A208,""ko"",""en"")"),"Deokmyeong-dong 505-4 (The M House, youth rental)")</f>
        <v>Deokmyeong-dong 505-4 (The M House, youth rental)</v>
      </c>
      <c r="B208" s="1" t="str">
        <f ca="1">IFERROR(__xludf.DUMMYFUNCTION("GOOGLETRANSLATE('대전도시공사_청년임대주택 현황_20240630'!B208,""ko"",""en"")"),"12")</f>
        <v>12</v>
      </c>
      <c r="C208" s="1" t="str">
        <f ca="1">IFERROR(__xludf.DUMMYFUNCTION("GOOGLETRANSLATE('대전도시공사_청년임대주택 현황_20240630'!C208,""ko"",""en"")"),"1")</f>
        <v>1</v>
      </c>
      <c r="D208" s="1" t="str">
        <f ca="1">IFERROR(__xludf.DUMMYFUNCTION("GOOGLETRANSLATE('대전도시공사_청년임대주택 현황_20240630'!D208,""ko"",""en"")"),"203")</f>
        <v>203</v>
      </c>
      <c r="E208" s="1" t="str">
        <f ca="1">IFERROR(__xludf.DUMMYFUNCTION("GOOGLETRANSLATE('대전도시공사_청년임대주택 현황_20240630'!E208,""ko"",""en"")"),"36.098")</f>
        <v>36.098</v>
      </c>
      <c r="F208" s="1" t="str">
        <f ca="1">IFERROR(__xludf.DUMMYFUNCTION("GOOGLETRANSLATE('대전도시공사_청년임대주택 현황_20240630'!F208,""ko"",""en"")"),"30.42")</f>
        <v>30.42</v>
      </c>
      <c r="G208" s="1" t="str">
        <f ca="1">IFERROR(__xludf.DUMMYFUNCTION("GOOGLETRANSLATE('대전도시공사_청년임대주택 현황_20240630'!G208,""ko"",""en"")"),"5.678")</f>
        <v>5.678</v>
      </c>
      <c r="H208" s="1" t="str">
        <f ca="1">IFERROR(__xludf.DUMMYFUNCTION("GOOGLETRANSLATE('대전도시공사_청년임대주택 현황_20240630'!H208,""ko"",""en"")"),"4th place for youth rental")</f>
        <v>4th place for youth rental</v>
      </c>
      <c r="I208" s="1" t="str">
        <f ca="1">IFERROR(__xludf.DUMMYFUNCTION("GOOGLETRANSLATE('대전도시공사_청년임대주택 현황_20240630'!I208,""ko"",""en"")"),"2000000")</f>
        <v>2000000</v>
      </c>
      <c r="J208" s="1" t="str">
        <f ca="1">IFERROR(__xludf.DUMMYFUNCTION("GOOGLETRANSLATE('대전도시공사_청년임대주택 현황_20240630'!J208,""ko"",""en"")"),"183700")</f>
        <v>183700</v>
      </c>
    </row>
    <row r="209" spans="1:10" ht="12.5" x14ac:dyDescent="0.25">
      <c r="A209" s="1" t="str">
        <f ca="1">IFERROR(__xludf.DUMMYFUNCTION("GOOGLETRANSLATE('대전도시공사_청년임대주택 현황_20240630'!A209,""ko"",""en"")"),"Deokmyeong-dong 505-4 (The M House, youth rental)")</f>
        <v>Deokmyeong-dong 505-4 (The M House, youth rental)</v>
      </c>
      <c r="B209" s="1" t="str">
        <f ca="1">IFERROR(__xludf.DUMMYFUNCTION("GOOGLETRANSLATE('대전도시공사_청년임대주택 현황_20240630'!B209,""ko"",""en"")"),"13")</f>
        <v>13</v>
      </c>
      <c r="C209" s="1" t="str">
        <f ca="1">IFERROR(__xludf.DUMMYFUNCTION("GOOGLETRANSLATE('대전도시공사_청년임대주택 현황_20240630'!C209,""ko"",""en"")"),"1")</f>
        <v>1</v>
      </c>
      <c r="D209" s="1" t="str">
        <f ca="1">IFERROR(__xludf.DUMMYFUNCTION("GOOGLETRANSLATE('대전도시공사_청년임대주택 현황_20240630'!D209,""ko"",""en"")"),"204")</f>
        <v>204</v>
      </c>
      <c r="E209" s="1" t="str">
        <f ca="1">IFERROR(__xludf.DUMMYFUNCTION("GOOGLETRANSLATE('대전도시공사_청년임대주택 현황_20240630'!E209,""ko"",""en"")"),"75.78")</f>
        <v>75.78</v>
      </c>
      <c r="F209" s="1" t="str">
        <f ca="1">IFERROR(__xludf.DUMMYFUNCTION("GOOGLETRANSLATE('대전도시공사_청년임대주택 현황_20240630'!F209,""ko"",""en"")"),"63.86")</f>
        <v>63.86</v>
      </c>
      <c r="G209" s="1" t="str">
        <f ca="1">IFERROR(__xludf.DUMMYFUNCTION("GOOGLETRANSLATE('대전도시공사_청년임대주택 현황_20240630'!G209,""ko"",""en"")"),"11.92")</f>
        <v>11.92</v>
      </c>
      <c r="H209" s="1" t="str">
        <f ca="1">IFERROR(__xludf.DUMMYFUNCTION("GOOGLETRANSLATE('대전도시공사_청년임대주택 현황_20240630'!H209,""ko"",""en"")"),"Newlyweds 1 (30% of the total price)")</f>
        <v>Newlyweds 1 (30% of the total price)</v>
      </c>
      <c r="I209" s="1" t="str">
        <f ca="1">IFERROR(__xludf.DUMMYFUNCTION("GOOGLETRANSLATE('대전도시공사_청년임대주택 현황_20240630'!I209,""ko"",""en"")"),"10590000")</f>
        <v>10590000</v>
      </c>
      <c r="J209" s="1" t="str">
        <f ca="1">IFERROR(__xludf.DUMMYFUNCTION("GOOGLETRANSLATE('대전도시공사_청년임대주택 현황_20240630'!J209,""ko"",""en"")"),"162100")</f>
        <v>162100</v>
      </c>
    </row>
    <row r="210" spans="1:10" ht="12.5" x14ac:dyDescent="0.25">
      <c r="A210" s="1" t="str">
        <f ca="1">IFERROR(__xludf.DUMMYFUNCTION("GOOGLETRANSLATE('대전도시공사_청년임대주택 현황_20240630'!A210,""ko"",""en"")"),"Deokmyeong-dong 505-4 (The M House, youth rental)")</f>
        <v>Deokmyeong-dong 505-4 (The M House, youth rental)</v>
      </c>
      <c r="B210" s="1" t="str">
        <f ca="1">IFERROR(__xludf.DUMMYFUNCTION("GOOGLETRANSLATE('대전도시공사_청년임대주택 현황_20240630'!B210,""ko"",""en"")"),"14")</f>
        <v>14</v>
      </c>
      <c r="C210" s="1" t="str">
        <f ca="1">IFERROR(__xludf.DUMMYFUNCTION("GOOGLETRANSLATE('대전도시공사_청년임대주택 현황_20240630'!C210,""ko"",""en"")"),"1")</f>
        <v>1</v>
      </c>
      <c r="D210" s="1" t="str">
        <f ca="1">IFERROR(__xludf.DUMMYFUNCTION("GOOGLETRANSLATE('대전도시공사_청년임대주택 현황_20240630'!D210,""ko"",""en"")"),"204")</f>
        <v>204</v>
      </c>
      <c r="E210" s="1" t="str">
        <f ca="1">IFERROR(__xludf.DUMMYFUNCTION("GOOGLETRANSLATE('대전도시공사_청년임대주택 현황_20240630'!E210,""ko"",""en"")"),"75.78")</f>
        <v>75.78</v>
      </c>
      <c r="F210" s="1" t="str">
        <f ca="1">IFERROR(__xludf.DUMMYFUNCTION("GOOGLETRANSLATE('대전도시공사_청년임대주택 현황_20240630'!F210,""ko"",""en"")"),"63.86")</f>
        <v>63.86</v>
      </c>
      <c r="G210" s="1" t="str">
        <f ca="1">IFERROR(__xludf.DUMMYFUNCTION("GOOGLETRANSLATE('대전도시공사_청년임대주택 현황_20240630'!G210,""ko"",""en"")"),"11.92")</f>
        <v>11.92</v>
      </c>
      <c r="H210" s="1" t="str">
        <f ca="1">IFERROR(__xludf.DUMMYFUNCTION("GOOGLETRANSLATE('대전도시공사_청년임대주택 현황_20240630'!H210,""ko"",""en"")"),"Newlyweds 1 (40% of the total price)")</f>
        <v>Newlyweds 1 (40% of the total price)</v>
      </c>
      <c r="I210" s="1" t="str">
        <f ca="1">IFERROR(__xludf.DUMMYFUNCTION("GOOGLETRANSLATE('대전도시공사_청년임대주택 현황_20240630'!I210,""ko"",""en"")"),"10590000")</f>
        <v>10590000</v>
      </c>
      <c r="J210" s="1" t="str">
        <f ca="1">IFERROR(__xludf.DUMMYFUNCTION("GOOGLETRANSLATE('대전도시공사_청년임대주택 현황_20240630'!J210,""ko"",""en"")"),"237500")</f>
        <v>237500</v>
      </c>
    </row>
    <row r="211" spans="1:10" ht="12.5" x14ac:dyDescent="0.25">
      <c r="A211" s="1" t="str">
        <f ca="1">IFERROR(__xludf.DUMMYFUNCTION("GOOGLETRANSLATE('대전도시공사_청년임대주택 현황_20240630'!A211,""ko"",""en"")"),"Deokmyeong-dong 505-4 (The M House, youth rental)")</f>
        <v>Deokmyeong-dong 505-4 (The M House, youth rental)</v>
      </c>
      <c r="B211" s="1" t="str">
        <f ca="1">IFERROR(__xludf.DUMMYFUNCTION("GOOGLETRANSLATE('대전도시공사_청년임대주택 현황_20240630'!B211,""ko"",""en"")"),"15")</f>
        <v>15</v>
      </c>
      <c r="C211" s="1" t="str">
        <f ca="1">IFERROR(__xludf.DUMMYFUNCTION("GOOGLETRANSLATE('대전도시공사_청년임대주택 현황_20240630'!C211,""ko"",""en"")"),"1")</f>
        <v>1</v>
      </c>
      <c r="D211" s="1" t="str">
        <f ca="1">IFERROR(__xludf.DUMMYFUNCTION("GOOGLETRANSLATE('대전도시공사_청년임대주택 현황_20240630'!D211,""ko"",""en"")"),"204")</f>
        <v>204</v>
      </c>
      <c r="E211" s="1" t="str">
        <f ca="1">IFERROR(__xludf.DUMMYFUNCTION("GOOGLETRANSLATE('대전도시공사_청년임대주택 현황_20240630'!E211,""ko"",""en"")"),"75.78")</f>
        <v>75.78</v>
      </c>
      <c r="F211" s="1" t="str">
        <f ca="1">IFERROR(__xludf.DUMMYFUNCTION("GOOGLETRANSLATE('대전도시공사_청년임대주택 현황_20240630'!F211,""ko"",""en"")"),"63.86")</f>
        <v>63.86</v>
      </c>
      <c r="G211" s="1" t="str">
        <f ca="1">IFERROR(__xludf.DUMMYFUNCTION("GOOGLETRANSLATE('대전도시공사_청년임대주택 현황_20240630'!G211,""ko"",""en"")"),"11.92")</f>
        <v>11.92</v>
      </c>
      <c r="H211" s="1" t="str">
        <f ca="1">IFERROR(__xludf.DUMMYFUNCTION("GOOGLETRANSLATE('대전도시공사_청년임대주택 현황_20240630'!H211,""ko"",""en"")"),"Newlyweds 2 (70% of the total price)")</f>
        <v>Newlyweds 2 (70% of the total price)</v>
      </c>
      <c r="I211" s="1" t="str">
        <f ca="1">IFERROR(__xludf.DUMMYFUNCTION("GOOGLETRANSLATE('대전도시공사_청년임대주택 현황_20240630'!I211,""ko"",""en"")"),"10590000")</f>
        <v>10590000</v>
      </c>
      <c r="J211" s="1" t="str">
        <f ca="1">IFERROR(__xludf.DUMMYFUNCTION("GOOGLETRANSLATE('대전도시공사_청년임대주택 현황_20240630'!J211,""ko"",""en"")"),"463700")</f>
        <v>463700</v>
      </c>
    </row>
    <row r="212" spans="1:10" ht="12.5" x14ac:dyDescent="0.25">
      <c r="A212" s="1" t="str">
        <f ca="1">IFERROR(__xludf.DUMMYFUNCTION("GOOGLETRANSLATE('대전도시공사_청년임대주택 현황_20240630'!A212,""ko"",""en"")"),"Deokmyeong-dong 505-4 (The M House, youth rental)")</f>
        <v>Deokmyeong-dong 505-4 (The M House, youth rental)</v>
      </c>
      <c r="B212" s="1" t="str">
        <f ca="1">IFERROR(__xludf.DUMMYFUNCTION("GOOGLETRANSLATE('대전도시공사_청년임대주택 현황_20240630'!B212,""ko"",""en"")"),"16")</f>
        <v>16</v>
      </c>
      <c r="C212" s="1" t="str">
        <f ca="1">IFERROR(__xludf.DUMMYFUNCTION("GOOGLETRANSLATE('대전도시공사_청년임대주택 현황_20240630'!C212,""ko"",""en"")"),"1")</f>
        <v>1</v>
      </c>
      <c r="D212" s="1" t="str">
        <f ca="1">IFERROR(__xludf.DUMMYFUNCTION("GOOGLETRANSLATE('대전도시공사_청년임대주택 현황_20240630'!D212,""ko"",""en"")"),"204")</f>
        <v>204</v>
      </c>
      <c r="E212" s="1" t="str">
        <f ca="1">IFERROR(__xludf.DUMMYFUNCTION("GOOGLETRANSLATE('대전도시공사_청년임대주택 현황_20240630'!E212,""ko"",""en"")"),"75.78")</f>
        <v>75.78</v>
      </c>
      <c r="F212" s="1" t="str">
        <f ca="1">IFERROR(__xludf.DUMMYFUNCTION("GOOGLETRANSLATE('대전도시공사_청년임대주택 현황_20240630'!F212,""ko"",""en"")"),"63.86")</f>
        <v>63.86</v>
      </c>
      <c r="G212" s="1" t="str">
        <f ca="1">IFERROR(__xludf.DUMMYFUNCTION("GOOGLETRANSLATE('대전도시공사_청년임대주택 현황_20240630'!G212,""ko"",""en"")"),"11.92")</f>
        <v>11.92</v>
      </c>
      <c r="H212" s="1" t="str">
        <f ca="1">IFERROR(__xludf.DUMMYFUNCTION("GOOGLETRANSLATE('대전도시공사_청년임대주택 현황_20240630'!H212,""ko"",""en"")"),"Newlyweds 2 (80% of the total price)")</f>
        <v>Newlyweds 2 (80% of the total price)</v>
      </c>
      <c r="I212" s="1" t="str">
        <f ca="1">IFERROR(__xludf.DUMMYFUNCTION("GOOGLETRANSLATE('대전도시공사_청년임대주택 현황_20240630'!I212,""ko"",""en"")"),"10590000")</f>
        <v>10590000</v>
      </c>
      <c r="J212" s="1" t="str">
        <f ca="1">IFERROR(__xludf.DUMMYFUNCTION("GOOGLETRANSLATE('대전도시공사_청년임대주택 현황_20240630'!J212,""ko"",""en"")"),"539100")</f>
        <v>539100</v>
      </c>
    </row>
    <row r="213" spans="1:10" ht="12.5" x14ac:dyDescent="0.25">
      <c r="A213" s="1" t="str">
        <f ca="1">IFERROR(__xludf.DUMMYFUNCTION("GOOGLETRANSLATE('대전도시공사_청년임대주택 현황_20240630'!A213,""ko"",""en"")"),"Deokmyeong-dong 505-4 (The M House, youth rental)")</f>
        <v>Deokmyeong-dong 505-4 (The M House, youth rental)</v>
      </c>
      <c r="B213" s="1" t="str">
        <f ca="1">IFERROR(__xludf.DUMMYFUNCTION("GOOGLETRANSLATE('대전도시공사_청년임대주택 현황_20240630'!B213,""ko"",""en"")"),"17")</f>
        <v>17</v>
      </c>
      <c r="C213" s="1" t="str">
        <f ca="1">IFERROR(__xludf.DUMMYFUNCTION("GOOGLETRANSLATE('대전도시공사_청년임대주택 현황_20240630'!C213,""ko"",""en"")"),"1")</f>
        <v>1</v>
      </c>
      <c r="D213" s="1" t="str">
        <f ca="1">IFERROR(__xludf.DUMMYFUNCTION("GOOGLETRANSLATE('대전도시공사_청년임대주택 현황_20240630'!D213,""ko"",""en"")"),"301")</f>
        <v>301</v>
      </c>
      <c r="E213" s="1" t="str">
        <f ca="1">IFERROR(__xludf.DUMMYFUNCTION("GOOGLETRANSLATE('대전도시공사_청년임대주택 현황_20240630'!E213,""ko"",""en"")"),"58.313")</f>
        <v>58.313</v>
      </c>
      <c r="F213" s="1" t="str">
        <f ca="1">IFERROR(__xludf.DUMMYFUNCTION("GOOGLETRANSLATE('대전도시공사_청년임대주택 현황_20240630'!F213,""ko"",""en"")"),"49.14")</f>
        <v>49.14</v>
      </c>
      <c r="G213" s="1" t="str">
        <f ca="1">IFERROR(__xludf.DUMMYFUNCTION("GOOGLETRANSLATE('대전도시공사_청년임대주택 현황_20240630'!G213,""ko"",""en"")"),"9.173")</f>
        <v>9.173</v>
      </c>
      <c r="H213" s="1" t="str">
        <f ca="1">IFERROR(__xludf.DUMMYFUNCTION("GOOGLETRANSLATE('대전도시공사_청년임대주택 현황_20240630'!H213,""ko"",""en"")"),"Newlyweds 1 (30% of the total price)")</f>
        <v>Newlyweds 1 (30% of the total price)</v>
      </c>
      <c r="I213" s="1" t="str">
        <f ca="1">IFERROR(__xludf.DUMMYFUNCTION("GOOGLETRANSLATE('대전도시공사_청년임대주택 현황_20240630'!I213,""ko"",""en"")"),"8149000")</f>
        <v>8149000</v>
      </c>
      <c r="J213" s="1" t="str">
        <f ca="1">IFERROR(__xludf.DUMMYFUNCTION("GOOGLETRANSLATE('대전도시공사_청년임대주택 현황_20240630'!J213,""ko"",""en"")"),"126700")</f>
        <v>126700</v>
      </c>
    </row>
    <row r="214" spans="1:10" ht="12.5" x14ac:dyDescent="0.25">
      <c r="A214" s="1" t="str">
        <f ca="1">IFERROR(__xludf.DUMMYFUNCTION("GOOGLETRANSLATE('대전도시공사_청년임대주택 현황_20240630'!A214,""ko"",""en"")"),"Deokmyeong-dong 505-4 (The M House, youth rental)")</f>
        <v>Deokmyeong-dong 505-4 (The M House, youth rental)</v>
      </c>
      <c r="B214" s="1" t="str">
        <f ca="1">IFERROR(__xludf.DUMMYFUNCTION("GOOGLETRANSLATE('대전도시공사_청년임대주택 현황_20240630'!B214,""ko"",""en"")"),"18")</f>
        <v>18</v>
      </c>
      <c r="C214" s="1" t="str">
        <f ca="1">IFERROR(__xludf.DUMMYFUNCTION("GOOGLETRANSLATE('대전도시공사_청년임대주택 현황_20240630'!C214,""ko"",""en"")"),"1")</f>
        <v>1</v>
      </c>
      <c r="D214" s="1" t="str">
        <f ca="1">IFERROR(__xludf.DUMMYFUNCTION("GOOGLETRANSLATE('대전도시공사_청년임대주택 현황_20240630'!D214,""ko"",""en"")"),"301")</f>
        <v>301</v>
      </c>
      <c r="E214" s="1" t="str">
        <f ca="1">IFERROR(__xludf.DUMMYFUNCTION("GOOGLETRANSLATE('대전도시공사_청년임대주택 현황_20240630'!E214,""ko"",""en"")"),"58.313")</f>
        <v>58.313</v>
      </c>
      <c r="F214" s="1" t="str">
        <f ca="1">IFERROR(__xludf.DUMMYFUNCTION("GOOGLETRANSLATE('대전도시공사_청년임대주택 현황_20240630'!F214,""ko"",""en"")"),"49.14")</f>
        <v>49.14</v>
      </c>
      <c r="G214" s="1" t="str">
        <f ca="1">IFERROR(__xludf.DUMMYFUNCTION("GOOGLETRANSLATE('대전도시공사_청년임대주택 현황_20240630'!G214,""ko"",""en"")"),"9.173")</f>
        <v>9.173</v>
      </c>
      <c r="H214" s="1" t="str">
        <f ca="1">IFERROR(__xludf.DUMMYFUNCTION("GOOGLETRANSLATE('대전도시공사_청년임대주택 현황_20240630'!H214,""ko"",""en"")"),"Newlyweds 1 (40% of the total price)")</f>
        <v>Newlyweds 1 (40% of the total price)</v>
      </c>
      <c r="I214" s="1" t="str">
        <f ca="1">IFERROR(__xludf.DUMMYFUNCTION("GOOGLETRANSLATE('대전도시공사_청년임대주택 현황_20240630'!I214,""ko"",""en"")"),"8149000")</f>
        <v>8149000</v>
      </c>
      <c r="J214" s="1" t="str">
        <f ca="1">IFERROR(__xludf.DUMMYFUNCTION("GOOGLETRANSLATE('대전도시공사_청년임대주택 현황_20240630'!J214,""ko"",""en"")"),"185400")</f>
        <v>185400</v>
      </c>
    </row>
    <row r="215" spans="1:10" ht="12.5" x14ac:dyDescent="0.25">
      <c r="A215" s="1" t="str">
        <f ca="1">IFERROR(__xludf.DUMMYFUNCTION("GOOGLETRANSLATE('대전도시공사_청년임대주택 현황_20240630'!A215,""ko"",""en"")"),"Deokmyeong-dong 505-4 (The M House, youth rental)")</f>
        <v>Deokmyeong-dong 505-4 (The M House, youth rental)</v>
      </c>
      <c r="B215" s="1" t="str">
        <f ca="1">IFERROR(__xludf.DUMMYFUNCTION("GOOGLETRANSLATE('대전도시공사_청년임대주택 현황_20240630'!B215,""ko"",""en"")"),"19")</f>
        <v>19</v>
      </c>
      <c r="C215" s="1" t="str">
        <f ca="1">IFERROR(__xludf.DUMMYFUNCTION("GOOGLETRANSLATE('대전도시공사_청년임대주택 현황_20240630'!C215,""ko"",""en"")"),"1")</f>
        <v>1</v>
      </c>
      <c r="D215" s="1" t="str">
        <f ca="1">IFERROR(__xludf.DUMMYFUNCTION("GOOGLETRANSLATE('대전도시공사_청년임대주택 현황_20240630'!D215,""ko"",""en"")"),"301")</f>
        <v>301</v>
      </c>
      <c r="E215" s="1" t="str">
        <f ca="1">IFERROR(__xludf.DUMMYFUNCTION("GOOGLETRANSLATE('대전도시공사_청년임대주택 현황_20240630'!E215,""ko"",""en"")"),"58.313")</f>
        <v>58.313</v>
      </c>
      <c r="F215" s="1" t="str">
        <f ca="1">IFERROR(__xludf.DUMMYFUNCTION("GOOGLETRANSLATE('대전도시공사_청년임대주택 현황_20240630'!F215,""ko"",""en"")"),"49.14")</f>
        <v>49.14</v>
      </c>
      <c r="G215" s="1" t="str">
        <f ca="1">IFERROR(__xludf.DUMMYFUNCTION("GOOGLETRANSLATE('대전도시공사_청년임대주택 현황_20240630'!G215,""ko"",""en"")"),"9.173")</f>
        <v>9.173</v>
      </c>
      <c r="H215" s="1" t="str">
        <f ca="1">IFERROR(__xludf.DUMMYFUNCTION("GOOGLETRANSLATE('대전도시공사_청년임대주택 현황_20240630'!H215,""ko"",""en"")"),"Newlyweds 2 (70% of the total price)")</f>
        <v>Newlyweds 2 (70% of the total price)</v>
      </c>
      <c r="I215" s="1" t="str">
        <f ca="1">IFERROR(__xludf.DUMMYFUNCTION("GOOGLETRANSLATE('대전도시공사_청년임대주택 현황_20240630'!I215,""ko"",""en"")"),"8149000")</f>
        <v>8149000</v>
      </c>
      <c r="J215" s="1" t="str">
        <f ca="1">IFERROR(__xludf.DUMMYFUNCTION("GOOGLETRANSLATE('대전도시공사_청년임대주택 현황_20240630'!J215,""ko"",""en"")"),"361500")</f>
        <v>361500</v>
      </c>
    </row>
    <row r="216" spans="1:10" ht="12.5" x14ac:dyDescent="0.25">
      <c r="A216" s="1" t="str">
        <f ca="1">IFERROR(__xludf.DUMMYFUNCTION("GOOGLETRANSLATE('대전도시공사_청년임대주택 현황_20240630'!A216,""ko"",""en"")"),"Deokmyeong-dong 505-4 (The M House, youth rental)")</f>
        <v>Deokmyeong-dong 505-4 (The M House, youth rental)</v>
      </c>
      <c r="B216" s="1" t="str">
        <f ca="1">IFERROR(__xludf.DUMMYFUNCTION("GOOGLETRANSLATE('대전도시공사_청년임대주택 현황_20240630'!B216,""ko"",""en"")"),"20")</f>
        <v>20</v>
      </c>
      <c r="C216" s="1" t="str">
        <f ca="1">IFERROR(__xludf.DUMMYFUNCTION("GOOGLETRANSLATE('대전도시공사_청년임대주택 현황_20240630'!C216,""ko"",""en"")"),"1")</f>
        <v>1</v>
      </c>
      <c r="D216" s="1" t="str">
        <f ca="1">IFERROR(__xludf.DUMMYFUNCTION("GOOGLETRANSLATE('대전도시공사_청년임대주택 현황_20240630'!D216,""ko"",""en"")"),"301")</f>
        <v>301</v>
      </c>
      <c r="E216" s="1" t="str">
        <f ca="1">IFERROR(__xludf.DUMMYFUNCTION("GOOGLETRANSLATE('대전도시공사_청년임대주택 현황_20240630'!E216,""ko"",""en"")"),"58.313")</f>
        <v>58.313</v>
      </c>
      <c r="F216" s="1" t="str">
        <f ca="1">IFERROR(__xludf.DUMMYFUNCTION("GOOGLETRANSLATE('대전도시공사_청년임대주택 현황_20240630'!F216,""ko"",""en"")"),"49.14")</f>
        <v>49.14</v>
      </c>
      <c r="G216" s="1" t="str">
        <f ca="1">IFERROR(__xludf.DUMMYFUNCTION("GOOGLETRANSLATE('대전도시공사_청년임대주택 현황_20240630'!G216,""ko"",""en"")"),"9.173")</f>
        <v>9.173</v>
      </c>
      <c r="H216" s="1" t="str">
        <f ca="1">IFERROR(__xludf.DUMMYFUNCTION("GOOGLETRANSLATE('대전도시공사_청년임대주택 현황_20240630'!H216,""ko"",""en"")"),"Newlyweds 2 (80% of the total price)")</f>
        <v>Newlyweds 2 (80% of the total price)</v>
      </c>
      <c r="I216" s="1" t="str">
        <f ca="1">IFERROR(__xludf.DUMMYFUNCTION("GOOGLETRANSLATE('대전도시공사_청년임대주택 현황_20240630'!I216,""ko"",""en"")"),"8149000")</f>
        <v>8149000</v>
      </c>
      <c r="J216" s="1" t="str">
        <f ca="1">IFERROR(__xludf.DUMMYFUNCTION("GOOGLETRANSLATE('대전도시공사_청년임대주택 현황_20240630'!J216,""ko"",""en"")"),"420200")</f>
        <v>420200</v>
      </c>
    </row>
    <row r="217" spans="1:10" ht="12.5" x14ac:dyDescent="0.25">
      <c r="A217" s="1" t="str">
        <f ca="1">IFERROR(__xludf.DUMMYFUNCTION("GOOGLETRANSLATE('대전도시공사_청년임대주택 현황_20240630'!A217,""ko"",""en"")"),"Deokmyeong-dong 505-4 (The M House, youth rental)")</f>
        <v>Deokmyeong-dong 505-4 (The M House, youth rental)</v>
      </c>
      <c r="B217" s="1" t="str">
        <f ca="1">IFERROR(__xludf.DUMMYFUNCTION("GOOGLETRANSLATE('대전도시공사_청년임대주택 현황_20240630'!B217,""ko"",""en"")"),"21")</f>
        <v>21</v>
      </c>
      <c r="C217" s="1" t="str">
        <f ca="1">IFERROR(__xludf.DUMMYFUNCTION("GOOGLETRANSLATE('대전도시공사_청년임대주택 현황_20240630'!C217,""ko"",""en"")"),"1")</f>
        <v>1</v>
      </c>
      <c r="D217" s="1" t="str">
        <f ca="1">IFERROR(__xludf.DUMMYFUNCTION("GOOGLETRANSLATE('대전도시공사_청년임대주택 현황_20240630'!D217,""ko"",""en"")"),"302")</f>
        <v>302</v>
      </c>
      <c r="E217" s="1" t="str">
        <f ca="1">IFERROR(__xludf.DUMMYFUNCTION("GOOGLETRANSLATE('대전도시공사_청년임대주택 현황_20240630'!E217,""ko"",""en"")"),"36.098")</f>
        <v>36.098</v>
      </c>
      <c r="F217" s="1" t="str">
        <f ca="1">IFERROR(__xludf.DUMMYFUNCTION("GOOGLETRANSLATE('대전도시공사_청년임대주택 현황_20240630'!F217,""ko"",""en"")"),"30.42")</f>
        <v>30.42</v>
      </c>
      <c r="G217" s="1" t="str">
        <f ca="1">IFERROR(__xludf.DUMMYFUNCTION("GOOGLETRANSLATE('대전도시공사_청년임대주택 현황_20240630'!G217,""ko"",""en"")"),"5.678")</f>
        <v>5.678</v>
      </c>
      <c r="H217" s="1" t="str">
        <f ca="1">IFERROR(__xludf.DUMMYFUNCTION("GOOGLETRANSLATE('대전도시공사_청년임대주택 현황_20240630'!H217,""ko"",""en"")"),"Youth Rent 1st Place")</f>
        <v>Youth Rent 1st Place</v>
      </c>
      <c r="I217" s="1" t="str">
        <f ca="1">IFERROR(__xludf.DUMMYFUNCTION("GOOGLETRANSLATE('대전도시공사_청년임대주택 현황_20240630'!I217,""ko"",""en"")"),"1000000")</f>
        <v>1000000</v>
      </c>
      <c r="J217" s="1" t="str">
        <f ca="1">IFERROR(__xludf.DUMMYFUNCTION("GOOGLETRANSLATE('대전도시공사_청년임대주택 현황_20240630'!J217,""ko"",""en"")"),"109500")</f>
        <v>109500</v>
      </c>
    </row>
    <row r="218" spans="1:10" ht="12.5" x14ac:dyDescent="0.25">
      <c r="A218" s="1" t="str">
        <f ca="1">IFERROR(__xludf.DUMMYFUNCTION("GOOGLETRANSLATE('대전도시공사_청년임대주택 현황_20240630'!A218,""ko"",""en"")"),"Deokmyeong-dong 505-4 (The M House, youth rental)")</f>
        <v>Deokmyeong-dong 505-4 (The M House, youth rental)</v>
      </c>
      <c r="B218" s="1" t="str">
        <f ca="1">IFERROR(__xludf.DUMMYFUNCTION("GOOGLETRANSLATE('대전도시공사_청년임대주택 현황_20240630'!B218,""ko"",""en"")"),"22")</f>
        <v>22</v>
      </c>
      <c r="C218" s="1" t="str">
        <f ca="1">IFERROR(__xludf.DUMMYFUNCTION("GOOGLETRANSLATE('대전도시공사_청년임대주택 현황_20240630'!C218,""ko"",""en"")"),"1")</f>
        <v>1</v>
      </c>
      <c r="D218" s="1" t="str">
        <f ca="1">IFERROR(__xludf.DUMMYFUNCTION("GOOGLETRANSLATE('대전도시공사_청년임대주택 현황_20240630'!D218,""ko"",""en"")"),"302")</f>
        <v>302</v>
      </c>
      <c r="E218" s="1" t="str">
        <f ca="1">IFERROR(__xludf.DUMMYFUNCTION("GOOGLETRANSLATE('대전도시공사_청년임대주택 현황_20240630'!E218,""ko"",""en"")"),"36.098")</f>
        <v>36.098</v>
      </c>
      <c r="F218" s="1" t="str">
        <f ca="1">IFERROR(__xludf.DUMMYFUNCTION("GOOGLETRANSLATE('대전도시공사_청년임대주택 현황_20240630'!F218,""ko"",""en"")"),"30.42")</f>
        <v>30.42</v>
      </c>
      <c r="G218" s="1" t="str">
        <f ca="1">IFERROR(__xludf.DUMMYFUNCTION("GOOGLETRANSLATE('대전도시공사_청년임대주택 현황_20240630'!G218,""ko"",""en"")"),"5.678")</f>
        <v>5.678</v>
      </c>
      <c r="H218" s="1" t="str">
        <f ca="1">IFERROR(__xludf.DUMMYFUNCTION("GOOGLETRANSLATE('대전도시공사_청년임대주택 현황_20240630'!H218,""ko"",""en"")"),"Youth Rental 2nd Place")</f>
        <v>Youth Rental 2nd Place</v>
      </c>
      <c r="I218" s="1" t="str">
        <f ca="1">IFERROR(__xludf.DUMMYFUNCTION("GOOGLETRANSLATE('대전도시공사_청년임대주택 현황_20240630'!I218,""ko"",""en"")"),"2000000")</f>
        <v>2000000</v>
      </c>
      <c r="J218" s="1" t="str">
        <f ca="1">IFERROR(__xludf.DUMMYFUNCTION("GOOGLETRANSLATE('대전도시공사_청년임대주택 현황_20240630'!J218,""ko"",""en"")"),"179800")</f>
        <v>179800</v>
      </c>
    </row>
    <row r="219" spans="1:10" ht="12.5" x14ac:dyDescent="0.25">
      <c r="A219" s="1" t="str">
        <f ca="1">IFERROR(__xludf.DUMMYFUNCTION("GOOGLETRANSLATE('대전도시공사_청년임대주택 현황_20240630'!A219,""ko"",""en"")"),"Deokmyeong-dong 505-4 (The M House, youth rental)")</f>
        <v>Deokmyeong-dong 505-4 (The M House, youth rental)</v>
      </c>
      <c r="B219" s="1" t="str">
        <f ca="1">IFERROR(__xludf.DUMMYFUNCTION("GOOGLETRANSLATE('대전도시공사_청년임대주택 현황_20240630'!B219,""ko"",""en"")"),"23")</f>
        <v>23</v>
      </c>
      <c r="C219" s="1" t="str">
        <f ca="1">IFERROR(__xludf.DUMMYFUNCTION("GOOGLETRANSLATE('대전도시공사_청년임대주택 현황_20240630'!C219,""ko"",""en"")"),"1")</f>
        <v>1</v>
      </c>
      <c r="D219" s="1" t="str">
        <f ca="1">IFERROR(__xludf.DUMMYFUNCTION("GOOGLETRANSLATE('대전도시공사_청년임대주택 현황_20240630'!D219,""ko"",""en"")"),"302")</f>
        <v>302</v>
      </c>
      <c r="E219" s="1" t="str">
        <f ca="1">IFERROR(__xludf.DUMMYFUNCTION("GOOGLETRANSLATE('대전도시공사_청년임대주택 현황_20240630'!E219,""ko"",""en"")"),"36.098")</f>
        <v>36.098</v>
      </c>
      <c r="F219" s="1" t="str">
        <f ca="1">IFERROR(__xludf.DUMMYFUNCTION("GOOGLETRANSLATE('대전도시공사_청년임대주택 현황_20240630'!F219,""ko"",""en"")"),"30.42")</f>
        <v>30.42</v>
      </c>
      <c r="G219" s="1" t="str">
        <f ca="1">IFERROR(__xludf.DUMMYFUNCTION("GOOGLETRANSLATE('대전도시공사_청년임대주택 현황_20240630'!G219,""ko"",""en"")"),"5.678")</f>
        <v>5.678</v>
      </c>
      <c r="H219" s="1" t="str">
        <f ca="1">IFERROR(__xludf.DUMMYFUNCTION("GOOGLETRANSLATE('대전도시공사_청년임대주택 현황_20240630'!H219,""ko"",""en"")"),"3rd place for youth rental")</f>
        <v>3rd place for youth rental</v>
      </c>
      <c r="I219" s="1" t="str">
        <f ca="1">IFERROR(__xludf.DUMMYFUNCTION("GOOGLETRANSLATE('대전도시공사_청년임대주택 현황_20240630'!I219,""ko"",""en"")"),"2000000")</f>
        <v>2000000</v>
      </c>
      <c r="J219" s="1" t="str">
        <f ca="1">IFERROR(__xludf.DUMMYFUNCTION("GOOGLETRANSLATE('대전도시공사_청년임대주택 현황_20240630'!J219,""ko"",""en"")"),"179800")</f>
        <v>179800</v>
      </c>
    </row>
    <row r="220" spans="1:10" ht="12.5" x14ac:dyDescent="0.25">
      <c r="A220" s="1" t="str">
        <f ca="1">IFERROR(__xludf.DUMMYFUNCTION("GOOGLETRANSLATE('대전도시공사_청년임대주택 현황_20240630'!A220,""ko"",""en"")"),"Deokmyeong-dong 505-4 (The M House, youth rental)")</f>
        <v>Deokmyeong-dong 505-4 (The M House, youth rental)</v>
      </c>
      <c r="B220" s="1" t="str">
        <f ca="1">IFERROR(__xludf.DUMMYFUNCTION("GOOGLETRANSLATE('대전도시공사_청년임대주택 현황_20240630'!B220,""ko"",""en"")"),"24")</f>
        <v>24</v>
      </c>
      <c r="C220" s="1" t="str">
        <f ca="1">IFERROR(__xludf.DUMMYFUNCTION("GOOGLETRANSLATE('대전도시공사_청년임대주택 현황_20240630'!C220,""ko"",""en"")"),"1")</f>
        <v>1</v>
      </c>
      <c r="D220" s="1" t="str">
        <f ca="1">IFERROR(__xludf.DUMMYFUNCTION("GOOGLETRANSLATE('대전도시공사_청년임대주택 현황_20240630'!D220,""ko"",""en"")"),"302")</f>
        <v>302</v>
      </c>
      <c r="E220" s="1" t="str">
        <f ca="1">IFERROR(__xludf.DUMMYFUNCTION("GOOGLETRANSLATE('대전도시공사_청년임대주택 현황_20240630'!E220,""ko"",""en"")"),"36.098")</f>
        <v>36.098</v>
      </c>
      <c r="F220" s="1" t="str">
        <f ca="1">IFERROR(__xludf.DUMMYFUNCTION("GOOGLETRANSLATE('대전도시공사_청년임대주택 현황_20240630'!F220,""ko"",""en"")"),"30.42")</f>
        <v>30.42</v>
      </c>
      <c r="G220" s="1" t="str">
        <f ca="1">IFERROR(__xludf.DUMMYFUNCTION("GOOGLETRANSLATE('대전도시공사_청년임대주택 현황_20240630'!G220,""ko"",""en"")"),"5.678")</f>
        <v>5.678</v>
      </c>
      <c r="H220" s="1" t="str">
        <f ca="1">IFERROR(__xludf.DUMMYFUNCTION("GOOGLETRANSLATE('대전도시공사_청년임대주택 현황_20240630'!H220,""ko"",""en"")"),"4th place for youth rental")</f>
        <v>4th place for youth rental</v>
      </c>
      <c r="I220" s="1" t="str">
        <f ca="1">IFERROR(__xludf.DUMMYFUNCTION("GOOGLETRANSLATE('대전도시공사_청년임대주택 현황_20240630'!I220,""ko"",""en"")"),"2000000")</f>
        <v>2000000</v>
      </c>
      <c r="J220" s="1" t="str">
        <f ca="1">IFERROR(__xludf.DUMMYFUNCTION("GOOGLETRANSLATE('대전도시공사_청년임대주택 현황_20240630'!J220,""ko"",""en"")"),"179800")</f>
        <v>179800</v>
      </c>
    </row>
    <row r="221" spans="1:10" ht="12.5" x14ac:dyDescent="0.25">
      <c r="A221" s="1" t="str">
        <f ca="1">IFERROR(__xludf.DUMMYFUNCTION("GOOGLETRANSLATE('대전도시공사_청년임대주택 현황_20240630'!A221,""ko"",""en"")"),"Deokmyeong-dong 505-4 (The M House, youth rental)")</f>
        <v>Deokmyeong-dong 505-4 (The M House, youth rental)</v>
      </c>
      <c r="B221" s="1" t="str">
        <f ca="1">IFERROR(__xludf.DUMMYFUNCTION("GOOGLETRANSLATE('대전도시공사_청년임대주택 현황_20240630'!B221,""ko"",""en"")"),"25")</f>
        <v>25</v>
      </c>
      <c r="C221" s="1" t="str">
        <f ca="1">IFERROR(__xludf.DUMMYFUNCTION("GOOGLETRANSLATE('대전도시공사_청년임대주택 현황_20240630'!C221,""ko"",""en"")"),"1")</f>
        <v>1</v>
      </c>
      <c r="D221" s="1" t="str">
        <f ca="1">IFERROR(__xludf.DUMMYFUNCTION("GOOGLETRANSLATE('대전도시공사_청년임대주택 현황_20240630'!D221,""ko"",""en"")"),"303")</f>
        <v>303</v>
      </c>
      <c r="E221" s="1" t="str">
        <f ca="1">IFERROR(__xludf.DUMMYFUNCTION("GOOGLETRANSLATE('대전도시공사_청년임대주택 현황_20240630'!E221,""ko"",""en"")"),"36.098")</f>
        <v>36.098</v>
      </c>
      <c r="F221" s="1" t="str">
        <f ca="1">IFERROR(__xludf.DUMMYFUNCTION("GOOGLETRANSLATE('대전도시공사_청년임대주택 현황_20240630'!F221,""ko"",""en"")"),"30.42")</f>
        <v>30.42</v>
      </c>
      <c r="G221" s="1" t="str">
        <f ca="1">IFERROR(__xludf.DUMMYFUNCTION("GOOGLETRANSLATE('대전도시공사_청년임대주택 현황_20240630'!G221,""ko"",""en"")"),"5.678")</f>
        <v>5.678</v>
      </c>
      <c r="H221" s="1" t="str">
        <f ca="1">IFERROR(__xludf.DUMMYFUNCTION("GOOGLETRANSLATE('대전도시공사_청년임대주택 현황_20240630'!H221,""ko"",""en"")"),"Youth Rent 1st Place")</f>
        <v>Youth Rent 1st Place</v>
      </c>
      <c r="I221" s="1" t="str">
        <f ca="1">IFERROR(__xludf.DUMMYFUNCTION("GOOGLETRANSLATE('대전도시공사_청년임대주택 현황_20240630'!I221,""ko"",""en"")"),"1000000")</f>
        <v>1000000</v>
      </c>
      <c r="J221" s="1" t="str">
        <f ca="1">IFERROR(__xludf.DUMMYFUNCTION("GOOGLETRANSLATE('대전도시공사_청년임대주택 현황_20240630'!J221,""ko"",""en"")"),"111900")</f>
        <v>111900</v>
      </c>
    </row>
    <row r="222" spans="1:10" ht="12.5" x14ac:dyDescent="0.25">
      <c r="A222" s="1" t="str">
        <f ca="1">IFERROR(__xludf.DUMMYFUNCTION("GOOGLETRANSLATE('대전도시공사_청년임대주택 현황_20240630'!A222,""ko"",""en"")"),"Deokmyeong-dong 505-4 (The M House, youth rental)")</f>
        <v>Deokmyeong-dong 505-4 (The M House, youth rental)</v>
      </c>
      <c r="B222" s="1" t="str">
        <f ca="1">IFERROR(__xludf.DUMMYFUNCTION("GOOGLETRANSLATE('대전도시공사_청년임대주택 현황_20240630'!B222,""ko"",""en"")"),"26")</f>
        <v>26</v>
      </c>
      <c r="C222" s="1" t="str">
        <f ca="1">IFERROR(__xludf.DUMMYFUNCTION("GOOGLETRANSLATE('대전도시공사_청년임대주택 현황_20240630'!C222,""ko"",""en"")"),"1")</f>
        <v>1</v>
      </c>
      <c r="D222" s="1" t="str">
        <f ca="1">IFERROR(__xludf.DUMMYFUNCTION("GOOGLETRANSLATE('대전도시공사_청년임대주택 현황_20240630'!D222,""ko"",""en"")"),"303")</f>
        <v>303</v>
      </c>
      <c r="E222" s="1" t="str">
        <f ca="1">IFERROR(__xludf.DUMMYFUNCTION("GOOGLETRANSLATE('대전도시공사_청년임대주택 현황_20240630'!E222,""ko"",""en"")"),"36.098")</f>
        <v>36.098</v>
      </c>
      <c r="F222" s="1" t="str">
        <f ca="1">IFERROR(__xludf.DUMMYFUNCTION("GOOGLETRANSLATE('대전도시공사_청년임대주택 현황_20240630'!F222,""ko"",""en"")"),"30.42")</f>
        <v>30.42</v>
      </c>
      <c r="G222" s="1" t="str">
        <f ca="1">IFERROR(__xludf.DUMMYFUNCTION("GOOGLETRANSLATE('대전도시공사_청년임대주택 현황_20240630'!G222,""ko"",""en"")"),"5.678")</f>
        <v>5.678</v>
      </c>
      <c r="H222" s="1" t="str">
        <f ca="1">IFERROR(__xludf.DUMMYFUNCTION("GOOGLETRANSLATE('대전도시공사_청년임대주택 현황_20240630'!H222,""ko"",""en"")"),"Youth Rental 2nd Place")</f>
        <v>Youth Rental 2nd Place</v>
      </c>
      <c r="I222" s="1" t="str">
        <f ca="1">IFERROR(__xludf.DUMMYFUNCTION("GOOGLETRANSLATE('대전도시공사_청년임대주택 현황_20240630'!I222,""ko"",""en"")"),"2000000")</f>
        <v>2000000</v>
      </c>
      <c r="J222" s="1" t="str">
        <f ca="1">IFERROR(__xludf.DUMMYFUNCTION("GOOGLETRANSLATE('대전도시공사_청년임대주택 현황_20240630'!J222,""ko"",""en"")"),"183700")</f>
        <v>183700</v>
      </c>
    </row>
    <row r="223" spans="1:10" ht="12.5" x14ac:dyDescent="0.25">
      <c r="A223" s="1" t="str">
        <f ca="1">IFERROR(__xludf.DUMMYFUNCTION("GOOGLETRANSLATE('대전도시공사_청년임대주택 현황_20240630'!A223,""ko"",""en"")"),"Deokmyeong-dong 505-4 (The M House, youth rental)")</f>
        <v>Deokmyeong-dong 505-4 (The M House, youth rental)</v>
      </c>
      <c r="B223" s="1" t="str">
        <f ca="1">IFERROR(__xludf.DUMMYFUNCTION("GOOGLETRANSLATE('대전도시공사_청년임대주택 현황_20240630'!B223,""ko"",""en"")"),"27")</f>
        <v>27</v>
      </c>
      <c r="C223" s="1" t="str">
        <f ca="1">IFERROR(__xludf.DUMMYFUNCTION("GOOGLETRANSLATE('대전도시공사_청년임대주택 현황_20240630'!C223,""ko"",""en"")"),"1")</f>
        <v>1</v>
      </c>
      <c r="D223" s="1" t="str">
        <f ca="1">IFERROR(__xludf.DUMMYFUNCTION("GOOGLETRANSLATE('대전도시공사_청년임대주택 현황_20240630'!D223,""ko"",""en"")"),"303")</f>
        <v>303</v>
      </c>
      <c r="E223" s="1" t="str">
        <f ca="1">IFERROR(__xludf.DUMMYFUNCTION("GOOGLETRANSLATE('대전도시공사_청년임대주택 현황_20240630'!E223,""ko"",""en"")"),"36.098")</f>
        <v>36.098</v>
      </c>
      <c r="F223" s="1" t="str">
        <f ca="1">IFERROR(__xludf.DUMMYFUNCTION("GOOGLETRANSLATE('대전도시공사_청년임대주택 현황_20240630'!F223,""ko"",""en"")"),"30.42")</f>
        <v>30.42</v>
      </c>
      <c r="G223" s="1" t="str">
        <f ca="1">IFERROR(__xludf.DUMMYFUNCTION("GOOGLETRANSLATE('대전도시공사_청년임대주택 현황_20240630'!G223,""ko"",""en"")"),"5.678")</f>
        <v>5.678</v>
      </c>
      <c r="H223" s="1" t="str">
        <f ca="1">IFERROR(__xludf.DUMMYFUNCTION("GOOGLETRANSLATE('대전도시공사_청년임대주택 현황_20240630'!H223,""ko"",""en"")"),"3rd place for youth rental")</f>
        <v>3rd place for youth rental</v>
      </c>
      <c r="I223" s="1" t="str">
        <f ca="1">IFERROR(__xludf.DUMMYFUNCTION("GOOGLETRANSLATE('대전도시공사_청년임대주택 현황_20240630'!I223,""ko"",""en"")"),"2000000")</f>
        <v>2000000</v>
      </c>
      <c r="J223" s="1" t="str">
        <f ca="1">IFERROR(__xludf.DUMMYFUNCTION("GOOGLETRANSLATE('대전도시공사_청년임대주택 현황_20240630'!J223,""ko"",""en"")"),"183700")</f>
        <v>183700</v>
      </c>
    </row>
    <row r="224" spans="1:10" ht="12.5" x14ac:dyDescent="0.25">
      <c r="A224" s="1" t="str">
        <f ca="1">IFERROR(__xludf.DUMMYFUNCTION("GOOGLETRANSLATE('대전도시공사_청년임대주택 현황_20240630'!A224,""ko"",""en"")"),"Deokmyeong-dong 505-4 (The M House, youth rental)")</f>
        <v>Deokmyeong-dong 505-4 (The M House, youth rental)</v>
      </c>
      <c r="B224" s="1" t="str">
        <f ca="1">IFERROR(__xludf.DUMMYFUNCTION("GOOGLETRANSLATE('대전도시공사_청년임대주택 현황_20240630'!B224,""ko"",""en"")"),"28")</f>
        <v>28</v>
      </c>
      <c r="C224" s="1" t="str">
        <f ca="1">IFERROR(__xludf.DUMMYFUNCTION("GOOGLETRANSLATE('대전도시공사_청년임대주택 현황_20240630'!C224,""ko"",""en"")"),"1")</f>
        <v>1</v>
      </c>
      <c r="D224" s="1" t="str">
        <f ca="1">IFERROR(__xludf.DUMMYFUNCTION("GOOGLETRANSLATE('대전도시공사_청년임대주택 현황_20240630'!D224,""ko"",""en"")"),"303")</f>
        <v>303</v>
      </c>
      <c r="E224" s="1" t="str">
        <f ca="1">IFERROR(__xludf.DUMMYFUNCTION("GOOGLETRANSLATE('대전도시공사_청년임대주택 현황_20240630'!E224,""ko"",""en"")"),"36.098")</f>
        <v>36.098</v>
      </c>
      <c r="F224" s="1" t="str">
        <f ca="1">IFERROR(__xludf.DUMMYFUNCTION("GOOGLETRANSLATE('대전도시공사_청년임대주택 현황_20240630'!F224,""ko"",""en"")"),"30.42")</f>
        <v>30.42</v>
      </c>
      <c r="G224" s="1" t="str">
        <f ca="1">IFERROR(__xludf.DUMMYFUNCTION("GOOGLETRANSLATE('대전도시공사_청년임대주택 현황_20240630'!G224,""ko"",""en"")"),"5.678")</f>
        <v>5.678</v>
      </c>
      <c r="H224" s="1" t="str">
        <f ca="1">IFERROR(__xludf.DUMMYFUNCTION("GOOGLETRANSLATE('대전도시공사_청년임대주택 현황_20240630'!H224,""ko"",""en"")"),"4th place for youth rental")</f>
        <v>4th place for youth rental</v>
      </c>
      <c r="I224" s="1" t="str">
        <f ca="1">IFERROR(__xludf.DUMMYFUNCTION("GOOGLETRANSLATE('대전도시공사_청년임대주택 현황_20240630'!I224,""ko"",""en"")"),"2000000")</f>
        <v>2000000</v>
      </c>
      <c r="J224" s="1" t="str">
        <f ca="1">IFERROR(__xludf.DUMMYFUNCTION("GOOGLETRANSLATE('대전도시공사_청년임대주택 현황_20240630'!J224,""ko"",""en"")"),"183700")</f>
        <v>183700</v>
      </c>
    </row>
    <row r="225" spans="1:10" ht="12.5" x14ac:dyDescent="0.25">
      <c r="A225" s="1" t="str">
        <f ca="1">IFERROR(__xludf.DUMMYFUNCTION("GOOGLETRANSLATE('대전도시공사_청년임대주택 현황_20240630'!A225,""ko"",""en"")"),"Deokmyeong-dong 505-4 (The M House, youth rental)")</f>
        <v>Deokmyeong-dong 505-4 (The M House, youth rental)</v>
      </c>
      <c r="B225" s="1" t="str">
        <f ca="1">IFERROR(__xludf.DUMMYFUNCTION("GOOGLETRANSLATE('대전도시공사_청년임대주택 현황_20240630'!B225,""ko"",""en"")"),"29")</f>
        <v>29</v>
      </c>
      <c r="C225" s="1" t="str">
        <f ca="1">IFERROR(__xludf.DUMMYFUNCTION("GOOGLETRANSLATE('대전도시공사_청년임대주택 현황_20240630'!C225,""ko"",""en"")"),"1")</f>
        <v>1</v>
      </c>
      <c r="D225" s="1" t="str">
        <f ca="1">IFERROR(__xludf.DUMMYFUNCTION("GOOGLETRANSLATE('대전도시공사_청년임대주택 현황_20240630'!D225,""ko"",""en"")"),"304")</f>
        <v>304</v>
      </c>
      <c r="E225" s="1" t="str">
        <f ca="1">IFERROR(__xludf.DUMMYFUNCTION("GOOGLETRANSLATE('대전도시공사_청년임대주택 현황_20240630'!E225,""ko"",""en"")"),"75.78")</f>
        <v>75.78</v>
      </c>
      <c r="F225" s="1" t="str">
        <f ca="1">IFERROR(__xludf.DUMMYFUNCTION("GOOGLETRANSLATE('대전도시공사_청년임대주택 현황_20240630'!F225,""ko"",""en"")"),"63.86")</f>
        <v>63.86</v>
      </c>
      <c r="G225" s="1" t="str">
        <f ca="1">IFERROR(__xludf.DUMMYFUNCTION("GOOGLETRANSLATE('대전도시공사_청년임대주택 현황_20240630'!G225,""ko"",""en"")"),"11.92")</f>
        <v>11.92</v>
      </c>
      <c r="H225" s="1" t="str">
        <f ca="1">IFERROR(__xludf.DUMMYFUNCTION("GOOGLETRANSLATE('대전도시공사_청년임대주택 현황_20240630'!H225,""ko"",""en"")"),"Newlyweds 1 (30% of the total price)")</f>
        <v>Newlyweds 1 (30% of the total price)</v>
      </c>
      <c r="I225" s="1" t="str">
        <f ca="1">IFERROR(__xludf.DUMMYFUNCTION("GOOGLETRANSLATE('대전도시공사_청년임대주택 현황_20240630'!I225,""ko"",""en"")"),"10590000")</f>
        <v>10590000</v>
      </c>
      <c r="J225" s="1" t="str">
        <f ca="1">IFERROR(__xludf.DUMMYFUNCTION("GOOGLETRANSLATE('대전도시공사_청년임대주택 현황_20240630'!J225,""ko"",""en"")"),"162100")</f>
        <v>162100</v>
      </c>
    </row>
    <row r="226" spans="1:10" ht="12.5" x14ac:dyDescent="0.25">
      <c r="A226" s="1" t="str">
        <f ca="1">IFERROR(__xludf.DUMMYFUNCTION("GOOGLETRANSLATE('대전도시공사_청년임대주택 현황_20240630'!A226,""ko"",""en"")"),"Deokmyeong-dong 505-4 (The M House, youth rental)")</f>
        <v>Deokmyeong-dong 505-4 (The M House, youth rental)</v>
      </c>
      <c r="B226" s="1" t="str">
        <f ca="1">IFERROR(__xludf.DUMMYFUNCTION("GOOGLETRANSLATE('대전도시공사_청년임대주택 현황_20240630'!B226,""ko"",""en"")"),"30")</f>
        <v>30</v>
      </c>
      <c r="C226" s="1" t="str">
        <f ca="1">IFERROR(__xludf.DUMMYFUNCTION("GOOGLETRANSLATE('대전도시공사_청년임대주택 현황_20240630'!C226,""ko"",""en"")"),"1")</f>
        <v>1</v>
      </c>
      <c r="D226" s="1" t="str">
        <f ca="1">IFERROR(__xludf.DUMMYFUNCTION("GOOGLETRANSLATE('대전도시공사_청년임대주택 현황_20240630'!D226,""ko"",""en"")"),"304")</f>
        <v>304</v>
      </c>
      <c r="E226" s="1" t="str">
        <f ca="1">IFERROR(__xludf.DUMMYFUNCTION("GOOGLETRANSLATE('대전도시공사_청년임대주택 현황_20240630'!E226,""ko"",""en"")"),"75.78")</f>
        <v>75.78</v>
      </c>
      <c r="F226" s="1" t="str">
        <f ca="1">IFERROR(__xludf.DUMMYFUNCTION("GOOGLETRANSLATE('대전도시공사_청년임대주택 현황_20240630'!F226,""ko"",""en"")"),"63.86")</f>
        <v>63.86</v>
      </c>
      <c r="G226" s="1" t="str">
        <f ca="1">IFERROR(__xludf.DUMMYFUNCTION("GOOGLETRANSLATE('대전도시공사_청년임대주택 현황_20240630'!G226,""ko"",""en"")"),"11.92")</f>
        <v>11.92</v>
      </c>
      <c r="H226" s="1" t="str">
        <f ca="1">IFERROR(__xludf.DUMMYFUNCTION("GOOGLETRANSLATE('대전도시공사_청년임대주택 현황_20240630'!H226,""ko"",""en"")"),"Newlyweds 1 (40% of the total price)")</f>
        <v>Newlyweds 1 (40% of the total price)</v>
      </c>
      <c r="I226" s="1" t="str">
        <f ca="1">IFERROR(__xludf.DUMMYFUNCTION("GOOGLETRANSLATE('대전도시공사_청년임대주택 현황_20240630'!I226,""ko"",""en"")"),"10590000")</f>
        <v>10590000</v>
      </c>
      <c r="J226" s="1" t="str">
        <f ca="1">IFERROR(__xludf.DUMMYFUNCTION("GOOGLETRANSLATE('대전도시공사_청년임대주택 현황_20240630'!J226,""ko"",""en"")"),"237500")</f>
        <v>237500</v>
      </c>
    </row>
    <row r="227" spans="1:10" ht="12.5" x14ac:dyDescent="0.25">
      <c r="A227" s="1" t="str">
        <f ca="1">IFERROR(__xludf.DUMMYFUNCTION("GOOGLETRANSLATE('대전도시공사_청년임대주택 현황_20240630'!A227,""ko"",""en"")"),"Deokmyeong-dong 505-4 (The M House, youth rental)")</f>
        <v>Deokmyeong-dong 505-4 (The M House, youth rental)</v>
      </c>
      <c r="B227" s="1" t="str">
        <f ca="1">IFERROR(__xludf.DUMMYFUNCTION("GOOGLETRANSLATE('대전도시공사_청년임대주택 현황_20240630'!B227,""ko"",""en"")"),"31")</f>
        <v>31</v>
      </c>
      <c r="C227" s="1" t="str">
        <f ca="1">IFERROR(__xludf.DUMMYFUNCTION("GOOGLETRANSLATE('대전도시공사_청년임대주택 현황_20240630'!C227,""ko"",""en"")"),"1")</f>
        <v>1</v>
      </c>
      <c r="D227" s="1" t="str">
        <f ca="1">IFERROR(__xludf.DUMMYFUNCTION("GOOGLETRANSLATE('대전도시공사_청년임대주택 현황_20240630'!D227,""ko"",""en"")"),"304")</f>
        <v>304</v>
      </c>
      <c r="E227" s="1" t="str">
        <f ca="1">IFERROR(__xludf.DUMMYFUNCTION("GOOGLETRANSLATE('대전도시공사_청년임대주택 현황_20240630'!E227,""ko"",""en"")"),"75.78")</f>
        <v>75.78</v>
      </c>
      <c r="F227" s="1" t="str">
        <f ca="1">IFERROR(__xludf.DUMMYFUNCTION("GOOGLETRANSLATE('대전도시공사_청년임대주택 현황_20240630'!F227,""ko"",""en"")"),"63.86")</f>
        <v>63.86</v>
      </c>
      <c r="G227" s="1" t="str">
        <f ca="1">IFERROR(__xludf.DUMMYFUNCTION("GOOGLETRANSLATE('대전도시공사_청년임대주택 현황_20240630'!G227,""ko"",""en"")"),"11.92")</f>
        <v>11.92</v>
      </c>
      <c r="H227" s="1" t="str">
        <f ca="1">IFERROR(__xludf.DUMMYFUNCTION("GOOGLETRANSLATE('대전도시공사_청년임대주택 현황_20240630'!H227,""ko"",""en"")"),"Newlyweds 2 (70% of the total price)")</f>
        <v>Newlyweds 2 (70% of the total price)</v>
      </c>
      <c r="I227" s="1" t="str">
        <f ca="1">IFERROR(__xludf.DUMMYFUNCTION("GOOGLETRANSLATE('대전도시공사_청년임대주택 현황_20240630'!I227,""ko"",""en"")"),"10590000")</f>
        <v>10590000</v>
      </c>
      <c r="J227" s="1" t="str">
        <f ca="1">IFERROR(__xludf.DUMMYFUNCTION("GOOGLETRANSLATE('대전도시공사_청년임대주택 현황_20240630'!J227,""ko"",""en"")"),"463700")</f>
        <v>463700</v>
      </c>
    </row>
    <row r="228" spans="1:10" ht="12.5" x14ac:dyDescent="0.25">
      <c r="A228" s="1" t="str">
        <f ca="1">IFERROR(__xludf.DUMMYFUNCTION("GOOGLETRANSLATE('대전도시공사_청년임대주택 현황_20240630'!A228,""ko"",""en"")"),"Deokmyeong-dong 505-4 (The M House, youth rental)")</f>
        <v>Deokmyeong-dong 505-4 (The M House, youth rental)</v>
      </c>
      <c r="B228" s="1" t="str">
        <f ca="1">IFERROR(__xludf.DUMMYFUNCTION("GOOGLETRANSLATE('대전도시공사_청년임대주택 현황_20240630'!B228,""ko"",""en"")"),"32")</f>
        <v>32</v>
      </c>
      <c r="C228" s="1" t="str">
        <f ca="1">IFERROR(__xludf.DUMMYFUNCTION("GOOGLETRANSLATE('대전도시공사_청년임대주택 현황_20240630'!C228,""ko"",""en"")"),"1")</f>
        <v>1</v>
      </c>
      <c r="D228" s="1" t="str">
        <f ca="1">IFERROR(__xludf.DUMMYFUNCTION("GOOGLETRANSLATE('대전도시공사_청년임대주택 현황_20240630'!D228,""ko"",""en"")"),"304")</f>
        <v>304</v>
      </c>
      <c r="E228" s="1" t="str">
        <f ca="1">IFERROR(__xludf.DUMMYFUNCTION("GOOGLETRANSLATE('대전도시공사_청년임대주택 현황_20240630'!E228,""ko"",""en"")"),"75.78")</f>
        <v>75.78</v>
      </c>
      <c r="F228" s="1" t="str">
        <f ca="1">IFERROR(__xludf.DUMMYFUNCTION("GOOGLETRANSLATE('대전도시공사_청년임대주택 현황_20240630'!F228,""ko"",""en"")"),"63.86")</f>
        <v>63.86</v>
      </c>
      <c r="G228" s="1" t="str">
        <f ca="1">IFERROR(__xludf.DUMMYFUNCTION("GOOGLETRANSLATE('대전도시공사_청년임대주택 현황_20240630'!G228,""ko"",""en"")"),"11.92")</f>
        <v>11.92</v>
      </c>
      <c r="H228" s="1" t="str">
        <f ca="1">IFERROR(__xludf.DUMMYFUNCTION("GOOGLETRANSLATE('대전도시공사_청년임대주택 현황_20240630'!H228,""ko"",""en"")"),"Newlyweds 2 (80% of the total price)")</f>
        <v>Newlyweds 2 (80% of the total price)</v>
      </c>
      <c r="I228" s="1" t="str">
        <f ca="1">IFERROR(__xludf.DUMMYFUNCTION("GOOGLETRANSLATE('대전도시공사_청년임대주택 현황_20240630'!I228,""ko"",""en"")"),"10590000")</f>
        <v>10590000</v>
      </c>
      <c r="J228" s="1" t="str">
        <f ca="1">IFERROR(__xludf.DUMMYFUNCTION("GOOGLETRANSLATE('대전도시공사_청년임대주택 현황_20240630'!J228,""ko"",""en"")"),"539100")</f>
        <v>539100</v>
      </c>
    </row>
    <row r="229" spans="1:10" ht="12.5" x14ac:dyDescent="0.25">
      <c r="A229" s="1" t="str">
        <f ca="1">IFERROR(__xludf.DUMMYFUNCTION("GOOGLETRANSLATE('대전도시공사_청년임대주택 현황_20240630'!A229,""ko"",""en"")"),"Deokmyeong-dong 505-4 (The M House, youth rental)")</f>
        <v>Deokmyeong-dong 505-4 (The M House, youth rental)</v>
      </c>
      <c r="B229" s="1" t="str">
        <f ca="1">IFERROR(__xludf.DUMMYFUNCTION("GOOGLETRANSLATE('대전도시공사_청년임대주택 현황_20240630'!B229,""ko"",""en"")"),"33")</f>
        <v>33</v>
      </c>
      <c r="C229" s="1" t="str">
        <f ca="1">IFERROR(__xludf.DUMMYFUNCTION("GOOGLETRANSLATE('대전도시공사_청년임대주택 현황_20240630'!C229,""ko"",""en"")"),"1")</f>
        <v>1</v>
      </c>
      <c r="D229" s="1" t="str">
        <f ca="1">IFERROR(__xludf.DUMMYFUNCTION("GOOGLETRANSLATE('대전도시공사_청년임대주택 현황_20240630'!D229,""ko"",""en"")"),"401")</f>
        <v>401</v>
      </c>
      <c r="E229" s="1" t="str">
        <f ca="1">IFERROR(__xludf.DUMMYFUNCTION("GOOGLETRANSLATE('대전도시공사_청년임대주택 현황_20240630'!E229,""ko"",""en"")"),"58.313")</f>
        <v>58.313</v>
      </c>
      <c r="F229" s="1" t="str">
        <f ca="1">IFERROR(__xludf.DUMMYFUNCTION("GOOGLETRANSLATE('대전도시공사_청년임대주택 현황_20240630'!F229,""ko"",""en"")"),"49.14")</f>
        <v>49.14</v>
      </c>
      <c r="G229" s="1" t="str">
        <f ca="1">IFERROR(__xludf.DUMMYFUNCTION("GOOGLETRANSLATE('대전도시공사_청년임대주택 현황_20240630'!G229,""ko"",""en"")"),"9.173")</f>
        <v>9.173</v>
      </c>
      <c r="H229" s="1" t="str">
        <f ca="1">IFERROR(__xludf.DUMMYFUNCTION("GOOGLETRANSLATE('대전도시공사_청년임대주택 현황_20240630'!H229,""ko"",""en"")"),"Newlyweds 1 (30% of the total price)")</f>
        <v>Newlyweds 1 (30% of the total price)</v>
      </c>
      <c r="I229" s="1" t="str">
        <f ca="1">IFERROR(__xludf.DUMMYFUNCTION("GOOGLETRANSLATE('대전도시공사_청년임대주택 현황_20240630'!I229,""ko"",""en"")"),"8149000")</f>
        <v>8149000</v>
      </c>
      <c r="J229" s="1" t="str">
        <f ca="1">IFERROR(__xludf.DUMMYFUNCTION("GOOGLETRANSLATE('대전도시공사_청년임대주택 현황_20240630'!J229,""ko"",""en"")"),"125000")</f>
        <v>125000</v>
      </c>
    </row>
    <row r="230" spans="1:10" ht="12.5" x14ac:dyDescent="0.25">
      <c r="A230" s="1" t="str">
        <f ca="1">IFERROR(__xludf.DUMMYFUNCTION("GOOGLETRANSLATE('대전도시공사_청년임대주택 현황_20240630'!A230,""ko"",""en"")"),"Deokmyeong-dong 505-4 (The M House, youth rental)")</f>
        <v>Deokmyeong-dong 505-4 (The M House, youth rental)</v>
      </c>
      <c r="B230" s="1" t="str">
        <f ca="1">IFERROR(__xludf.DUMMYFUNCTION("GOOGLETRANSLATE('대전도시공사_청년임대주택 현황_20240630'!B230,""ko"",""en"")"),"34")</f>
        <v>34</v>
      </c>
      <c r="C230" s="1" t="str">
        <f ca="1">IFERROR(__xludf.DUMMYFUNCTION("GOOGLETRANSLATE('대전도시공사_청년임대주택 현황_20240630'!C230,""ko"",""en"")"),"1")</f>
        <v>1</v>
      </c>
      <c r="D230" s="1" t="str">
        <f ca="1">IFERROR(__xludf.DUMMYFUNCTION("GOOGLETRANSLATE('대전도시공사_청년임대주택 현황_20240630'!D230,""ko"",""en"")"),"401")</f>
        <v>401</v>
      </c>
      <c r="E230" s="1" t="str">
        <f ca="1">IFERROR(__xludf.DUMMYFUNCTION("GOOGLETRANSLATE('대전도시공사_청년임대주택 현황_20240630'!E230,""ko"",""en"")"),"58.313")</f>
        <v>58.313</v>
      </c>
      <c r="F230" s="1" t="str">
        <f ca="1">IFERROR(__xludf.DUMMYFUNCTION("GOOGLETRANSLATE('대전도시공사_청년임대주택 현황_20240630'!F230,""ko"",""en"")"),"49.14")</f>
        <v>49.14</v>
      </c>
      <c r="G230" s="1" t="str">
        <f ca="1">IFERROR(__xludf.DUMMYFUNCTION("GOOGLETRANSLATE('대전도시공사_청년임대주택 현황_20240630'!G230,""ko"",""en"")"),"9.173")</f>
        <v>9.173</v>
      </c>
      <c r="H230" s="1" t="str">
        <f ca="1">IFERROR(__xludf.DUMMYFUNCTION("GOOGLETRANSLATE('대전도시공사_청년임대주택 현황_20240630'!H230,""ko"",""en"")"),"Newlyweds 1 (40% of the total price)")</f>
        <v>Newlyweds 1 (40% of the total price)</v>
      </c>
      <c r="I230" s="1" t="str">
        <f ca="1">IFERROR(__xludf.DUMMYFUNCTION("GOOGLETRANSLATE('대전도시공사_청년임대주택 현황_20240630'!I230,""ko"",""en"")"),"8149000")</f>
        <v>8149000</v>
      </c>
      <c r="J230" s="1" t="str">
        <f ca="1">IFERROR(__xludf.DUMMYFUNCTION("GOOGLETRANSLATE('대전도시공사_청년임대주택 현황_20240630'!J230,""ko"",""en"")"),"183100")</f>
        <v>183100</v>
      </c>
    </row>
    <row r="231" spans="1:10" ht="12.5" x14ac:dyDescent="0.25">
      <c r="A231" s="1" t="str">
        <f ca="1">IFERROR(__xludf.DUMMYFUNCTION("GOOGLETRANSLATE('대전도시공사_청년임대주택 현황_20240630'!A231,""ko"",""en"")"),"Deokmyeong-dong 505-4 (The M House, youth rental)")</f>
        <v>Deokmyeong-dong 505-4 (The M House, youth rental)</v>
      </c>
      <c r="B231" s="1" t="str">
        <f ca="1">IFERROR(__xludf.DUMMYFUNCTION("GOOGLETRANSLATE('대전도시공사_청년임대주택 현황_20240630'!B231,""ko"",""en"")"),"35")</f>
        <v>35</v>
      </c>
      <c r="C231" s="1" t="str">
        <f ca="1">IFERROR(__xludf.DUMMYFUNCTION("GOOGLETRANSLATE('대전도시공사_청년임대주택 현황_20240630'!C231,""ko"",""en"")"),"1")</f>
        <v>1</v>
      </c>
      <c r="D231" s="1" t="str">
        <f ca="1">IFERROR(__xludf.DUMMYFUNCTION("GOOGLETRANSLATE('대전도시공사_청년임대주택 현황_20240630'!D231,""ko"",""en"")"),"401")</f>
        <v>401</v>
      </c>
      <c r="E231" s="1" t="str">
        <f ca="1">IFERROR(__xludf.DUMMYFUNCTION("GOOGLETRANSLATE('대전도시공사_청년임대주택 현황_20240630'!E231,""ko"",""en"")"),"58.313")</f>
        <v>58.313</v>
      </c>
      <c r="F231" s="1" t="str">
        <f ca="1">IFERROR(__xludf.DUMMYFUNCTION("GOOGLETRANSLATE('대전도시공사_청년임대주택 현황_20240630'!F231,""ko"",""en"")"),"49.14")</f>
        <v>49.14</v>
      </c>
      <c r="G231" s="1" t="str">
        <f ca="1">IFERROR(__xludf.DUMMYFUNCTION("GOOGLETRANSLATE('대전도시공사_청년임대주택 현황_20240630'!G231,""ko"",""en"")"),"9.173")</f>
        <v>9.173</v>
      </c>
      <c r="H231" s="1" t="str">
        <f ca="1">IFERROR(__xludf.DUMMYFUNCTION("GOOGLETRANSLATE('대전도시공사_청년임대주택 현황_20240630'!H231,""ko"",""en"")"),"Newlyweds 2 (70% of the total price)")</f>
        <v>Newlyweds 2 (70% of the total price)</v>
      </c>
      <c r="I231" s="1" t="str">
        <f ca="1">IFERROR(__xludf.DUMMYFUNCTION("GOOGLETRANSLATE('대전도시공사_청년임대주택 현황_20240630'!I231,""ko"",""en"")"),"8149000")</f>
        <v>8149000</v>
      </c>
      <c r="J231" s="1" t="str">
        <f ca="1">IFERROR(__xludf.DUMMYFUNCTION("GOOGLETRANSLATE('대전도시공사_청년임대주택 현황_20240630'!J231,""ko"",""en"")"),"357400")</f>
        <v>357400</v>
      </c>
    </row>
    <row r="232" spans="1:10" ht="12.5" x14ac:dyDescent="0.25">
      <c r="A232" s="1" t="str">
        <f ca="1">IFERROR(__xludf.DUMMYFUNCTION("GOOGLETRANSLATE('대전도시공사_청년임대주택 현황_20240630'!A232,""ko"",""en"")"),"Deokmyeong-dong 505-4 (The M House, youth rental)")</f>
        <v>Deokmyeong-dong 505-4 (The M House, youth rental)</v>
      </c>
      <c r="B232" s="1" t="str">
        <f ca="1">IFERROR(__xludf.DUMMYFUNCTION("GOOGLETRANSLATE('대전도시공사_청년임대주택 현황_20240630'!B232,""ko"",""en"")"),"36")</f>
        <v>36</v>
      </c>
      <c r="C232" s="1" t="str">
        <f ca="1">IFERROR(__xludf.DUMMYFUNCTION("GOOGLETRANSLATE('대전도시공사_청년임대주택 현황_20240630'!C232,""ko"",""en"")"),"1")</f>
        <v>1</v>
      </c>
      <c r="D232" s="1" t="str">
        <f ca="1">IFERROR(__xludf.DUMMYFUNCTION("GOOGLETRANSLATE('대전도시공사_청년임대주택 현황_20240630'!D232,""ko"",""en"")"),"401")</f>
        <v>401</v>
      </c>
      <c r="E232" s="1" t="str">
        <f ca="1">IFERROR(__xludf.DUMMYFUNCTION("GOOGLETRANSLATE('대전도시공사_청년임대주택 현황_20240630'!E232,""ko"",""en"")"),"58.313")</f>
        <v>58.313</v>
      </c>
      <c r="F232" s="1" t="str">
        <f ca="1">IFERROR(__xludf.DUMMYFUNCTION("GOOGLETRANSLATE('대전도시공사_청년임대주택 현황_20240630'!F232,""ko"",""en"")"),"49.14")</f>
        <v>49.14</v>
      </c>
      <c r="G232" s="1" t="str">
        <f ca="1">IFERROR(__xludf.DUMMYFUNCTION("GOOGLETRANSLATE('대전도시공사_청년임대주택 현황_20240630'!G232,""ko"",""en"")"),"9.173")</f>
        <v>9.173</v>
      </c>
      <c r="H232" s="1" t="str">
        <f ca="1">IFERROR(__xludf.DUMMYFUNCTION("GOOGLETRANSLATE('대전도시공사_청년임대주택 현황_20240630'!H232,""ko"",""en"")"),"Newlyweds 2 (80% of the total price)")</f>
        <v>Newlyweds 2 (80% of the total price)</v>
      </c>
      <c r="I232" s="1" t="str">
        <f ca="1">IFERROR(__xludf.DUMMYFUNCTION("GOOGLETRANSLATE('대전도시공사_청년임대주택 현황_20240630'!I232,""ko"",""en"")"),"8149000")</f>
        <v>8149000</v>
      </c>
      <c r="J232" s="1" t="str">
        <f ca="1">IFERROR(__xludf.DUMMYFUNCTION("GOOGLETRANSLATE('대전도시공사_청년임대주택 현황_20240630'!J232,""ko"",""en"")"),"415500")</f>
        <v>415500</v>
      </c>
    </row>
    <row r="233" spans="1:10" ht="12.5" x14ac:dyDescent="0.25">
      <c r="A233" s="1" t="str">
        <f ca="1">IFERROR(__xludf.DUMMYFUNCTION("GOOGLETRANSLATE('대전도시공사_청년임대주택 현황_20240630'!A233,""ko"",""en"")"),"Deokmyeong-dong 505-4 (The M House, youth rental)")</f>
        <v>Deokmyeong-dong 505-4 (The M House, youth rental)</v>
      </c>
      <c r="B233" s="1" t="str">
        <f ca="1">IFERROR(__xludf.DUMMYFUNCTION("GOOGLETRANSLATE('대전도시공사_청년임대주택 현황_20240630'!B233,""ko"",""en"")"),"37")</f>
        <v>37</v>
      </c>
      <c r="C233" s="1" t="str">
        <f ca="1">IFERROR(__xludf.DUMMYFUNCTION("GOOGLETRANSLATE('대전도시공사_청년임대주택 현황_20240630'!C233,""ko"",""en"")"),"1")</f>
        <v>1</v>
      </c>
      <c r="D233" s="1" t="str">
        <f ca="1">IFERROR(__xludf.DUMMYFUNCTION("GOOGLETRANSLATE('대전도시공사_청년임대주택 현황_20240630'!D233,""ko"",""en"")"),"402")</f>
        <v>402</v>
      </c>
      <c r="E233" s="1" t="str">
        <f ca="1">IFERROR(__xludf.DUMMYFUNCTION("GOOGLETRANSLATE('대전도시공사_청년임대주택 현황_20240630'!E233,""ko"",""en"")"),"58.597")</f>
        <v>58.597</v>
      </c>
      <c r="F233" s="1" t="str">
        <f ca="1">IFERROR(__xludf.DUMMYFUNCTION("GOOGLETRANSLATE('대전도시공사_청년임대주택 현황_20240630'!F233,""ko"",""en"")"),"49.38")</f>
        <v>49.38</v>
      </c>
      <c r="G233" s="1" t="str">
        <f ca="1">IFERROR(__xludf.DUMMYFUNCTION("GOOGLETRANSLATE('대전도시공사_청년임대주택 현황_20240630'!G233,""ko"",""en"")"),"9.217")</f>
        <v>9.217</v>
      </c>
      <c r="H233" s="1" t="str">
        <f ca="1">IFERROR(__xludf.DUMMYFUNCTION("GOOGLETRANSLATE('대전도시공사_청년임대주택 현황_20240630'!H233,""ko"",""en"")"),"Newlyweds 1 (30% of the total price)")</f>
        <v>Newlyweds 1 (30% of the total price)</v>
      </c>
      <c r="I233" s="1" t="str">
        <f ca="1">IFERROR(__xludf.DUMMYFUNCTION("GOOGLETRANSLATE('대전도시공사_청년임대주택 현황_20240630'!I233,""ko"",""en"")"),"8188000")</f>
        <v>8188000</v>
      </c>
      <c r="J233" s="1" t="str">
        <f ca="1">IFERROR(__xludf.DUMMYFUNCTION("GOOGLETRANSLATE('대전도시공사_청년임대주택 현황_20240630'!J233,""ko"",""en"")"),"123600")</f>
        <v>123600</v>
      </c>
    </row>
    <row r="234" spans="1:10" ht="12.5" x14ac:dyDescent="0.25">
      <c r="A234" s="1" t="str">
        <f ca="1">IFERROR(__xludf.DUMMYFUNCTION("GOOGLETRANSLATE('대전도시공사_청년임대주택 현황_20240630'!A234,""ko"",""en"")"),"Deokmyeong-dong 505-4 (The M House, youth rental)")</f>
        <v>Deokmyeong-dong 505-4 (The M House, youth rental)</v>
      </c>
      <c r="B234" s="1" t="str">
        <f ca="1">IFERROR(__xludf.DUMMYFUNCTION("GOOGLETRANSLATE('대전도시공사_청년임대주택 현황_20240630'!B234,""ko"",""en"")"),"38")</f>
        <v>38</v>
      </c>
      <c r="C234" s="1" t="str">
        <f ca="1">IFERROR(__xludf.DUMMYFUNCTION("GOOGLETRANSLATE('대전도시공사_청년임대주택 현황_20240630'!C234,""ko"",""en"")"),"1")</f>
        <v>1</v>
      </c>
      <c r="D234" s="1" t="str">
        <f ca="1">IFERROR(__xludf.DUMMYFUNCTION("GOOGLETRANSLATE('대전도시공사_청년임대주택 현황_20240630'!D234,""ko"",""en"")"),"402")</f>
        <v>402</v>
      </c>
      <c r="E234" s="1" t="str">
        <f ca="1">IFERROR(__xludf.DUMMYFUNCTION("GOOGLETRANSLATE('대전도시공사_청년임대주택 현황_20240630'!E234,""ko"",""en"")"),"58.597")</f>
        <v>58.597</v>
      </c>
      <c r="F234" s="1" t="str">
        <f ca="1">IFERROR(__xludf.DUMMYFUNCTION("GOOGLETRANSLATE('대전도시공사_청년임대주택 현황_20240630'!F234,""ko"",""en"")"),"49.38")</f>
        <v>49.38</v>
      </c>
      <c r="G234" s="1" t="str">
        <f ca="1">IFERROR(__xludf.DUMMYFUNCTION("GOOGLETRANSLATE('대전도시공사_청년임대주택 현황_20240630'!G234,""ko"",""en"")"),"9.217")</f>
        <v>9.217</v>
      </c>
      <c r="H234" s="1" t="str">
        <f ca="1">IFERROR(__xludf.DUMMYFUNCTION("GOOGLETRANSLATE('대전도시공사_청년임대주택 현황_20240630'!H234,""ko"",""en"")"),"Newlyweds 1 (40% of the total price)")</f>
        <v>Newlyweds 1 (40% of the total price)</v>
      </c>
      <c r="I234" s="1" t="str">
        <f ca="1">IFERROR(__xludf.DUMMYFUNCTION("GOOGLETRANSLATE('대전도시공사_청년임대주택 현황_20240630'!I234,""ko"",""en"")"),"8188000")</f>
        <v>8188000</v>
      </c>
      <c r="J234" s="1" t="str">
        <f ca="1">IFERROR(__xludf.DUMMYFUNCTION("GOOGLETRANSLATE('대전도시공사_청년임대주택 현황_20240630'!J234,""ko"",""en"")"),"181300")</f>
        <v>181300</v>
      </c>
    </row>
    <row r="235" spans="1:10" ht="12.5" x14ac:dyDescent="0.25">
      <c r="A235" s="1" t="str">
        <f ca="1">IFERROR(__xludf.DUMMYFUNCTION("GOOGLETRANSLATE('대전도시공사_청년임대주택 현황_20240630'!A235,""ko"",""en"")"),"Deokmyeong-dong 505-4 (The M House, youth rental)")</f>
        <v>Deokmyeong-dong 505-4 (The M House, youth rental)</v>
      </c>
      <c r="B235" s="1" t="str">
        <f ca="1">IFERROR(__xludf.DUMMYFUNCTION("GOOGLETRANSLATE('대전도시공사_청년임대주택 현황_20240630'!B235,""ko"",""en"")"),"39")</f>
        <v>39</v>
      </c>
      <c r="C235" s="1" t="str">
        <f ca="1">IFERROR(__xludf.DUMMYFUNCTION("GOOGLETRANSLATE('대전도시공사_청년임대주택 현황_20240630'!C235,""ko"",""en"")"),"1")</f>
        <v>1</v>
      </c>
      <c r="D235" s="1" t="str">
        <f ca="1">IFERROR(__xludf.DUMMYFUNCTION("GOOGLETRANSLATE('대전도시공사_청년임대주택 현황_20240630'!D235,""ko"",""en"")"),"402")</f>
        <v>402</v>
      </c>
      <c r="E235" s="1" t="str">
        <f ca="1">IFERROR(__xludf.DUMMYFUNCTION("GOOGLETRANSLATE('대전도시공사_청년임대주택 현황_20240630'!E235,""ko"",""en"")"),"58.597")</f>
        <v>58.597</v>
      </c>
      <c r="F235" s="1" t="str">
        <f ca="1">IFERROR(__xludf.DUMMYFUNCTION("GOOGLETRANSLATE('대전도시공사_청년임대주택 현황_20240630'!F235,""ko"",""en"")"),"49.38")</f>
        <v>49.38</v>
      </c>
      <c r="G235" s="1" t="str">
        <f ca="1">IFERROR(__xludf.DUMMYFUNCTION("GOOGLETRANSLATE('대전도시공사_청년임대주택 현황_20240630'!G235,""ko"",""en"")"),"9.217")</f>
        <v>9.217</v>
      </c>
      <c r="H235" s="1" t="str">
        <f ca="1">IFERROR(__xludf.DUMMYFUNCTION("GOOGLETRANSLATE('대전도시공사_청년임대주택 현황_20240630'!H235,""ko"",""en"")"),"Newlyweds 2 (70% of the total price)")</f>
        <v>Newlyweds 2 (70% of the total price)</v>
      </c>
      <c r="I235" s="1" t="str">
        <f ca="1">IFERROR(__xludf.DUMMYFUNCTION("GOOGLETRANSLATE('대전도시공사_청년임대주택 현황_20240630'!I235,""ko"",""en"")"),"8188000")</f>
        <v>8188000</v>
      </c>
      <c r="J235" s="1" t="str">
        <f ca="1">IFERROR(__xludf.DUMMYFUNCTION("GOOGLETRANSLATE('대전도시공사_청년임대주택 현황_20240630'!J235,""ko"",""en"")"),"354500")</f>
        <v>354500</v>
      </c>
    </row>
    <row r="236" spans="1:10" ht="12.5" x14ac:dyDescent="0.25">
      <c r="A236" s="1" t="str">
        <f ca="1">IFERROR(__xludf.DUMMYFUNCTION("GOOGLETRANSLATE('대전도시공사_청년임대주택 현황_20240630'!A236,""ko"",""en"")"),"Deokmyeong-dong 505-4 (The M House, youth rental)")</f>
        <v>Deokmyeong-dong 505-4 (The M House, youth rental)</v>
      </c>
      <c r="B236" s="1" t="str">
        <f ca="1">IFERROR(__xludf.DUMMYFUNCTION("GOOGLETRANSLATE('대전도시공사_청년임대주택 현황_20240630'!B236,""ko"",""en"")"),"40")</f>
        <v>40</v>
      </c>
      <c r="C236" s="1" t="str">
        <f ca="1">IFERROR(__xludf.DUMMYFUNCTION("GOOGLETRANSLATE('대전도시공사_청년임대주택 현황_20240630'!C236,""ko"",""en"")"),"1")</f>
        <v>1</v>
      </c>
      <c r="D236" s="1" t="str">
        <f ca="1">IFERROR(__xludf.DUMMYFUNCTION("GOOGLETRANSLATE('대전도시공사_청년임대주택 현황_20240630'!D236,""ko"",""en"")"),"402")</f>
        <v>402</v>
      </c>
      <c r="E236" s="1" t="str">
        <f ca="1">IFERROR(__xludf.DUMMYFUNCTION("GOOGLETRANSLATE('대전도시공사_청년임대주택 현황_20240630'!E236,""ko"",""en"")"),"58.597")</f>
        <v>58.597</v>
      </c>
      <c r="F236" s="1" t="str">
        <f ca="1">IFERROR(__xludf.DUMMYFUNCTION("GOOGLETRANSLATE('대전도시공사_청년임대주택 현황_20240630'!F236,""ko"",""en"")"),"49.38")</f>
        <v>49.38</v>
      </c>
      <c r="G236" s="1" t="str">
        <f ca="1">IFERROR(__xludf.DUMMYFUNCTION("GOOGLETRANSLATE('대전도시공사_청년임대주택 현황_20240630'!G236,""ko"",""en"")"),"9.217")</f>
        <v>9.217</v>
      </c>
      <c r="H236" s="1" t="str">
        <f ca="1">IFERROR(__xludf.DUMMYFUNCTION("GOOGLETRANSLATE('대전도시공사_청년임대주택 현황_20240630'!H236,""ko"",""en"")"),"Newlyweds 2 (80% of the total price)")</f>
        <v>Newlyweds 2 (80% of the total price)</v>
      </c>
      <c r="I236" s="1" t="str">
        <f ca="1">IFERROR(__xludf.DUMMYFUNCTION("GOOGLETRANSLATE('대전도시공사_청년임대주택 현황_20240630'!I236,""ko"",""en"")"),"8188000")</f>
        <v>8188000</v>
      </c>
      <c r="J236" s="1" t="str">
        <f ca="1">IFERROR(__xludf.DUMMYFUNCTION("GOOGLETRANSLATE('대전도시공사_청년임대주택 현황_20240630'!J236,""ko"",""en"")"),"412200")</f>
        <v>412200</v>
      </c>
    </row>
    <row r="237" spans="1:10" ht="12.5" x14ac:dyDescent="0.25">
      <c r="A237" s="1" t="str">
        <f ca="1">IFERROR(__xludf.DUMMYFUNCTION("GOOGLETRANSLATE('대전도시공사_청년임대주택 현황_20240630'!A237,""ko"",""en"")"),"Deokmyeong-dong 505-4 (The M House, youth rental)")</f>
        <v>Deokmyeong-dong 505-4 (The M House, youth rental)</v>
      </c>
      <c r="B237" s="1" t="str">
        <f ca="1">IFERROR(__xludf.DUMMYFUNCTION("GOOGLETRANSLATE('대전도시공사_청년임대주택 현황_20240630'!B237,""ko"",""en"")"),"41")</f>
        <v>41</v>
      </c>
      <c r="C237" s="1" t="str">
        <f ca="1">IFERROR(__xludf.DUMMYFUNCTION("GOOGLETRANSLATE('대전도시공사_청년임대주택 현황_20240630'!C237,""ko"",""en"")"),"1")</f>
        <v>1</v>
      </c>
      <c r="D237" s="1" t="str">
        <f ca="1">IFERROR(__xludf.DUMMYFUNCTION("GOOGLETRANSLATE('대전도시공사_청년임대주택 현황_20240630'!D237,""ko"",""en"")"),"403")</f>
        <v>403</v>
      </c>
      <c r="E237" s="1" t="str">
        <f ca="1">IFERROR(__xludf.DUMMYFUNCTION("GOOGLETRANSLATE('대전도시공사_청년임대주택 현황_20240630'!E237,""ko"",""en"")"),"38.556")</f>
        <v>38.556</v>
      </c>
      <c r="F237" s="1" t="str">
        <f ca="1">IFERROR(__xludf.DUMMYFUNCTION("GOOGLETRANSLATE('대전도시공사_청년임대주택 현황_20240630'!F237,""ko"",""en"")"),"13.8")</f>
        <v>13.8</v>
      </c>
      <c r="G237" s="1" t="str">
        <f ca="1">IFERROR(__xludf.DUMMYFUNCTION("GOOGLETRANSLATE('대전도시공사_청년임대주택 현황_20240630'!G237,""ko"",""en"")"),"24.756")</f>
        <v>24.756</v>
      </c>
      <c r="H237" s="1" t="str">
        <f ca="1">IFERROR(__xludf.DUMMYFUNCTION("GOOGLETRANSLATE('대전도시공사_청년임대주택 현황_20240630'!H237,""ko"",""en"")"),"Youth Rent 1st Place")</f>
        <v>Youth Rent 1st Place</v>
      </c>
      <c r="I237" s="1" t="str">
        <f ca="1">IFERROR(__xludf.DUMMYFUNCTION("GOOGLETRANSLATE('대전도시공사_청년임대주택 현황_20240630'!I237,""ko"",""en"")"),"1000000")</f>
        <v>1000000</v>
      </c>
      <c r="J237" s="1" t="str">
        <f ca="1">IFERROR(__xludf.DUMMYFUNCTION("GOOGLETRANSLATE('대전도시공사_청년임대주택 현황_20240630'!J237,""ko"",""en"")"),"83700")</f>
        <v>83700</v>
      </c>
    </row>
    <row r="238" spans="1:10" ht="12.5" x14ac:dyDescent="0.25">
      <c r="A238" s="1" t="str">
        <f ca="1">IFERROR(__xludf.DUMMYFUNCTION("GOOGLETRANSLATE('대전도시공사_청년임대주택 현황_20240630'!A238,""ko"",""en"")"),"Deokmyeong-dong 505-4 (The M House, youth rental)")</f>
        <v>Deokmyeong-dong 505-4 (The M House, youth rental)</v>
      </c>
      <c r="B238" s="1" t="str">
        <f ca="1">IFERROR(__xludf.DUMMYFUNCTION("GOOGLETRANSLATE('대전도시공사_청년임대주택 현황_20240630'!B238,""ko"",""en"")"),"42")</f>
        <v>42</v>
      </c>
      <c r="C238" s="1" t="str">
        <f ca="1">IFERROR(__xludf.DUMMYFUNCTION("GOOGLETRANSLATE('대전도시공사_청년임대주택 현황_20240630'!C238,""ko"",""en"")"),"1")</f>
        <v>1</v>
      </c>
      <c r="D238" s="1" t="str">
        <f ca="1">IFERROR(__xludf.DUMMYFUNCTION("GOOGLETRANSLATE('대전도시공사_청년임대주택 현황_20240630'!D238,""ko"",""en"")"),"403")</f>
        <v>403</v>
      </c>
      <c r="E238" s="1" t="str">
        <f ca="1">IFERROR(__xludf.DUMMYFUNCTION("GOOGLETRANSLATE('대전도시공사_청년임대주택 현황_20240630'!E238,""ko"",""en"")"),"38.556")</f>
        <v>38.556</v>
      </c>
      <c r="F238" s="1" t="str">
        <f ca="1">IFERROR(__xludf.DUMMYFUNCTION("GOOGLETRANSLATE('대전도시공사_청년임대주택 현황_20240630'!F238,""ko"",""en"")"),"13.8")</f>
        <v>13.8</v>
      </c>
      <c r="G238" s="1" t="str">
        <f ca="1">IFERROR(__xludf.DUMMYFUNCTION("GOOGLETRANSLATE('대전도시공사_청년임대주택 현황_20240630'!G238,""ko"",""en"")"),"24.756")</f>
        <v>24.756</v>
      </c>
      <c r="H238" s="1" t="str">
        <f ca="1">IFERROR(__xludf.DUMMYFUNCTION("GOOGLETRANSLATE('대전도시공사_청년임대주택 현황_20240630'!H238,""ko"",""en"")"),"Youth Rental 2nd Place")</f>
        <v>Youth Rental 2nd Place</v>
      </c>
      <c r="I238" s="1" t="str">
        <f ca="1">IFERROR(__xludf.DUMMYFUNCTION("GOOGLETRANSLATE('대전도시공사_청년임대주택 현황_20240630'!I238,""ko"",""en"")"),"1000000")</f>
        <v>1000000</v>
      </c>
      <c r="J238" s="1" t="str">
        <f ca="1">IFERROR(__xludf.DUMMYFUNCTION("GOOGLETRANSLATE('대전도시공사_청년임대주택 현황_20240630'!J238,""ko"",""en"")"),"83700")</f>
        <v>83700</v>
      </c>
    </row>
    <row r="239" spans="1:10" ht="12.5" x14ac:dyDescent="0.25">
      <c r="A239" s="1" t="str">
        <f ca="1">IFERROR(__xludf.DUMMYFUNCTION("GOOGLETRANSLATE('대전도시공사_청년임대주택 현황_20240630'!A239,""ko"",""en"")"),"Deokmyeong-dong 505-4 (The M House, youth rental)")</f>
        <v>Deokmyeong-dong 505-4 (The M House, youth rental)</v>
      </c>
      <c r="B239" s="1" t="str">
        <f ca="1">IFERROR(__xludf.DUMMYFUNCTION("GOOGLETRANSLATE('대전도시공사_청년임대주택 현황_20240630'!B239,""ko"",""en"")"),"43")</f>
        <v>43</v>
      </c>
      <c r="C239" s="1" t="str">
        <f ca="1">IFERROR(__xludf.DUMMYFUNCTION("GOOGLETRANSLATE('대전도시공사_청년임대주택 현황_20240630'!C239,""ko"",""en"")"),"1")</f>
        <v>1</v>
      </c>
      <c r="D239" s="1" t="str">
        <f ca="1">IFERROR(__xludf.DUMMYFUNCTION("GOOGLETRANSLATE('대전도시공사_청년임대주택 현황_20240630'!D239,""ko"",""en"")"),"403")</f>
        <v>403</v>
      </c>
      <c r="E239" s="1" t="str">
        <f ca="1">IFERROR(__xludf.DUMMYFUNCTION("GOOGLETRANSLATE('대전도시공사_청년임대주택 현황_20240630'!E239,""ko"",""en"")"),"38.556")</f>
        <v>38.556</v>
      </c>
      <c r="F239" s="1" t="str">
        <f ca="1">IFERROR(__xludf.DUMMYFUNCTION("GOOGLETRANSLATE('대전도시공사_청년임대주택 현황_20240630'!F239,""ko"",""en"")"),"13.8")</f>
        <v>13.8</v>
      </c>
      <c r="G239" s="1" t="str">
        <f ca="1">IFERROR(__xludf.DUMMYFUNCTION("GOOGLETRANSLATE('대전도시공사_청년임대주택 현황_20240630'!G239,""ko"",""en"")"),"24.756")</f>
        <v>24.756</v>
      </c>
      <c r="H239" s="1" t="str">
        <f ca="1">IFERROR(__xludf.DUMMYFUNCTION("GOOGLETRANSLATE('대전도시공사_청년임대주택 현황_20240630'!H239,""ko"",""en"")"),"3rd place for youth rental")</f>
        <v>3rd place for youth rental</v>
      </c>
      <c r="I239" s="1" t="str">
        <f ca="1">IFERROR(__xludf.DUMMYFUNCTION("GOOGLETRANSLATE('대전도시공사_청년임대주택 현황_20240630'!I239,""ko"",""en"")"),"2000000")</f>
        <v>2000000</v>
      </c>
      <c r="J239" s="1" t="str">
        <f ca="1">IFERROR(__xludf.DUMMYFUNCTION("GOOGLETRANSLATE('대전도시공사_청년임대주택 현황_20240630'!J239,""ko"",""en"")"),"136600")</f>
        <v>136600</v>
      </c>
    </row>
    <row r="240" spans="1:10" ht="12.5" x14ac:dyDescent="0.25">
      <c r="A240" s="1" t="str">
        <f ca="1">IFERROR(__xludf.DUMMYFUNCTION("GOOGLETRANSLATE('대전도시공사_청년임대주택 현황_20240630'!A240,""ko"",""en"")"),"Deokmyeong-dong 505-4 (The M House, youth rental)")</f>
        <v>Deokmyeong-dong 505-4 (The M House, youth rental)</v>
      </c>
      <c r="B240" s="1" t="str">
        <f ca="1">IFERROR(__xludf.DUMMYFUNCTION("GOOGLETRANSLATE('대전도시공사_청년임대주택 현황_20240630'!B240,""ko"",""en"")"),"44")</f>
        <v>44</v>
      </c>
      <c r="C240" s="1" t="str">
        <f ca="1">IFERROR(__xludf.DUMMYFUNCTION("GOOGLETRANSLATE('대전도시공사_청년임대주택 현황_20240630'!C240,""ko"",""en"")"),"1")</f>
        <v>1</v>
      </c>
      <c r="D240" s="1" t="str">
        <f ca="1">IFERROR(__xludf.DUMMYFUNCTION("GOOGLETRANSLATE('대전도시공사_청년임대주택 현황_20240630'!D240,""ko"",""en"")"),"403")</f>
        <v>403</v>
      </c>
      <c r="E240" s="1" t="str">
        <f ca="1">IFERROR(__xludf.DUMMYFUNCTION("GOOGLETRANSLATE('대전도시공사_청년임대주택 현황_20240630'!E240,""ko"",""en"")"),"38.556")</f>
        <v>38.556</v>
      </c>
      <c r="F240" s="1" t="str">
        <f ca="1">IFERROR(__xludf.DUMMYFUNCTION("GOOGLETRANSLATE('대전도시공사_청년임대주택 현황_20240630'!F240,""ko"",""en"")"),"13.8")</f>
        <v>13.8</v>
      </c>
      <c r="G240" s="1" t="str">
        <f ca="1">IFERROR(__xludf.DUMMYFUNCTION("GOOGLETRANSLATE('대전도시공사_청년임대주택 현황_20240630'!G240,""ko"",""en"")"),"24.756")</f>
        <v>24.756</v>
      </c>
      <c r="H240" s="1" t="str">
        <f ca="1">IFERROR(__xludf.DUMMYFUNCTION("GOOGLETRANSLATE('대전도시공사_청년임대주택 현황_20240630'!H240,""ko"",""en"")"),"4th place for youth rental")</f>
        <v>4th place for youth rental</v>
      </c>
      <c r="I240" s="1" t="str">
        <f ca="1">IFERROR(__xludf.DUMMYFUNCTION("GOOGLETRANSLATE('대전도시공사_청년임대주택 현황_20240630'!I240,""ko"",""en"")"),"2000000")</f>
        <v>2000000</v>
      </c>
      <c r="J240" s="1" t="str">
        <f ca="1">IFERROR(__xludf.DUMMYFUNCTION("GOOGLETRANSLATE('대전도시공사_청년임대주택 현황_20240630'!J240,""ko"",""en"")"),"136600")</f>
        <v>136600</v>
      </c>
    </row>
    <row r="241" spans="1:10" ht="12.5" x14ac:dyDescent="0.25">
      <c r="A241" s="1" t="str">
        <f ca="1">IFERROR(__xludf.DUMMYFUNCTION("GOOGLETRANSLATE('대전도시공사_청년임대주택 현황_20240630'!A241,""ko"",""en"")"),"Deokmyeong-dong 505-4 (The M House, youth rental)")</f>
        <v>Deokmyeong-dong 505-4 (The M House, youth rental)</v>
      </c>
      <c r="B241" s="1" t="str">
        <f ca="1">IFERROR(__xludf.DUMMYFUNCTION("GOOGLETRANSLATE('대전도시공사_청년임대주택 현황_20240630'!B241,""ko"",""en"")"),"45")</f>
        <v>45</v>
      </c>
      <c r="C241" s="1" t="str">
        <f ca="1">IFERROR(__xludf.DUMMYFUNCTION("GOOGLETRANSLATE('대전도시공사_청년임대주택 현황_20240630'!C241,""ko"",""en"")"),"1")</f>
        <v>1</v>
      </c>
      <c r="D241" s="1" t="str">
        <f ca="1">IFERROR(__xludf.DUMMYFUNCTION("GOOGLETRANSLATE('대전도시공사_청년임대주택 현황_20240630'!D241,""ko"",""en"")"),"403")</f>
        <v>403</v>
      </c>
      <c r="E241" s="1" t="str">
        <f ca="1">IFERROR(__xludf.DUMMYFUNCTION("GOOGLETRANSLATE('대전도시공사_청년임대주택 현황_20240630'!E241,""ko"",""en"")"),"23.246")</f>
        <v>23.246</v>
      </c>
      <c r="F241" s="1" t="str">
        <f ca="1">IFERROR(__xludf.DUMMYFUNCTION("GOOGLETRANSLATE('대전도시공사_청년임대주택 현황_20240630'!F241,""ko"",""en"")"),"8.32")</f>
        <v>8.32</v>
      </c>
      <c r="G241" s="1" t="str">
        <f ca="1">IFERROR(__xludf.DUMMYFUNCTION("GOOGLETRANSLATE('대전도시공사_청년임대주택 현황_20240630'!G241,""ko"",""en"")"),"14.925")</f>
        <v>14.925</v>
      </c>
      <c r="H241" s="1" t="str">
        <f ca="1">IFERROR(__xludf.DUMMYFUNCTION("GOOGLETRANSLATE('대전도시공사_청년임대주택 현황_20240630'!H241,""ko"",""en"")"),"Youth Rent 1st Place")</f>
        <v>Youth Rent 1st Place</v>
      </c>
      <c r="I241" s="1" t="str">
        <f ca="1">IFERROR(__xludf.DUMMYFUNCTION("GOOGLETRANSLATE('대전도시공사_청년임대주택 현황_20240630'!I241,""ko"",""en"")"),"1000000")</f>
        <v>1000000</v>
      </c>
      <c r="J241" s="1" t="str">
        <f ca="1">IFERROR(__xludf.DUMMYFUNCTION("GOOGLETRANSLATE('대전도시공사_청년임대주택 현황_20240630'!J241,""ko"",""en"")"),"51500")</f>
        <v>51500</v>
      </c>
    </row>
    <row r="242" spans="1:10" ht="12.5" x14ac:dyDescent="0.25">
      <c r="A242" s="1" t="str">
        <f ca="1">IFERROR(__xludf.DUMMYFUNCTION("GOOGLETRANSLATE('대전도시공사_청년임대주택 현황_20240630'!A242,""ko"",""en"")"),"Deokmyeong-dong 505-4 (The M House, youth rental)")</f>
        <v>Deokmyeong-dong 505-4 (The M House, youth rental)</v>
      </c>
      <c r="B242" s="1" t="str">
        <f ca="1">IFERROR(__xludf.DUMMYFUNCTION("GOOGLETRANSLATE('대전도시공사_청년임대주택 현황_20240630'!B242,""ko"",""en"")"),"46")</f>
        <v>46</v>
      </c>
      <c r="C242" s="1" t="str">
        <f ca="1">IFERROR(__xludf.DUMMYFUNCTION("GOOGLETRANSLATE('대전도시공사_청년임대주택 현황_20240630'!C242,""ko"",""en"")"),"1")</f>
        <v>1</v>
      </c>
      <c r="D242" s="1" t="str">
        <f ca="1">IFERROR(__xludf.DUMMYFUNCTION("GOOGLETRANSLATE('대전도시공사_청년임대주택 현황_20240630'!D242,""ko"",""en"")"),"403")</f>
        <v>403</v>
      </c>
      <c r="E242" s="1" t="str">
        <f ca="1">IFERROR(__xludf.DUMMYFUNCTION("GOOGLETRANSLATE('대전도시공사_청년임대주택 현황_20240630'!E242,""ko"",""en"")"),"23.246")</f>
        <v>23.246</v>
      </c>
      <c r="F242" s="1" t="str">
        <f ca="1">IFERROR(__xludf.DUMMYFUNCTION("GOOGLETRANSLATE('대전도시공사_청년임대주택 현황_20240630'!F242,""ko"",""en"")"),"8.32")</f>
        <v>8.32</v>
      </c>
      <c r="G242" s="1" t="str">
        <f ca="1">IFERROR(__xludf.DUMMYFUNCTION("GOOGLETRANSLATE('대전도시공사_청년임대주택 현황_20240630'!G242,""ko"",""en"")"),"14.925")</f>
        <v>14.925</v>
      </c>
      <c r="H242" s="1" t="str">
        <f ca="1">IFERROR(__xludf.DUMMYFUNCTION("GOOGLETRANSLATE('대전도시공사_청년임대주택 현황_20240630'!H242,""ko"",""en"")"),"Youth Rental 2nd Place")</f>
        <v>Youth Rental 2nd Place</v>
      </c>
      <c r="I242" s="1" t="str">
        <f ca="1">IFERROR(__xludf.DUMMYFUNCTION("GOOGLETRANSLATE('대전도시공사_청년임대주택 현황_20240630'!I242,""ko"",""en"")"),"1000000")</f>
        <v>1000000</v>
      </c>
      <c r="J242" s="1" t="str">
        <f ca="1">IFERROR(__xludf.DUMMYFUNCTION("GOOGLETRANSLATE('대전도시공사_청년임대주택 현황_20240630'!J242,""ko"",""en"")"),"51500")</f>
        <v>51500</v>
      </c>
    </row>
    <row r="243" spans="1:10" ht="12.5" x14ac:dyDescent="0.25">
      <c r="A243" s="1" t="str">
        <f ca="1">IFERROR(__xludf.DUMMYFUNCTION("GOOGLETRANSLATE('대전도시공사_청년임대주택 현황_20240630'!A243,""ko"",""en"")"),"Deokmyeong-dong 505-4 (The M House, youth rental)")</f>
        <v>Deokmyeong-dong 505-4 (The M House, youth rental)</v>
      </c>
      <c r="B243" s="1" t="str">
        <f ca="1">IFERROR(__xludf.DUMMYFUNCTION("GOOGLETRANSLATE('대전도시공사_청년임대주택 현황_20240630'!B243,""ko"",""en"")"),"47")</f>
        <v>47</v>
      </c>
      <c r="C243" s="1" t="str">
        <f ca="1">IFERROR(__xludf.DUMMYFUNCTION("GOOGLETRANSLATE('대전도시공사_청년임대주택 현황_20240630'!C243,""ko"",""en"")"),"1")</f>
        <v>1</v>
      </c>
      <c r="D243" s="1" t="str">
        <f ca="1">IFERROR(__xludf.DUMMYFUNCTION("GOOGLETRANSLATE('대전도시공사_청년임대주택 현황_20240630'!D243,""ko"",""en"")"),"403")</f>
        <v>403</v>
      </c>
      <c r="E243" s="1" t="str">
        <f ca="1">IFERROR(__xludf.DUMMYFUNCTION("GOOGLETRANSLATE('대전도시공사_청년임대주택 현황_20240630'!E243,""ko"",""en"")"),"23.246")</f>
        <v>23.246</v>
      </c>
      <c r="F243" s="1" t="str">
        <f ca="1">IFERROR(__xludf.DUMMYFUNCTION("GOOGLETRANSLATE('대전도시공사_청년임대주택 현황_20240630'!F243,""ko"",""en"")"),"8.32")</f>
        <v>8.32</v>
      </c>
      <c r="G243" s="1" t="str">
        <f ca="1">IFERROR(__xludf.DUMMYFUNCTION("GOOGLETRANSLATE('대전도시공사_청년임대주택 현황_20240630'!G243,""ko"",""en"")"),"14.925")</f>
        <v>14.925</v>
      </c>
      <c r="H243" s="1" t="str">
        <f ca="1">IFERROR(__xludf.DUMMYFUNCTION("GOOGLETRANSLATE('대전도시공사_청년임대주택 현황_20240630'!H243,""ko"",""en"")"),"3rd place for youth rental")</f>
        <v>3rd place for youth rental</v>
      </c>
      <c r="I243" s="1" t="str">
        <f ca="1">IFERROR(__xludf.DUMMYFUNCTION("GOOGLETRANSLATE('대전도시공사_청년임대주택 현황_20240630'!I243,""ko"",""en"")"),"2000000")</f>
        <v>2000000</v>
      </c>
      <c r="J243" s="1" t="str">
        <f ca="1">IFERROR(__xludf.DUMMYFUNCTION("GOOGLETRANSLATE('대전도시공사_청년임대주택 현황_20240630'!J243,""ko"",""en"")"),"83200")</f>
        <v>83200</v>
      </c>
    </row>
    <row r="244" spans="1:10" ht="12.5" x14ac:dyDescent="0.25">
      <c r="A244" s="1" t="str">
        <f ca="1">IFERROR(__xludf.DUMMYFUNCTION("GOOGLETRANSLATE('대전도시공사_청년임대주택 현황_20240630'!A244,""ko"",""en"")"),"Deokmyeong-dong 505-4 (The M House, youth rental)")</f>
        <v>Deokmyeong-dong 505-4 (The M House, youth rental)</v>
      </c>
      <c r="B244" s="1" t="str">
        <f ca="1">IFERROR(__xludf.DUMMYFUNCTION("GOOGLETRANSLATE('대전도시공사_청년임대주택 현황_20240630'!B244,""ko"",""en"")"),"48")</f>
        <v>48</v>
      </c>
      <c r="C244" s="1" t="str">
        <f ca="1">IFERROR(__xludf.DUMMYFUNCTION("GOOGLETRANSLATE('대전도시공사_청년임대주택 현황_20240630'!C244,""ko"",""en"")"),"1")</f>
        <v>1</v>
      </c>
      <c r="D244" s="1" t="str">
        <f ca="1">IFERROR(__xludf.DUMMYFUNCTION("GOOGLETRANSLATE('대전도시공사_청년임대주택 현황_20240630'!D244,""ko"",""en"")"),"403")</f>
        <v>403</v>
      </c>
      <c r="E244" s="1" t="str">
        <f ca="1">IFERROR(__xludf.DUMMYFUNCTION("GOOGLETRANSLATE('대전도시공사_청년임대주택 현황_20240630'!E244,""ko"",""en"")"),"23.246")</f>
        <v>23.246</v>
      </c>
      <c r="F244" s="1" t="str">
        <f ca="1">IFERROR(__xludf.DUMMYFUNCTION("GOOGLETRANSLATE('대전도시공사_청년임대주택 현황_20240630'!F244,""ko"",""en"")"),"8.32")</f>
        <v>8.32</v>
      </c>
      <c r="G244" s="1" t="str">
        <f ca="1">IFERROR(__xludf.DUMMYFUNCTION("GOOGLETRANSLATE('대전도시공사_청년임대주택 현황_20240630'!G244,""ko"",""en"")"),"14.925")</f>
        <v>14.925</v>
      </c>
      <c r="H244" s="1" t="str">
        <f ca="1">IFERROR(__xludf.DUMMYFUNCTION("GOOGLETRANSLATE('대전도시공사_청년임대주택 현황_20240630'!H244,""ko"",""en"")"),"4th place for youth rental")</f>
        <v>4th place for youth rental</v>
      </c>
      <c r="I244" s="1" t="str">
        <f ca="1">IFERROR(__xludf.DUMMYFUNCTION("GOOGLETRANSLATE('대전도시공사_청년임대주택 현황_20240630'!I244,""ko"",""en"")"),"2000000")</f>
        <v>2000000</v>
      </c>
      <c r="J244" s="1" t="str">
        <f ca="1">IFERROR(__xludf.DUMMYFUNCTION("GOOGLETRANSLATE('대전도시공사_청년임대주택 현황_20240630'!J244,""ko"",""en"")"),"83200")</f>
        <v>83200</v>
      </c>
    </row>
    <row r="245" spans="1:10" ht="12.5" x14ac:dyDescent="0.25">
      <c r="A245" s="1" t="str">
        <f ca="1">IFERROR(__xludf.DUMMYFUNCTION("GOOGLETRANSLATE('대전도시공사_청년임대주택 현황_20240630'!A245,""ko"",""en"")"),"Yongjeon-dong 40-7 (Okra B, youth rental)")</f>
        <v>Yongjeon-dong 40-7 (Okra B, youth rental)</v>
      </c>
      <c r="B245" s="1" t="str">
        <f ca="1">IFERROR(__xludf.DUMMYFUNCTION("GOOGLETRANSLATE('대전도시공사_청년임대주택 현황_20240630'!B245,""ko"",""en"")"),"1")</f>
        <v>1</v>
      </c>
      <c r="C245" s="1" t="str">
        <f ca="1">IFERROR(__xludf.DUMMYFUNCTION("GOOGLETRANSLATE('대전도시공사_청년임대주택 현황_20240630'!C245,""ko"",""en"")"),"1")</f>
        <v>1</v>
      </c>
      <c r="D245" s="1" t="str">
        <f ca="1">IFERROR(__xludf.DUMMYFUNCTION("GOOGLETRANSLATE('대전도시공사_청년임대주택 현황_20240630'!D245,""ko"",""en"")"),"101")</f>
        <v>101</v>
      </c>
      <c r="E245" s="1" t="str">
        <f ca="1">IFERROR(__xludf.DUMMYFUNCTION("GOOGLETRANSLATE('대전도시공사_청년임대주택 현황_20240630'!E245,""ko"",""en"")"),"20.93")</f>
        <v>20.93</v>
      </c>
      <c r="F245" s="1" t="str">
        <f ca="1">IFERROR(__xludf.DUMMYFUNCTION("GOOGLETRANSLATE('대전도시공사_청년임대주택 현황_20240630'!F245,""ko"",""en"")"),"18.37")</f>
        <v>18.37</v>
      </c>
      <c r="G245" s="1" t="str">
        <f ca="1">IFERROR(__xludf.DUMMYFUNCTION("GOOGLETRANSLATE('대전도시공사_청년임대주택 현황_20240630'!G245,""ko"",""en"")"),"2.56")</f>
        <v>2.56</v>
      </c>
      <c r="H245" s="1" t="str">
        <f ca="1">IFERROR(__xludf.DUMMYFUNCTION("GOOGLETRANSLATE('대전도시공사_청년임대주택 현황_20240630'!H245,""ko"",""en"")"),"Youth Rent 1st Place")</f>
        <v>Youth Rent 1st Place</v>
      </c>
      <c r="I245" s="1" t="str">
        <f ca="1">IFERROR(__xludf.DUMMYFUNCTION("GOOGLETRANSLATE('대전도시공사_청년임대주택 현황_20240630'!I245,""ko"",""en"")"),"1000000")</f>
        <v>1000000</v>
      </c>
      <c r="J245" s="1" t="str">
        <f ca="1">IFERROR(__xludf.DUMMYFUNCTION("GOOGLETRANSLATE('대전도시공사_청년임대주택 현황_20240630'!J245,""ko"",""en"")"),"99200")</f>
        <v>99200</v>
      </c>
    </row>
    <row r="246" spans="1:10" ht="12.5" x14ac:dyDescent="0.25">
      <c r="A246" s="1" t="str">
        <f ca="1">IFERROR(__xludf.DUMMYFUNCTION("GOOGLETRANSLATE('대전도시공사_청년임대주택 현황_20240630'!A246,""ko"",""en"")"),"Yongjeon-dong 40-7 (Okra B, youth rental)")</f>
        <v>Yongjeon-dong 40-7 (Okra B, youth rental)</v>
      </c>
      <c r="B246" s="1" t="str">
        <f ca="1">IFERROR(__xludf.DUMMYFUNCTION("GOOGLETRANSLATE('대전도시공사_청년임대주택 현황_20240630'!B246,""ko"",""en"")"),"2")</f>
        <v>2</v>
      </c>
      <c r="C246" s="1" t="str">
        <f ca="1">IFERROR(__xludf.DUMMYFUNCTION("GOOGLETRANSLATE('대전도시공사_청년임대주택 현황_20240630'!C246,""ko"",""en"")"),"1")</f>
        <v>1</v>
      </c>
      <c r="D246" s="1" t="str">
        <f ca="1">IFERROR(__xludf.DUMMYFUNCTION("GOOGLETRANSLATE('대전도시공사_청년임대주택 현황_20240630'!D246,""ko"",""en"")"),"101")</f>
        <v>101</v>
      </c>
      <c r="E246" s="1" t="str">
        <f ca="1">IFERROR(__xludf.DUMMYFUNCTION("GOOGLETRANSLATE('대전도시공사_청년임대주택 현황_20240630'!E246,""ko"",""en"")"),"20.93")</f>
        <v>20.93</v>
      </c>
      <c r="F246" s="1" t="str">
        <f ca="1">IFERROR(__xludf.DUMMYFUNCTION("GOOGLETRANSLATE('대전도시공사_청년임대주택 현황_20240630'!F246,""ko"",""en"")"),"18.37")</f>
        <v>18.37</v>
      </c>
      <c r="G246" s="1" t="str">
        <f ca="1">IFERROR(__xludf.DUMMYFUNCTION("GOOGLETRANSLATE('대전도시공사_청년임대주택 현황_20240630'!G246,""ko"",""en"")"),"2.56")</f>
        <v>2.56</v>
      </c>
      <c r="H246" s="1" t="str">
        <f ca="1">IFERROR(__xludf.DUMMYFUNCTION("GOOGLETRANSLATE('대전도시공사_청년임대주택 현황_20240630'!H246,""ko"",""en"")"),"3rd place for youth rental")</f>
        <v>3rd place for youth rental</v>
      </c>
      <c r="I246" s="1" t="str">
        <f ca="1">IFERROR(__xludf.DUMMYFUNCTION("GOOGLETRANSLATE('대전도시공사_청년임대주택 현황_20240630'!I246,""ko"",""en"")"),"2000000")</f>
        <v>2000000</v>
      </c>
      <c r="J246" s="1" t="str">
        <f ca="1">IFERROR(__xludf.DUMMYFUNCTION("GOOGLETRANSLATE('대전도시공사_청년임대주택 현황_20240630'!J246,""ko"",""en"")"),"119300")</f>
        <v>119300</v>
      </c>
    </row>
    <row r="247" spans="1:10" ht="12.5" x14ac:dyDescent="0.25">
      <c r="A247" s="1" t="str">
        <f ca="1">IFERROR(__xludf.DUMMYFUNCTION("GOOGLETRANSLATE('대전도시공사_청년임대주택 현황_20240630'!A247,""ko"",""en"")"),"Yongjeon-dong 40-7 (Okra B, youth rental)")</f>
        <v>Yongjeon-dong 40-7 (Okra B, youth rental)</v>
      </c>
      <c r="B247" s="1" t="str">
        <f ca="1">IFERROR(__xludf.DUMMYFUNCTION("GOOGLETRANSLATE('대전도시공사_청년임대주택 현황_20240630'!B247,""ko"",""en"")"),"3")</f>
        <v>3</v>
      </c>
      <c r="C247" s="1" t="str">
        <f ca="1">IFERROR(__xludf.DUMMYFUNCTION("GOOGLETRANSLATE('대전도시공사_청년임대주택 현황_20240630'!C247,""ko"",""en"")"),"1")</f>
        <v>1</v>
      </c>
      <c r="D247" s="1" t="str">
        <f ca="1">IFERROR(__xludf.DUMMYFUNCTION("GOOGLETRANSLATE('대전도시공사_청년임대주택 현황_20240630'!D247,""ko"",""en"")"),"102")</f>
        <v>102</v>
      </c>
      <c r="E247" s="1" t="str">
        <f ca="1">IFERROR(__xludf.DUMMYFUNCTION("GOOGLETRANSLATE('대전도시공사_청년임대주택 현황_20240630'!E247,""ko"",""en"")"),"22.66")</f>
        <v>22.66</v>
      </c>
      <c r="F247" s="1" t="str">
        <f ca="1">IFERROR(__xludf.DUMMYFUNCTION("GOOGLETRANSLATE('대전도시공사_청년임대주택 현황_20240630'!F247,""ko"",""en"")"),"19.89")</f>
        <v>19.89</v>
      </c>
      <c r="G247" s="1" t="str">
        <f ca="1">IFERROR(__xludf.DUMMYFUNCTION("GOOGLETRANSLATE('대전도시공사_청년임대주택 현황_20240630'!G247,""ko"",""en"")"),"2.77")</f>
        <v>2.77</v>
      </c>
      <c r="H247" s="1" t="str">
        <f ca="1">IFERROR(__xludf.DUMMYFUNCTION("GOOGLETRANSLATE('대전도시공사_청년임대주택 현황_20240630'!H247,""ko"",""en"")"),"3rd place for youth rental")</f>
        <v>3rd place for youth rental</v>
      </c>
      <c r="I247" s="1" t="str">
        <f ca="1">IFERROR(__xludf.DUMMYFUNCTION("GOOGLETRANSLATE('대전도시공사_청년임대주택 현황_20240630'!I247,""ko"",""en"")"),"2000000")</f>
        <v>2000000</v>
      </c>
      <c r="J247" s="1" t="str">
        <f ca="1">IFERROR(__xludf.DUMMYFUNCTION("GOOGLETRANSLATE('대전도시공사_청년임대주택 현황_20240630'!J247,""ko"",""en"")"),"123400")</f>
        <v>123400</v>
      </c>
    </row>
    <row r="248" spans="1:10" ht="12.5" x14ac:dyDescent="0.25">
      <c r="A248" s="1" t="str">
        <f ca="1">IFERROR(__xludf.DUMMYFUNCTION("GOOGLETRANSLATE('대전도시공사_청년임대주택 현황_20240630'!A248,""ko"",""en"")"),"Yongjeon-dong 40-7 (Okra B, youth rental)")</f>
        <v>Yongjeon-dong 40-7 (Okra B, youth rental)</v>
      </c>
      <c r="B248" s="1" t="str">
        <f ca="1">IFERROR(__xludf.DUMMYFUNCTION("GOOGLETRANSLATE('대전도시공사_청년임대주택 현황_20240630'!B248,""ko"",""en"")"),"4")</f>
        <v>4</v>
      </c>
      <c r="C248" s="1" t="str">
        <f ca="1">IFERROR(__xludf.DUMMYFUNCTION("GOOGLETRANSLATE('대전도시공사_청년임대주택 현황_20240630'!C248,""ko"",""en"")"),"1")</f>
        <v>1</v>
      </c>
      <c r="D248" s="1" t="str">
        <f ca="1">IFERROR(__xludf.DUMMYFUNCTION("GOOGLETRANSLATE('대전도시공사_청년임대주택 현황_20240630'!D248,""ko"",""en"")"),"103")</f>
        <v>103</v>
      </c>
      <c r="E248" s="1" t="str">
        <f ca="1">IFERROR(__xludf.DUMMYFUNCTION("GOOGLETRANSLATE('대전도시공사_청년임대주택 현황_20240630'!E248,""ko"",""en"")"),"24.89")</f>
        <v>24.89</v>
      </c>
      <c r="F248" s="1" t="str">
        <f ca="1">IFERROR(__xludf.DUMMYFUNCTION("GOOGLETRANSLATE('대전도시공사_청년임대주택 현황_20240630'!F248,""ko"",""en"")"),"21.84")</f>
        <v>21.84</v>
      </c>
      <c r="G248" s="1" t="str">
        <f ca="1">IFERROR(__xludf.DUMMYFUNCTION("GOOGLETRANSLATE('대전도시공사_청년임대주택 현황_20240630'!G248,""ko"",""en"")"),"3.05")</f>
        <v>3.05</v>
      </c>
      <c r="H248" s="1" t="str">
        <f ca="1">IFERROR(__xludf.DUMMYFUNCTION("GOOGLETRANSLATE('대전도시공사_청년임대주택 현황_20240630'!H248,""ko"",""en"")"),"3rd place for youth rental")</f>
        <v>3rd place for youth rental</v>
      </c>
      <c r="I248" s="1" t="str">
        <f ca="1">IFERROR(__xludf.DUMMYFUNCTION("GOOGLETRANSLATE('대전도시공사_청년임대주택 현황_20240630'!I248,""ko"",""en"")"),"2000000")</f>
        <v>2000000</v>
      </c>
      <c r="J248" s="1" t="str">
        <f ca="1">IFERROR(__xludf.DUMMYFUNCTION("GOOGLETRANSLATE('대전도시공사_청년임대주택 현황_20240630'!J248,""ko"",""en"")"),"130500")</f>
        <v>130500</v>
      </c>
    </row>
    <row r="249" spans="1:10" ht="12.5" x14ac:dyDescent="0.25">
      <c r="A249" s="1" t="str">
        <f ca="1">IFERROR(__xludf.DUMMYFUNCTION("GOOGLETRANSLATE('대전도시공사_청년임대주택 현황_20240630'!A249,""ko"",""en"")"),"Yongjeon-dong 40-7 (Okra B, youth rental)")</f>
        <v>Yongjeon-dong 40-7 (Okra B, youth rental)</v>
      </c>
      <c r="B249" s="1" t="str">
        <f ca="1">IFERROR(__xludf.DUMMYFUNCTION("GOOGLETRANSLATE('대전도시공사_청년임대주택 현황_20240630'!B249,""ko"",""en"")"),"5")</f>
        <v>5</v>
      </c>
      <c r="C249" s="1" t="str">
        <f ca="1">IFERROR(__xludf.DUMMYFUNCTION("GOOGLETRANSLATE('대전도시공사_청년임대주택 현황_20240630'!C249,""ko"",""en"")"),"1")</f>
        <v>1</v>
      </c>
      <c r="D249" s="1" t="str">
        <f ca="1">IFERROR(__xludf.DUMMYFUNCTION("GOOGLETRANSLATE('대전도시공사_청년임대주택 현황_20240630'!D249,""ko"",""en"")"),"104")</f>
        <v>104</v>
      </c>
      <c r="E249" s="1" t="str">
        <f ca="1">IFERROR(__xludf.DUMMYFUNCTION("GOOGLETRANSLATE('대전도시공사_청년임대주택 현황_20240630'!E249,""ko"",""en"")"),"22.66")</f>
        <v>22.66</v>
      </c>
      <c r="F249" s="1" t="str">
        <f ca="1">IFERROR(__xludf.DUMMYFUNCTION("GOOGLETRANSLATE('대전도시공사_청년임대주택 현황_20240630'!F249,""ko"",""en"")"),"19.89")</f>
        <v>19.89</v>
      </c>
      <c r="G249" s="1" t="str">
        <f ca="1">IFERROR(__xludf.DUMMYFUNCTION("GOOGLETRANSLATE('대전도시공사_청년임대주택 현황_20240630'!G249,""ko"",""en"")"),"2.77")</f>
        <v>2.77</v>
      </c>
      <c r="H249" s="1" t="str">
        <f ca="1">IFERROR(__xludf.DUMMYFUNCTION("GOOGLETRANSLATE('대전도시공사_청년임대주택 현황_20240630'!H249,""ko"",""en"")"),"3rd place for youth rental")</f>
        <v>3rd place for youth rental</v>
      </c>
      <c r="I249" s="1" t="str">
        <f ca="1">IFERROR(__xludf.DUMMYFUNCTION("GOOGLETRANSLATE('대전도시공사_청년임대주택 현황_20240630'!I249,""ko"",""en"")"),"2000000")</f>
        <v>2000000</v>
      </c>
      <c r="J249" s="1" t="str">
        <f ca="1">IFERROR(__xludf.DUMMYFUNCTION("GOOGLETRANSLATE('대전도시공사_청년임대주택 현황_20240630'!J249,""ko"",""en"")"),"127400")</f>
        <v>127400</v>
      </c>
    </row>
    <row r="250" spans="1:10" ht="12.5" x14ac:dyDescent="0.25">
      <c r="A250" s="1" t="str">
        <f ca="1">IFERROR(__xludf.DUMMYFUNCTION("GOOGLETRANSLATE('대전도시공사_청년임대주택 현황_20240630'!A250,""ko"",""en"")"),"Yongjeon-dong 40-7 (Okra B, youth rental)")</f>
        <v>Yongjeon-dong 40-7 (Okra B, youth rental)</v>
      </c>
      <c r="B250" s="1" t="str">
        <f ca="1">IFERROR(__xludf.DUMMYFUNCTION("GOOGLETRANSLATE('대전도시공사_청년임대주택 현황_20240630'!B250,""ko"",""en"")"),"6")</f>
        <v>6</v>
      </c>
      <c r="C250" s="1" t="str">
        <f ca="1">IFERROR(__xludf.DUMMYFUNCTION("GOOGLETRANSLATE('대전도시공사_청년임대주택 현황_20240630'!C250,""ko"",""en"")"),"1")</f>
        <v>1</v>
      </c>
      <c r="D250" s="1" t="str">
        <f ca="1">IFERROR(__xludf.DUMMYFUNCTION("GOOGLETRANSLATE('대전도시공사_청년임대주택 현황_20240630'!D250,""ko"",""en"")"),"105")</f>
        <v>105</v>
      </c>
      <c r="E250" s="1" t="str">
        <f ca="1">IFERROR(__xludf.DUMMYFUNCTION("GOOGLETRANSLATE('대전도시공사_청년임대주택 현황_20240630'!E250,""ko"",""en"")"),"20.93")</f>
        <v>20.93</v>
      </c>
      <c r="F250" s="1" t="str">
        <f ca="1">IFERROR(__xludf.DUMMYFUNCTION("GOOGLETRANSLATE('대전도시공사_청년임대주택 현황_20240630'!F250,""ko"",""en"")"),"18.37")</f>
        <v>18.37</v>
      </c>
      <c r="G250" s="1" t="str">
        <f ca="1">IFERROR(__xludf.DUMMYFUNCTION("GOOGLETRANSLATE('대전도시공사_청년임대주택 현황_20240630'!G250,""ko"",""en"")"),"2.56")</f>
        <v>2.56</v>
      </c>
      <c r="H250" s="1" t="str">
        <f ca="1">IFERROR(__xludf.DUMMYFUNCTION("GOOGLETRANSLATE('대전도시공사_청년임대주택 현황_20240630'!H250,""ko"",""en"")"),"3rd place for youth rental")</f>
        <v>3rd place for youth rental</v>
      </c>
      <c r="I250" s="1" t="str">
        <f ca="1">IFERROR(__xludf.DUMMYFUNCTION("GOOGLETRANSLATE('대전도시공사_청년임대주택 현황_20240630'!I250,""ko"",""en"")"),"2000000")</f>
        <v>2000000</v>
      </c>
      <c r="J250" s="1" t="str">
        <f ca="1">IFERROR(__xludf.DUMMYFUNCTION("GOOGLETRANSLATE('대전도시공사_청년임대주택 현황_20240630'!J250,""ko"",""en"")"),"121800")</f>
        <v>121800</v>
      </c>
    </row>
    <row r="251" spans="1:10" ht="12.5" x14ac:dyDescent="0.25">
      <c r="A251" s="1" t="str">
        <f ca="1">IFERROR(__xludf.DUMMYFUNCTION("GOOGLETRANSLATE('대전도시공사_청년임대주택 현황_20240630'!A251,""ko"",""en"")"),"Yongjeon-dong 40-7 (Okra B, youth rental)")</f>
        <v>Yongjeon-dong 40-7 (Okra B, youth rental)</v>
      </c>
      <c r="B251" s="1" t="str">
        <f ca="1">IFERROR(__xludf.DUMMYFUNCTION("GOOGLETRANSLATE('대전도시공사_청년임대주택 현황_20240630'!B251,""ko"",""en"")"),"7")</f>
        <v>7</v>
      </c>
      <c r="C251" s="1" t="str">
        <f ca="1">IFERROR(__xludf.DUMMYFUNCTION("GOOGLETRANSLATE('대전도시공사_청년임대주택 현황_20240630'!C251,""ko"",""en"")"),"1")</f>
        <v>1</v>
      </c>
      <c r="D251" s="1" t="str">
        <f ca="1">IFERROR(__xludf.DUMMYFUNCTION("GOOGLETRANSLATE('대전도시공사_청년임대주택 현황_20240630'!D251,""ko"",""en"")"),"201")</f>
        <v>201</v>
      </c>
      <c r="E251" s="1" t="str">
        <f ca="1">IFERROR(__xludf.DUMMYFUNCTION("GOOGLETRANSLATE('대전도시공사_청년임대주택 현황_20240630'!E251,""ko"",""en"")"),"20.93")</f>
        <v>20.93</v>
      </c>
      <c r="F251" s="1" t="str">
        <f ca="1">IFERROR(__xludf.DUMMYFUNCTION("GOOGLETRANSLATE('대전도시공사_청년임대주택 현황_20240630'!F251,""ko"",""en"")"),"18.37")</f>
        <v>18.37</v>
      </c>
      <c r="G251" s="1" t="str">
        <f ca="1">IFERROR(__xludf.DUMMYFUNCTION("GOOGLETRANSLATE('대전도시공사_청년임대주택 현황_20240630'!G251,""ko"",""en"")"),"2.56")</f>
        <v>2.56</v>
      </c>
      <c r="H251" s="1" t="str">
        <f ca="1">IFERROR(__xludf.DUMMYFUNCTION("GOOGLETRANSLATE('대전도시공사_청년임대주택 현황_20240630'!H251,""ko"",""en"")"),"Youth Rent 1st Place")</f>
        <v>Youth Rent 1st Place</v>
      </c>
      <c r="I251" s="1" t="str">
        <f ca="1">IFERROR(__xludf.DUMMYFUNCTION("GOOGLETRANSLATE('대전도시공사_청년임대주택 현황_20240630'!I251,""ko"",""en"")"),"1000000")</f>
        <v>1000000</v>
      </c>
      <c r="J251" s="1" t="str">
        <f ca="1">IFERROR(__xludf.DUMMYFUNCTION("GOOGLETRANSLATE('대전도시공사_청년임대주택 현황_20240630'!J251,""ko"",""en"")"),"100500")</f>
        <v>100500</v>
      </c>
    </row>
    <row r="252" spans="1:10" ht="12.5" x14ac:dyDescent="0.25">
      <c r="A252" s="1" t="str">
        <f ca="1">IFERROR(__xludf.DUMMYFUNCTION("GOOGLETRANSLATE('대전도시공사_청년임대주택 현황_20240630'!A252,""ko"",""en"")"),"Yongjeon-dong 40-7 (Okra B, youth rental)")</f>
        <v>Yongjeon-dong 40-7 (Okra B, youth rental)</v>
      </c>
      <c r="B252" s="1" t="str">
        <f ca="1">IFERROR(__xludf.DUMMYFUNCTION("GOOGLETRANSLATE('대전도시공사_청년임대주택 현황_20240630'!B252,""ko"",""en"")"),"8")</f>
        <v>8</v>
      </c>
      <c r="C252" s="1" t="str">
        <f ca="1">IFERROR(__xludf.DUMMYFUNCTION("GOOGLETRANSLATE('대전도시공사_청년임대주택 현황_20240630'!C252,""ko"",""en"")"),"1")</f>
        <v>1</v>
      </c>
      <c r="D252" s="1" t="str">
        <f ca="1">IFERROR(__xludf.DUMMYFUNCTION("GOOGLETRANSLATE('대전도시공사_청년임대주택 현황_20240630'!D252,""ko"",""en"")"),"201")</f>
        <v>201</v>
      </c>
      <c r="E252" s="1" t="str">
        <f ca="1">IFERROR(__xludf.DUMMYFUNCTION("GOOGLETRANSLATE('대전도시공사_청년임대주택 현황_20240630'!E252,""ko"",""en"")"),"20.93")</f>
        <v>20.93</v>
      </c>
      <c r="F252" s="1" t="str">
        <f ca="1">IFERROR(__xludf.DUMMYFUNCTION("GOOGLETRANSLATE('대전도시공사_청년임대주택 현황_20240630'!F252,""ko"",""en"")"),"18.37")</f>
        <v>18.37</v>
      </c>
      <c r="G252" s="1" t="str">
        <f ca="1">IFERROR(__xludf.DUMMYFUNCTION("GOOGLETRANSLATE('대전도시공사_청년임대주택 현황_20240630'!G252,""ko"",""en"")"),"2.56")</f>
        <v>2.56</v>
      </c>
      <c r="H252" s="1" t="str">
        <f ca="1">IFERROR(__xludf.DUMMYFUNCTION("GOOGLETRANSLATE('대전도시공사_청년임대주택 현황_20240630'!H252,""ko"",""en"")"),"Youth Rental 2nd Place")</f>
        <v>Youth Rental 2nd Place</v>
      </c>
      <c r="I252" s="1" t="str">
        <f ca="1">IFERROR(__xludf.DUMMYFUNCTION("GOOGLETRANSLATE('대전도시공사_청년임대주택 현황_20240630'!I252,""ko"",""en"")"),"2000000")</f>
        <v>2000000</v>
      </c>
      <c r="J252" s="1" t="str">
        <f ca="1">IFERROR(__xludf.DUMMYFUNCTION("GOOGLETRANSLATE('대전도시공사_청년임대주택 현황_20240630'!J252,""ko"",""en"")"),"120900")</f>
        <v>120900</v>
      </c>
    </row>
    <row r="253" spans="1:10" ht="12.5" x14ac:dyDescent="0.25">
      <c r="A253" s="1" t="str">
        <f ca="1">IFERROR(__xludf.DUMMYFUNCTION("GOOGLETRANSLATE('대전도시공사_청년임대주택 현황_20240630'!A253,""ko"",""en"")"),"Yongjeon-dong 40-7 (Okra B, youth rental)")</f>
        <v>Yongjeon-dong 40-7 (Okra B, youth rental)</v>
      </c>
      <c r="B253" s="1" t="str">
        <f ca="1">IFERROR(__xludf.DUMMYFUNCTION("GOOGLETRANSLATE('대전도시공사_청년임대주택 현황_20240630'!B253,""ko"",""en"")"),"9")</f>
        <v>9</v>
      </c>
      <c r="C253" s="1" t="str">
        <f ca="1">IFERROR(__xludf.DUMMYFUNCTION("GOOGLETRANSLATE('대전도시공사_청년임대주택 현황_20240630'!C253,""ko"",""en"")"),"1")</f>
        <v>1</v>
      </c>
      <c r="D253" s="1" t="str">
        <f ca="1">IFERROR(__xludf.DUMMYFUNCTION("GOOGLETRANSLATE('대전도시공사_청년임대주택 현황_20240630'!D253,""ko"",""en"")"),"201")</f>
        <v>201</v>
      </c>
      <c r="E253" s="1" t="str">
        <f ca="1">IFERROR(__xludf.DUMMYFUNCTION("GOOGLETRANSLATE('대전도시공사_청년임대주택 현황_20240630'!E253,""ko"",""en"")"),"20.93")</f>
        <v>20.93</v>
      </c>
      <c r="F253" s="1" t="str">
        <f ca="1">IFERROR(__xludf.DUMMYFUNCTION("GOOGLETRANSLATE('대전도시공사_청년임대주택 현황_20240630'!F253,""ko"",""en"")"),"18.37")</f>
        <v>18.37</v>
      </c>
      <c r="G253" s="1" t="str">
        <f ca="1">IFERROR(__xludf.DUMMYFUNCTION("GOOGLETRANSLATE('대전도시공사_청년임대주택 현황_20240630'!G253,""ko"",""en"")"),"2.56")</f>
        <v>2.56</v>
      </c>
      <c r="H253" s="1" t="str">
        <f ca="1">IFERROR(__xludf.DUMMYFUNCTION("GOOGLETRANSLATE('대전도시공사_청년임대주택 현황_20240630'!H253,""ko"",""en"")"),"3rd place for youth rental")</f>
        <v>3rd place for youth rental</v>
      </c>
      <c r="I253" s="1" t="str">
        <f ca="1">IFERROR(__xludf.DUMMYFUNCTION("GOOGLETRANSLATE('대전도시공사_청년임대주택 현황_20240630'!I253,""ko"",""en"")"),"2000000")</f>
        <v>2000000</v>
      </c>
      <c r="J253" s="1" t="str">
        <f ca="1">IFERROR(__xludf.DUMMYFUNCTION("GOOGLETRANSLATE('대전도시공사_청년임대주택 현황_20240630'!J253,""ko"",""en"")"),"120900")</f>
        <v>120900</v>
      </c>
    </row>
    <row r="254" spans="1:10" ht="12.5" x14ac:dyDescent="0.25">
      <c r="A254" s="1" t="str">
        <f ca="1">IFERROR(__xludf.DUMMYFUNCTION("GOOGLETRANSLATE('대전도시공사_청년임대주택 현황_20240630'!A254,""ko"",""en"")"),"Yongjeon-dong 40-7 (Okra B, youth rental)")</f>
        <v>Yongjeon-dong 40-7 (Okra B, youth rental)</v>
      </c>
      <c r="B254" s="1" t="str">
        <f ca="1">IFERROR(__xludf.DUMMYFUNCTION("GOOGLETRANSLATE('대전도시공사_청년임대주택 현황_20240630'!B254,""ko"",""en"")"),"10")</f>
        <v>10</v>
      </c>
      <c r="C254" s="1" t="str">
        <f ca="1">IFERROR(__xludf.DUMMYFUNCTION("GOOGLETRANSLATE('대전도시공사_청년임대주택 현황_20240630'!C254,""ko"",""en"")"),"1")</f>
        <v>1</v>
      </c>
      <c r="D254" s="1" t="str">
        <f ca="1">IFERROR(__xludf.DUMMYFUNCTION("GOOGLETRANSLATE('대전도시공사_청년임대주택 현황_20240630'!D254,""ko"",""en"")"),"202")</f>
        <v>202</v>
      </c>
      <c r="E254" s="1" t="str">
        <f ca="1">IFERROR(__xludf.DUMMYFUNCTION("GOOGLETRANSLATE('대전도시공사_청년임대주택 현황_20240630'!E254,""ko"",""en"")"),"22.66")</f>
        <v>22.66</v>
      </c>
      <c r="F254" s="1" t="str">
        <f ca="1">IFERROR(__xludf.DUMMYFUNCTION("GOOGLETRANSLATE('대전도시공사_청년임대주택 현황_20240630'!F254,""ko"",""en"")"),"19.89")</f>
        <v>19.89</v>
      </c>
      <c r="G254" s="1" t="str">
        <f ca="1">IFERROR(__xludf.DUMMYFUNCTION("GOOGLETRANSLATE('대전도시공사_청년임대주택 현황_20240630'!G254,""ko"",""en"")"),"2.77")</f>
        <v>2.77</v>
      </c>
      <c r="H254" s="1" t="str">
        <f ca="1">IFERROR(__xludf.DUMMYFUNCTION("GOOGLETRANSLATE('대전도시공사_청년임대주택 현황_20240630'!H254,""ko"",""en"")"),"3rd place for youth rental")</f>
        <v>3rd place for youth rental</v>
      </c>
      <c r="I254" s="1" t="str">
        <f ca="1">IFERROR(__xludf.DUMMYFUNCTION("GOOGLETRANSLATE('대전도시공사_청년임대주택 현황_20240630'!I254,""ko"",""en"")"),"2000000")</f>
        <v>2000000</v>
      </c>
      <c r="J254" s="1" t="str">
        <f ca="1">IFERROR(__xludf.DUMMYFUNCTION("GOOGLETRANSLATE('대전도시공사_청년임대주택 현황_20240630'!J254,""ko"",""en"")"),"124600")</f>
        <v>124600</v>
      </c>
    </row>
    <row r="255" spans="1:10" ht="12.5" x14ac:dyDescent="0.25">
      <c r="A255" s="1" t="str">
        <f ca="1">IFERROR(__xludf.DUMMYFUNCTION("GOOGLETRANSLATE('대전도시공사_청년임대주택 현황_20240630'!A255,""ko"",""en"")"),"Yongjeon-dong 40-7 (Okra B, youth rental)")</f>
        <v>Yongjeon-dong 40-7 (Okra B, youth rental)</v>
      </c>
      <c r="B255" s="1" t="str">
        <f ca="1">IFERROR(__xludf.DUMMYFUNCTION("GOOGLETRANSLATE('대전도시공사_청년임대주택 현황_20240630'!B255,""ko"",""en"")"),"11")</f>
        <v>11</v>
      </c>
      <c r="C255" s="1" t="str">
        <f ca="1">IFERROR(__xludf.DUMMYFUNCTION("GOOGLETRANSLATE('대전도시공사_청년임대주택 현황_20240630'!C255,""ko"",""en"")"),"1")</f>
        <v>1</v>
      </c>
      <c r="D255" s="1" t="str">
        <f ca="1">IFERROR(__xludf.DUMMYFUNCTION("GOOGLETRANSLATE('대전도시공사_청년임대주택 현황_20240630'!D255,""ko"",""en"")"),"203")</f>
        <v>203</v>
      </c>
      <c r="E255" s="1" t="str">
        <f ca="1">IFERROR(__xludf.DUMMYFUNCTION("GOOGLETRANSLATE('대전도시공사_청년임대주택 현황_20240630'!E255,""ko"",""en"")"),"24.89")</f>
        <v>24.89</v>
      </c>
      <c r="F255" s="1" t="str">
        <f ca="1">IFERROR(__xludf.DUMMYFUNCTION("GOOGLETRANSLATE('대전도시공사_청년임대주택 현황_20240630'!F255,""ko"",""en"")"),"21.84")</f>
        <v>21.84</v>
      </c>
      <c r="G255" s="1" t="str">
        <f ca="1">IFERROR(__xludf.DUMMYFUNCTION("GOOGLETRANSLATE('대전도시공사_청년임대주택 현황_20240630'!G255,""ko"",""en"")"),"3.05")</f>
        <v>3.05</v>
      </c>
      <c r="H255" s="1" t="str">
        <f ca="1">IFERROR(__xludf.DUMMYFUNCTION("GOOGLETRANSLATE('대전도시공사_청년임대주택 현황_20240630'!H255,""ko"",""en"")"),"Youth Rent 1st Place")</f>
        <v>Youth Rent 1st Place</v>
      </c>
      <c r="I255" s="1" t="str">
        <f ca="1">IFERROR(__xludf.DUMMYFUNCTION("GOOGLETRANSLATE('대전도시공사_청년임대주택 현황_20240630'!I255,""ko"",""en"")"),"1000000")</f>
        <v>1000000</v>
      </c>
      <c r="J255" s="1" t="str">
        <f ca="1">IFERROR(__xludf.DUMMYFUNCTION("GOOGLETRANSLATE('대전도시공사_청년임대주택 현황_20240630'!J255,""ko"",""en"")"),"109400")</f>
        <v>109400</v>
      </c>
    </row>
    <row r="256" spans="1:10" ht="12.5" x14ac:dyDescent="0.25">
      <c r="A256" s="1" t="str">
        <f ca="1">IFERROR(__xludf.DUMMYFUNCTION("GOOGLETRANSLATE('대전도시공사_청년임대주택 현황_20240630'!A256,""ko"",""en"")"),"Yongjeon-dong 40-7 (Okra B, youth rental)")</f>
        <v>Yongjeon-dong 40-7 (Okra B, youth rental)</v>
      </c>
      <c r="B256" s="1" t="str">
        <f ca="1">IFERROR(__xludf.DUMMYFUNCTION("GOOGLETRANSLATE('대전도시공사_청년임대주택 현황_20240630'!B256,""ko"",""en"")"),"12")</f>
        <v>12</v>
      </c>
      <c r="C256" s="1" t="str">
        <f ca="1">IFERROR(__xludf.DUMMYFUNCTION("GOOGLETRANSLATE('대전도시공사_청년임대주택 현황_20240630'!C256,""ko"",""en"")"),"1")</f>
        <v>1</v>
      </c>
      <c r="D256" s="1" t="str">
        <f ca="1">IFERROR(__xludf.DUMMYFUNCTION("GOOGLETRANSLATE('대전도시공사_청년임대주택 현황_20240630'!D256,""ko"",""en"")"),"203")</f>
        <v>203</v>
      </c>
      <c r="E256" s="1" t="str">
        <f ca="1">IFERROR(__xludf.DUMMYFUNCTION("GOOGLETRANSLATE('대전도시공사_청년임대주택 현황_20240630'!E256,""ko"",""en"")"),"24.89")</f>
        <v>24.89</v>
      </c>
      <c r="F256" s="1" t="str">
        <f ca="1">IFERROR(__xludf.DUMMYFUNCTION("GOOGLETRANSLATE('대전도시공사_청년임대주택 현황_20240630'!F256,""ko"",""en"")"),"21.84")</f>
        <v>21.84</v>
      </c>
      <c r="G256" s="1" t="str">
        <f ca="1">IFERROR(__xludf.DUMMYFUNCTION("GOOGLETRANSLATE('대전도시공사_청년임대주택 현황_20240630'!G256,""ko"",""en"")"),"3.05")</f>
        <v>3.05</v>
      </c>
      <c r="H256" s="1" t="str">
        <f ca="1">IFERROR(__xludf.DUMMYFUNCTION("GOOGLETRANSLATE('대전도시공사_청년임대주택 현황_20240630'!H256,""ko"",""en"")"),"Youth Rental 2nd Place")</f>
        <v>Youth Rental 2nd Place</v>
      </c>
      <c r="I256" s="1" t="str">
        <f ca="1">IFERROR(__xludf.DUMMYFUNCTION("GOOGLETRANSLATE('대전도시공사_청년임대주택 현황_20240630'!I256,""ko"",""en"")"),"2000000")</f>
        <v>2000000</v>
      </c>
      <c r="J256" s="1" t="str">
        <f ca="1">IFERROR(__xludf.DUMMYFUNCTION("GOOGLETRANSLATE('대전도시공사_청년임대주택 현황_20240630'!J256,""ko"",""en"")"),"132100")</f>
        <v>132100</v>
      </c>
    </row>
    <row r="257" spans="1:10" ht="12.5" x14ac:dyDescent="0.25">
      <c r="A257" s="1" t="str">
        <f ca="1">IFERROR(__xludf.DUMMYFUNCTION("GOOGLETRANSLATE('대전도시공사_청년임대주택 현황_20240630'!A257,""ko"",""en"")"),"Yongjeon-dong 40-7 (Okra B, youth rental)")</f>
        <v>Yongjeon-dong 40-7 (Okra B, youth rental)</v>
      </c>
      <c r="B257" s="1" t="str">
        <f ca="1">IFERROR(__xludf.DUMMYFUNCTION("GOOGLETRANSLATE('대전도시공사_청년임대주택 현황_20240630'!B257,""ko"",""en"")"),"13")</f>
        <v>13</v>
      </c>
      <c r="C257" s="1" t="str">
        <f ca="1">IFERROR(__xludf.DUMMYFUNCTION("GOOGLETRANSLATE('대전도시공사_청년임대주택 현황_20240630'!C257,""ko"",""en"")"),"1")</f>
        <v>1</v>
      </c>
      <c r="D257" s="1" t="str">
        <f ca="1">IFERROR(__xludf.DUMMYFUNCTION("GOOGLETRANSLATE('대전도시공사_청년임대주택 현황_20240630'!D257,""ko"",""en"")"),"203")</f>
        <v>203</v>
      </c>
      <c r="E257" s="1" t="str">
        <f ca="1">IFERROR(__xludf.DUMMYFUNCTION("GOOGLETRANSLATE('대전도시공사_청년임대주택 현황_20240630'!E257,""ko"",""en"")"),"24.89")</f>
        <v>24.89</v>
      </c>
      <c r="F257" s="1" t="str">
        <f ca="1">IFERROR(__xludf.DUMMYFUNCTION("GOOGLETRANSLATE('대전도시공사_청년임대주택 현황_20240630'!F257,""ko"",""en"")"),"21.84")</f>
        <v>21.84</v>
      </c>
      <c r="G257" s="1" t="str">
        <f ca="1">IFERROR(__xludf.DUMMYFUNCTION("GOOGLETRANSLATE('대전도시공사_청년임대주택 현황_20240630'!G257,""ko"",""en"")"),"3.05")</f>
        <v>3.05</v>
      </c>
      <c r="H257" s="1" t="str">
        <f ca="1">IFERROR(__xludf.DUMMYFUNCTION("GOOGLETRANSLATE('대전도시공사_청년임대주택 현황_20240630'!H257,""ko"",""en"")"),"3rd place for youth rental")</f>
        <v>3rd place for youth rental</v>
      </c>
      <c r="I257" s="1" t="str">
        <f ca="1">IFERROR(__xludf.DUMMYFUNCTION("GOOGLETRANSLATE('대전도시공사_청년임대주택 현황_20240630'!I257,""ko"",""en"")"),"2000000")</f>
        <v>2000000</v>
      </c>
      <c r="J257" s="1" t="str">
        <f ca="1">IFERROR(__xludf.DUMMYFUNCTION("GOOGLETRANSLATE('대전도시공사_청년임대주택 현황_20240630'!J257,""ko"",""en"")"),"132100")</f>
        <v>132100</v>
      </c>
    </row>
    <row r="258" spans="1:10" ht="12.5" x14ac:dyDescent="0.25">
      <c r="A258" s="1" t="str">
        <f ca="1">IFERROR(__xludf.DUMMYFUNCTION("GOOGLETRANSLATE('대전도시공사_청년임대주택 현황_20240630'!A258,""ko"",""en"")"),"Yongjeon-dong 40-7 (Okra B, youth rental)")</f>
        <v>Yongjeon-dong 40-7 (Okra B, youth rental)</v>
      </c>
      <c r="B258" s="1" t="str">
        <f ca="1">IFERROR(__xludf.DUMMYFUNCTION("GOOGLETRANSLATE('대전도시공사_청년임대주택 현황_20240630'!B258,""ko"",""en"")"),"14")</f>
        <v>14</v>
      </c>
      <c r="C258" s="1" t="str">
        <f ca="1">IFERROR(__xludf.DUMMYFUNCTION("GOOGLETRANSLATE('대전도시공사_청년임대주택 현황_20240630'!C258,""ko"",""en"")"),"1")</f>
        <v>1</v>
      </c>
      <c r="D258" s="1" t="str">
        <f ca="1">IFERROR(__xludf.DUMMYFUNCTION("GOOGLETRANSLATE('대전도시공사_청년임대주택 현황_20240630'!D258,""ko"",""en"")"),"204")</f>
        <v>204</v>
      </c>
      <c r="E258" s="1" t="str">
        <f ca="1">IFERROR(__xludf.DUMMYFUNCTION("GOOGLETRANSLATE('대전도시공사_청년임대주택 현황_20240630'!E258,""ko"",""en"")"),"22.66")</f>
        <v>22.66</v>
      </c>
      <c r="F258" s="1" t="str">
        <f ca="1">IFERROR(__xludf.DUMMYFUNCTION("GOOGLETRANSLATE('대전도시공사_청년임대주택 현황_20240630'!F258,""ko"",""en"")"),"19.89")</f>
        <v>19.89</v>
      </c>
      <c r="G258" s="1" t="str">
        <f ca="1">IFERROR(__xludf.DUMMYFUNCTION("GOOGLETRANSLATE('대전도시공사_청년임대주택 현황_20240630'!G258,""ko"",""en"")"),"2.77")</f>
        <v>2.77</v>
      </c>
      <c r="H258" s="1" t="str">
        <f ca="1">IFERROR(__xludf.DUMMYFUNCTION("GOOGLETRANSLATE('대전도시공사_청년임대주택 현황_20240630'!H258,""ko"",""en"")"),"3rd place for youth rental")</f>
        <v>3rd place for youth rental</v>
      </c>
      <c r="I258" s="1" t="str">
        <f ca="1">IFERROR(__xludf.DUMMYFUNCTION("GOOGLETRANSLATE('대전도시공사_청년임대주택 현황_20240630'!I258,""ko"",""en"")"),"2000000")</f>
        <v>2000000</v>
      </c>
      <c r="J258" s="1" t="str">
        <f ca="1">IFERROR(__xludf.DUMMYFUNCTION("GOOGLETRANSLATE('대전도시공사_청년임대주택 현황_20240630'!J258,""ko"",""en"")"),"128900")</f>
        <v>128900</v>
      </c>
    </row>
    <row r="259" spans="1:10" ht="12.5" x14ac:dyDescent="0.25">
      <c r="A259" s="1" t="str">
        <f ca="1">IFERROR(__xludf.DUMMYFUNCTION("GOOGLETRANSLATE('대전도시공사_청년임대주택 현황_20240630'!A259,""ko"",""en"")"),"Yongjeon-dong 40-7 (Okra B, youth rental)")</f>
        <v>Yongjeon-dong 40-7 (Okra B, youth rental)</v>
      </c>
      <c r="B259" s="1" t="str">
        <f ca="1">IFERROR(__xludf.DUMMYFUNCTION("GOOGLETRANSLATE('대전도시공사_청년임대주택 현황_20240630'!B259,""ko"",""en"")"),"15")</f>
        <v>15</v>
      </c>
      <c r="C259" s="1" t="str">
        <f ca="1">IFERROR(__xludf.DUMMYFUNCTION("GOOGLETRANSLATE('대전도시공사_청년임대주택 현황_20240630'!C259,""ko"",""en"")"),"1")</f>
        <v>1</v>
      </c>
      <c r="D259" s="1" t="str">
        <f ca="1">IFERROR(__xludf.DUMMYFUNCTION("GOOGLETRANSLATE('대전도시공사_청년임대주택 현황_20240630'!D259,""ko"",""en"")"),"205")</f>
        <v>205</v>
      </c>
      <c r="E259" s="1" t="str">
        <f ca="1">IFERROR(__xludf.DUMMYFUNCTION("GOOGLETRANSLATE('대전도시공사_청년임대주택 현황_20240630'!E259,""ko"",""en"")"),"20.93")</f>
        <v>20.93</v>
      </c>
      <c r="F259" s="1" t="str">
        <f ca="1">IFERROR(__xludf.DUMMYFUNCTION("GOOGLETRANSLATE('대전도시공사_청년임대주택 현황_20240630'!F259,""ko"",""en"")"),"18.37")</f>
        <v>18.37</v>
      </c>
      <c r="G259" s="1" t="str">
        <f ca="1">IFERROR(__xludf.DUMMYFUNCTION("GOOGLETRANSLATE('대전도시공사_청년임대주택 현황_20240630'!G259,""ko"",""en"")"),"2.56")</f>
        <v>2.56</v>
      </c>
      <c r="H259" s="1" t="str">
        <f ca="1">IFERROR(__xludf.DUMMYFUNCTION("GOOGLETRANSLATE('대전도시공사_청년임대주택 현황_20240630'!H259,""ko"",""en"")"),"3rd place for youth rental")</f>
        <v>3rd place for youth rental</v>
      </c>
      <c r="I259" s="1" t="str">
        <f ca="1">IFERROR(__xludf.DUMMYFUNCTION("GOOGLETRANSLATE('대전도시공사_청년임대주택 현황_20240630'!I259,""ko"",""en"")"),"2000000")</f>
        <v>2000000</v>
      </c>
      <c r="J259" s="1" t="str">
        <f ca="1">IFERROR(__xludf.DUMMYFUNCTION("GOOGLETRANSLATE('대전도시공사_청년임대주택 현황_20240630'!J259,""ko"",""en"")"),"123400")</f>
        <v>123400</v>
      </c>
    </row>
    <row r="260" spans="1:10" ht="12.5" x14ac:dyDescent="0.25">
      <c r="A260" s="1" t="str">
        <f ca="1">IFERROR(__xludf.DUMMYFUNCTION("GOOGLETRANSLATE('대전도시공사_청년임대주택 현황_20240630'!A260,""ko"",""en"")"),"Yongjeon-dong 40-7 (Okra B, youth rental)")</f>
        <v>Yongjeon-dong 40-7 (Okra B, youth rental)</v>
      </c>
      <c r="B260" s="1" t="str">
        <f ca="1">IFERROR(__xludf.DUMMYFUNCTION("GOOGLETRANSLATE('대전도시공사_청년임대주택 현황_20240630'!B260,""ko"",""en"")"),"16")</f>
        <v>16</v>
      </c>
      <c r="C260" s="1" t="str">
        <f ca="1">IFERROR(__xludf.DUMMYFUNCTION("GOOGLETRANSLATE('대전도시공사_청년임대주택 현황_20240630'!C260,""ko"",""en"")"),"1")</f>
        <v>1</v>
      </c>
      <c r="D260" s="1" t="str">
        <f ca="1">IFERROR(__xludf.DUMMYFUNCTION("GOOGLETRANSLATE('대전도시공사_청년임대주택 현황_20240630'!D260,""ko"",""en"")"),"301")</f>
        <v>301</v>
      </c>
      <c r="E260" s="1" t="str">
        <f ca="1">IFERROR(__xludf.DUMMYFUNCTION("GOOGLETRANSLATE('대전도시공사_청년임대주택 현황_20240630'!E260,""ko"",""en"")"),"20.93")</f>
        <v>20.93</v>
      </c>
      <c r="F260" s="1" t="str">
        <f ca="1">IFERROR(__xludf.DUMMYFUNCTION("GOOGLETRANSLATE('대전도시공사_청년임대주택 현황_20240630'!F260,""ko"",""en"")"),"18.37")</f>
        <v>18.37</v>
      </c>
      <c r="G260" s="1" t="str">
        <f ca="1">IFERROR(__xludf.DUMMYFUNCTION("GOOGLETRANSLATE('대전도시공사_청년임대주택 현황_20240630'!G260,""ko"",""en"")"),"2.56")</f>
        <v>2.56</v>
      </c>
      <c r="H260" s="1" t="str">
        <f ca="1">IFERROR(__xludf.DUMMYFUNCTION("GOOGLETRANSLATE('대전도시공사_청년임대주택 현황_20240630'!H260,""ko"",""en"")"),"Youth Rent 1st Place")</f>
        <v>Youth Rent 1st Place</v>
      </c>
      <c r="I260" s="1" t="str">
        <f ca="1">IFERROR(__xludf.DUMMYFUNCTION("GOOGLETRANSLATE('대전도시공사_청년임대주택 현황_20240630'!I260,""ko"",""en"")"),"1000000")</f>
        <v>1000000</v>
      </c>
      <c r="J260" s="1" t="str">
        <f ca="1">IFERROR(__xludf.DUMMYFUNCTION("GOOGLETRANSLATE('대전도시공사_청년임대주택 현황_20240630'!J260,""ko"",""en"")"),"99200")</f>
        <v>99200</v>
      </c>
    </row>
    <row r="261" spans="1:10" ht="12.5" x14ac:dyDescent="0.25">
      <c r="A261" s="1" t="str">
        <f ca="1">IFERROR(__xludf.DUMMYFUNCTION("GOOGLETRANSLATE('대전도시공사_청년임대주택 현황_20240630'!A261,""ko"",""en"")"),"Yongjeon-dong 40-7 (Okra B, youth rental)")</f>
        <v>Yongjeon-dong 40-7 (Okra B, youth rental)</v>
      </c>
      <c r="B261" s="1" t="str">
        <f ca="1">IFERROR(__xludf.DUMMYFUNCTION("GOOGLETRANSLATE('대전도시공사_청년임대주택 현황_20240630'!B261,""ko"",""en"")"),"17")</f>
        <v>17</v>
      </c>
      <c r="C261" s="1" t="str">
        <f ca="1">IFERROR(__xludf.DUMMYFUNCTION("GOOGLETRANSLATE('대전도시공사_청년임대주택 현황_20240630'!C261,""ko"",""en"")"),"1")</f>
        <v>1</v>
      </c>
      <c r="D261" s="1" t="str">
        <f ca="1">IFERROR(__xludf.DUMMYFUNCTION("GOOGLETRANSLATE('대전도시공사_청년임대주택 현황_20240630'!D261,""ko"",""en"")"),"301")</f>
        <v>301</v>
      </c>
      <c r="E261" s="1" t="str">
        <f ca="1">IFERROR(__xludf.DUMMYFUNCTION("GOOGLETRANSLATE('대전도시공사_청년임대주택 현황_20240630'!E261,""ko"",""en"")"),"20.93")</f>
        <v>20.93</v>
      </c>
      <c r="F261" s="1" t="str">
        <f ca="1">IFERROR(__xludf.DUMMYFUNCTION("GOOGLETRANSLATE('대전도시공사_청년임대주택 현황_20240630'!F261,""ko"",""en"")"),"18.37")</f>
        <v>18.37</v>
      </c>
      <c r="G261" s="1" t="str">
        <f ca="1">IFERROR(__xludf.DUMMYFUNCTION("GOOGLETRANSLATE('대전도시공사_청년임대주택 현황_20240630'!G261,""ko"",""en"")"),"2.56")</f>
        <v>2.56</v>
      </c>
      <c r="H261" s="1" t="str">
        <f ca="1">IFERROR(__xludf.DUMMYFUNCTION("GOOGLETRANSLATE('대전도시공사_청년임대주택 현황_20240630'!H261,""ko"",""en"")"),"Youth Rental 2nd Place")</f>
        <v>Youth Rental 2nd Place</v>
      </c>
      <c r="I261" s="1" t="str">
        <f ca="1">IFERROR(__xludf.DUMMYFUNCTION("GOOGLETRANSLATE('대전도시공사_청년임대주택 현황_20240630'!I261,""ko"",""en"")"),"2000000")</f>
        <v>2000000</v>
      </c>
      <c r="J261" s="1" t="str">
        <f ca="1">IFERROR(__xludf.DUMMYFUNCTION("GOOGLETRANSLATE('대전도시공사_청년임대주택 현황_20240630'!J261,""ko"",""en"")"),"119300")</f>
        <v>119300</v>
      </c>
    </row>
    <row r="262" spans="1:10" ht="12.5" x14ac:dyDescent="0.25">
      <c r="A262" s="1" t="str">
        <f ca="1">IFERROR(__xludf.DUMMYFUNCTION("GOOGLETRANSLATE('대전도시공사_청년임대주택 현황_20240630'!A262,""ko"",""en"")"),"Yongjeon-dong 40-7 (Okra B, youth rental)")</f>
        <v>Yongjeon-dong 40-7 (Okra B, youth rental)</v>
      </c>
      <c r="B262" s="1" t="str">
        <f ca="1">IFERROR(__xludf.DUMMYFUNCTION("GOOGLETRANSLATE('대전도시공사_청년임대주택 현황_20240630'!B262,""ko"",""en"")"),"18")</f>
        <v>18</v>
      </c>
      <c r="C262" s="1" t="str">
        <f ca="1">IFERROR(__xludf.DUMMYFUNCTION("GOOGLETRANSLATE('대전도시공사_청년임대주택 현황_20240630'!C262,""ko"",""en"")"),"1")</f>
        <v>1</v>
      </c>
      <c r="D262" s="1" t="str">
        <f ca="1">IFERROR(__xludf.DUMMYFUNCTION("GOOGLETRANSLATE('대전도시공사_청년임대주택 현황_20240630'!D262,""ko"",""en"")"),"301")</f>
        <v>301</v>
      </c>
      <c r="E262" s="1" t="str">
        <f ca="1">IFERROR(__xludf.DUMMYFUNCTION("GOOGLETRANSLATE('대전도시공사_청년임대주택 현황_20240630'!E262,""ko"",""en"")"),"20.93")</f>
        <v>20.93</v>
      </c>
      <c r="F262" s="1" t="str">
        <f ca="1">IFERROR(__xludf.DUMMYFUNCTION("GOOGLETRANSLATE('대전도시공사_청년임대주택 현황_20240630'!F262,""ko"",""en"")"),"18.37")</f>
        <v>18.37</v>
      </c>
      <c r="G262" s="1" t="str">
        <f ca="1">IFERROR(__xludf.DUMMYFUNCTION("GOOGLETRANSLATE('대전도시공사_청년임대주택 현황_20240630'!G262,""ko"",""en"")"),"2.56")</f>
        <v>2.56</v>
      </c>
      <c r="H262" s="1" t="str">
        <f ca="1">IFERROR(__xludf.DUMMYFUNCTION("GOOGLETRANSLATE('대전도시공사_청년임대주택 현황_20240630'!H262,""ko"",""en"")"),"3rd place for youth rental")</f>
        <v>3rd place for youth rental</v>
      </c>
      <c r="I262" s="1" t="str">
        <f ca="1">IFERROR(__xludf.DUMMYFUNCTION("GOOGLETRANSLATE('대전도시공사_청년임대주택 현황_20240630'!I262,""ko"",""en"")"),"2000000")</f>
        <v>2000000</v>
      </c>
      <c r="J262" s="1" t="str">
        <f ca="1">IFERROR(__xludf.DUMMYFUNCTION("GOOGLETRANSLATE('대전도시공사_청년임대주택 현황_20240630'!J262,""ko"",""en"")"),"119300")</f>
        <v>119300</v>
      </c>
    </row>
    <row r="263" spans="1:10" ht="12.5" x14ac:dyDescent="0.25">
      <c r="A263" s="1" t="str">
        <f ca="1">IFERROR(__xludf.DUMMYFUNCTION("GOOGLETRANSLATE('대전도시공사_청년임대주택 현황_20240630'!A263,""ko"",""en"")"),"Yongjeon-dong 40-7 (Okra B, youth rental)")</f>
        <v>Yongjeon-dong 40-7 (Okra B, youth rental)</v>
      </c>
      <c r="B263" s="1" t="str">
        <f ca="1">IFERROR(__xludf.DUMMYFUNCTION("GOOGLETRANSLATE('대전도시공사_청년임대주택 현황_20240630'!B263,""ko"",""en"")"),"19")</f>
        <v>19</v>
      </c>
      <c r="C263" s="1" t="str">
        <f ca="1">IFERROR(__xludf.DUMMYFUNCTION("GOOGLETRANSLATE('대전도시공사_청년임대주택 현황_20240630'!C263,""ko"",""en"")"),"1")</f>
        <v>1</v>
      </c>
      <c r="D263" s="1" t="str">
        <f ca="1">IFERROR(__xludf.DUMMYFUNCTION("GOOGLETRANSLATE('대전도시공사_청년임대주택 현황_20240630'!D263,""ko"",""en"")"),"302")</f>
        <v>302</v>
      </c>
      <c r="E263" s="1" t="str">
        <f ca="1">IFERROR(__xludf.DUMMYFUNCTION("GOOGLETRANSLATE('대전도시공사_청년임대주택 현황_20240630'!E263,""ko"",""en"")"),"22.66")</f>
        <v>22.66</v>
      </c>
      <c r="F263" s="1" t="str">
        <f ca="1">IFERROR(__xludf.DUMMYFUNCTION("GOOGLETRANSLATE('대전도시공사_청년임대주택 현황_20240630'!F263,""ko"",""en"")"),"19.89")</f>
        <v>19.89</v>
      </c>
      <c r="G263" s="1" t="str">
        <f ca="1">IFERROR(__xludf.DUMMYFUNCTION("GOOGLETRANSLATE('대전도시공사_청년임대주택 현황_20240630'!G263,""ko"",""en"")"),"2.77")</f>
        <v>2.77</v>
      </c>
      <c r="H263" s="1" t="str">
        <f ca="1">IFERROR(__xludf.DUMMYFUNCTION("GOOGLETRANSLATE('대전도시공사_청년임대주택 현황_20240630'!H263,""ko"",""en"")"),"Youth Rent 1st Place")</f>
        <v>Youth Rent 1st Place</v>
      </c>
      <c r="I263" s="1" t="str">
        <f ca="1">IFERROR(__xludf.DUMMYFUNCTION("GOOGLETRANSLATE('대전도시공사_청년임대주택 현황_20240630'!I263,""ko"",""en"")"),"1000000")</f>
        <v>1000000</v>
      </c>
      <c r="J263" s="1" t="str">
        <f ca="1">IFERROR(__xludf.DUMMYFUNCTION("GOOGLETRANSLATE('대전도시공사_청년임대주택 현황_20240630'!J263,""ko"",""en"")"),"102500")</f>
        <v>102500</v>
      </c>
    </row>
    <row r="264" spans="1:10" ht="12.5" x14ac:dyDescent="0.25">
      <c r="A264" s="1" t="str">
        <f ca="1">IFERROR(__xludf.DUMMYFUNCTION("GOOGLETRANSLATE('대전도시공사_청년임대주택 현황_20240630'!A264,""ko"",""en"")"),"Yongjeon-dong 40-7 (Okra B, youth rental)")</f>
        <v>Yongjeon-dong 40-7 (Okra B, youth rental)</v>
      </c>
      <c r="B264" s="1" t="str">
        <f ca="1">IFERROR(__xludf.DUMMYFUNCTION("GOOGLETRANSLATE('대전도시공사_청년임대주택 현황_20240630'!B264,""ko"",""en"")"),"20")</f>
        <v>20</v>
      </c>
      <c r="C264" s="1" t="str">
        <f ca="1">IFERROR(__xludf.DUMMYFUNCTION("GOOGLETRANSLATE('대전도시공사_청년임대주택 현황_20240630'!C264,""ko"",""en"")"),"1")</f>
        <v>1</v>
      </c>
      <c r="D264" s="1" t="str">
        <f ca="1">IFERROR(__xludf.DUMMYFUNCTION("GOOGLETRANSLATE('대전도시공사_청년임대주택 현황_20240630'!D264,""ko"",""en"")"),"302")</f>
        <v>302</v>
      </c>
      <c r="E264" s="1" t="str">
        <f ca="1">IFERROR(__xludf.DUMMYFUNCTION("GOOGLETRANSLATE('대전도시공사_청년임대주택 현황_20240630'!E264,""ko"",""en"")"),"22.66")</f>
        <v>22.66</v>
      </c>
      <c r="F264" s="1" t="str">
        <f ca="1">IFERROR(__xludf.DUMMYFUNCTION("GOOGLETRANSLATE('대전도시공사_청년임대주택 현황_20240630'!F264,""ko"",""en"")"),"19.89")</f>
        <v>19.89</v>
      </c>
      <c r="G264" s="1" t="str">
        <f ca="1">IFERROR(__xludf.DUMMYFUNCTION("GOOGLETRANSLATE('대전도시공사_청년임대주택 현황_20240630'!G264,""ko"",""en"")"),"2.77")</f>
        <v>2.77</v>
      </c>
      <c r="H264" s="1" t="str">
        <f ca="1">IFERROR(__xludf.DUMMYFUNCTION("GOOGLETRANSLATE('대전도시공사_청년임대주택 현황_20240630'!H264,""ko"",""en"")"),"Youth Rental 2nd Place")</f>
        <v>Youth Rental 2nd Place</v>
      </c>
      <c r="I264" s="1" t="str">
        <f ca="1">IFERROR(__xludf.DUMMYFUNCTION("GOOGLETRANSLATE('대전도시공사_청년임대주택 현황_20240630'!I264,""ko"",""en"")"),"2000000")</f>
        <v>2000000</v>
      </c>
      <c r="J264" s="1" t="str">
        <f ca="1">IFERROR(__xludf.DUMMYFUNCTION("GOOGLETRANSLATE('대전도시공사_청년임대주택 현황_20240630'!J264,""ko"",""en"")"),"123400")</f>
        <v>123400</v>
      </c>
    </row>
    <row r="265" spans="1:10" ht="12.5" x14ac:dyDescent="0.25">
      <c r="A265" s="1" t="str">
        <f ca="1">IFERROR(__xludf.DUMMYFUNCTION("GOOGLETRANSLATE('대전도시공사_청년임대주택 현황_20240630'!A265,""ko"",""en"")"),"Yongjeon-dong 40-7 (Okra B, youth rental)")</f>
        <v>Yongjeon-dong 40-7 (Okra B, youth rental)</v>
      </c>
      <c r="B265" s="1" t="str">
        <f ca="1">IFERROR(__xludf.DUMMYFUNCTION("GOOGLETRANSLATE('대전도시공사_청년임대주택 현황_20240630'!B265,""ko"",""en"")"),"21")</f>
        <v>21</v>
      </c>
      <c r="C265" s="1" t="str">
        <f ca="1">IFERROR(__xludf.DUMMYFUNCTION("GOOGLETRANSLATE('대전도시공사_청년임대주택 현황_20240630'!C265,""ko"",""en"")"),"1")</f>
        <v>1</v>
      </c>
      <c r="D265" s="1" t="str">
        <f ca="1">IFERROR(__xludf.DUMMYFUNCTION("GOOGLETRANSLATE('대전도시공사_청년임대주택 현황_20240630'!D265,""ko"",""en"")"),"302")</f>
        <v>302</v>
      </c>
      <c r="E265" s="1" t="str">
        <f ca="1">IFERROR(__xludf.DUMMYFUNCTION("GOOGLETRANSLATE('대전도시공사_청년임대주택 현황_20240630'!E265,""ko"",""en"")"),"22.66")</f>
        <v>22.66</v>
      </c>
      <c r="F265" s="1" t="str">
        <f ca="1">IFERROR(__xludf.DUMMYFUNCTION("GOOGLETRANSLATE('대전도시공사_청년임대주택 현황_20240630'!F265,""ko"",""en"")"),"19.89")</f>
        <v>19.89</v>
      </c>
      <c r="G265" s="1" t="str">
        <f ca="1">IFERROR(__xludf.DUMMYFUNCTION("GOOGLETRANSLATE('대전도시공사_청년임대주택 현황_20240630'!G265,""ko"",""en"")"),"2.77")</f>
        <v>2.77</v>
      </c>
      <c r="H265" s="1" t="str">
        <f ca="1">IFERROR(__xludf.DUMMYFUNCTION("GOOGLETRANSLATE('대전도시공사_청년임대주택 현황_20240630'!H265,""ko"",""en"")"),"3rd place for youth rental")</f>
        <v>3rd place for youth rental</v>
      </c>
      <c r="I265" s="1" t="str">
        <f ca="1">IFERROR(__xludf.DUMMYFUNCTION("GOOGLETRANSLATE('대전도시공사_청년임대주택 현황_20240630'!I265,""ko"",""en"")"),"2000000")</f>
        <v>2000000</v>
      </c>
      <c r="J265" s="1" t="str">
        <f ca="1">IFERROR(__xludf.DUMMYFUNCTION("GOOGLETRANSLATE('대전도시공사_청년임대주택 현황_20240630'!J265,""ko"",""en"")"),"123400")</f>
        <v>123400</v>
      </c>
    </row>
    <row r="266" spans="1:10" ht="12.5" x14ac:dyDescent="0.25">
      <c r="A266" s="1" t="str">
        <f ca="1">IFERROR(__xludf.DUMMYFUNCTION("GOOGLETRANSLATE('대전도시공사_청년임대주택 현황_20240630'!A266,""ko"",""en"")"),"Yongjeon-dong 40-7 (Okra B, youth rental)")</f>
        <v>Yongjeon-dong 40-7 (Okra B, youth rental)</v>
      </c>
      <c r="B266" s="1" t="str">
        <f ca="1">IFERROR(__xludf.DUMMYFUNCTION("GOOGLETRANSLATE('대전도시공사_청년임대주택 현황_20240630'!B266,""ko"",""en"")"),"22")</f>
        <v>22</v>
      </c>
      <c r="C266" s="1" t="str">
        <f ca="1">IFERROR(__xludf.DUMMYFUNCTION("GOOGLETRANSLATE('대전도시공사_청년임대주택 현황_20240630'!C266,""ko"",""en"")"),"1")</f>
        <v>1</v>
      </c>
      <c r="D266" s="1" t="str">
        <f ca="1">IFERROR(__xludf.DUMMYFUNCTION("GOOGLETRANSLATE('대전도시공사_청년임대주택 현황_20240630'!D266,""ko"",""en"")"),"303")</f>
        <v>303</v>
      </c>
      <c r="E266" s="1" t="str">
        <f ca="1">IFERROR(__xludf.DUMMYFUNCTION("GOOGLETRANSLATE('대전도시공사_청년임대주택 현황_20240630'!E266,""ko"",""en"")"),"24.89")</f>
        <v>24.89</v>
      </c>
      <c r="F266" s="1" t="str">
        <f ca="1">IFERROR(__xludf.DUMMYFUNCTION("GOOGLETRANSLATE('대전도시공사_청년임대주택 현황_20240630'!F266,""ko"",""en"")"),"21.84")</f>
        <v>21.84</v>
      </c>
      <c r="G266" s="1" t="str">
        <f ca="1">IFERROR(__xludf.DUMMYFUNCTION("GOOGLETRANSLATE('대전도시공사_청년임대주택 현황_20240630'!G266,""ko"",""en"")"),"3.05")</f>
        <v>3.05</v>
      </c>
      <c r="H266" s="1" t="str">
        <f ca="1">IFERROR(__xludf.DUMMYFUNCTION("GOOGLETRANSLATE('대전도시공사_청년임대주택 현황_20240630'!H266,""ko"",""en"")"),"Beneficiary")</f>
        <v>Beneficiary</v>
      </c>
      <c r="I266" s="1" t="str">
        <f ca="1">IFERROR(__xludf.DUMMYFUNCTION("GOOGLETRANSLATE('대전도시공사_청년임대주택 현황_20240630'!I266,""ko"",""en"")"),"1000000")</f>
        <v>1000000</v>
      </c>
      <c r="J266" s="1" t="str">
        <f ca="1">IFERROR(__xludf.DUMMYFUNCTION("GOOGLETRANSLATE('대전도시공사_청년임대주택 현황_20240630'!J266,""ko"",""en"")"),"108200")</f>
        <v>108200</v>
      </c>
    </row>
    <row r="267" spans="1:10" ht="12.5" x14ac:dyDescent="0.25">
      <c r="A267" s="1" t="str">
        <f ca="1">IFERROR(__xludf.DUMMYFUNCTION("GOOGLETRANSLATE('대전도시공사_청년임대주택 현황_20240630'!A267,""ko"",""en"")"),"Yongjeon-dong 40-7 (Okra B, youth rental)")</f>
        <v>Yongjeon-dong 40-7 (Okra B, youth rental)</v>
      </c>
      <c r="B267" s="1" t="str">
        <f ca="1">IFERROR(__xludf.DUMMYFUNCTION("GOOGLETRANSLATE('대전도시공사_청년임대주택 현황_20240630'!B267,""ko"",""en"")"),"23")</f>
        <v>23</v>
      </c>
      <c r="C267" s="1" t="str">
        <f ca="1">IFERROR(__xludf.DUMMYFUNCTION("GOOGLETRANSLATE('대전도시공사_청년임대주택 현황_20240630'!C267,""ko"",""en"")"),"1")</f>
        <v>1</v>
      </c>
      <c r="D267" s="1" t="str">
        <f ca="1">IFERROR(__xludf.DUMMYFUNCTION("GOOGLETRANSLATE('대전도시공사_청년임대주택 현황_20240630'!D267,""ko"",""en"")"),"303")</f>
        <v>303</v>
      </c>
      <c r="E267" s="1" t="str">
        <f ca="1">IFERROR(__xludf.DUMMYFUNCTION("GOOGLETRANSLATE('대전도시공사_청년임대주택 현황_20240630'!E267,""ko"",""en"")"),"24.89")</f>
        <v>24.89</v>
      </c>
      <c r="F267" s="1" t="str">
        <f ca="1">IFERROR(__xludf.DUMMYFUNCTION("GOOGLETRANSLATE('대전도시공사_청년임대주택 현황_20240630'!F267,""ko"",""en"")"),"21.84")</f>
        <v>21.84</v>
      </c>
      <c r="G267" s="1" t="str">
        <f ca="1">IFERROR(__xludf.DUMMYFUNCTION("GOOGLETRANSLATE('대전도시공사_청년임대주택 현황_20240630'!G267,""ko"",""en"")"),"3.05")</f>
        <v>3.05</v>
      </c>
      <c r="H267" s="1" t="str">
        <f ca="1">IFERROR(__xludf.DUMMYFUNCTION("GOOGLETRANSLATE('대전도시공사_청년임대주택 현황_20240630'!H267,""ko"",""en"")"),"3rd place for youth rental")</f>
        <v>3rd place for youth rental</v>
      </c>
      <c r="I267" s="1" t="str">
        <f ca="1">IFERROR(__xludf.DUMMYFUNCTION("GOOGLETRANSLATE('대전도시공사_청년임대주택 현황_20240630'!I267,""ko"",""en"")"),"2000000")</f>
        <v>2000000</v>
      </c>
      <c r="J267" s="1" t="str">
        <f ca="1">IFERROR(__xludf.DUMMYFUNCTION("GOOGLETRANSLATE('대전도시공사_청년임대주택 현황_20240630'!J267,""ko"",""en"")"),"130500")</f>
        <v>130500</v>
      </c>
    </row>
    <row r="268" spans="1:10" ht="12.5" x14ac:dyDescent="0.25">
      <c r="A268" s="1" t="str">
        <f ca="1">IFERROR(__xludf.DUMMYFUNCTION("GOOGLETRANSLATE('대전도시공사_청년임대주택 현황_20240630'!A268,""ko"",""en"")"),"Yongjeon-dong 40-7 (Okra B, youth rental)")</f>
        <v>Yongjeon-dong 40-7 (Okra B, youth rental)</v>
      </c>
      <c r="B268" s="1" t="str">
        <f ca="1">IFERROR(__xludf.DUMMYFUNCTION("GOOGLETRANSLATE('대전도시공사_청년임대주택 현황_20240630'!B268,""ko"",""en"")"),"24")</f>
        <v>24</v>
      </c>
      <c r="C268" s="1" t="str">
        <f ca="1">IFERROR(__xludf.DUMMYFUNCTION("GOOGLETRANSLATE('대전도시공사_청년임대주택 현황_20240630'!C268,""ko"",""en"")"),"1")</f>
        <v>1</v>
      </c>
      <c r="D268" s="1" t="str">
        <f ca="1">IFERROR(__xludf.DUMMYFUNCTION("GOOGLETRANSLATE('대전도시공사_청년임대주택 현황_20240630'!D268,""ko"",""en"")"),"304")</f>
        <v>304</v>
      </c>
      <c r="E268" s="1" t="str">
        <f ca="1">IFERROR(__xludf.DUMMYFUNCTION("GOOGLETRANSLATE('대전도시공사_청년임대주택 현황_20240630'!E268,""ko"",""en"")"),"22.66")</f>
        <v>22.66</v>
      </c>
      <c r="F268" s="1" t="str">
        <f ca="1">IFERROR(__xludf.DUMMYFUNCTION("GOOGLETRANSLATE('대전도시공사_청년임대주택 현황_20240630'!F268,""ko"",""en"")"),"19.89")</f>
        <v>19.89</v>
      </c>
      <c r="G268" s="1" t="str">
        <f ca="1">IFERROR(__xludf.DUMMYFUNCTION("GOOGLETRANSLATE('대전도시공사_청년임대주택 현황_20240630'!G268,""ko"",""en"")"),"2.77")</f>
        <v>2.77</v>
      </c>
      <c r="H268" s="1" t="str">
        <f ca="1">IFERROR(__xludf.DUMMYFUNCTION("GOOGLETRANSLATE('대전도시공사_청년임대주택 현황_20240630'!H268,""ko"",""en"")"),"3rd place for youth rental")</f>
        <v>3rd place for youth rental</v>
      </c>
      <c r="I268" s="1" t="str">
        <f ca="1">IFERROR(__xludf.DUMMYFUNCTION("GOOGLETRANSLATE('대전도시공사_청년임대주택 현황_20240630'!I268,""ko"",""en"")"),"2000000")</f>
        <v>2000000</v>
      </c>
      <c r="J268" s="1" t="str">
        <f ca="1">IFERROR(__xludf.DUMMYFUNCTION("GOOGLETRANSLATE('대전도시공사_청년임대주택 현황_20240630'!J268,""ko"",""en"")"),"127400")</f>
        <v>127400</v>
      </c>
    </row>
    <row r="269" spans="1:10" ht="12.5" x14ac:dyDescent="0.25">
      <c r="A269" s="1" t="str">
        <f ca="1">IFERROR(__xludf.DUMMYFUNCTION("GOOGLETRANSLATE('대전도시공사_청년임대주택 현황_20240630'!A269,""ko"",""en"")"),"Yongjeon-dong 40-7 (Okra B, youth rental)")</f>
        <v>Yongjeon-dong 40-7 (Okra B, youth rental)</v>
      </c>
      <c r="B269" s="1" t="str">
        <f ca="1">IFERROR(__xludf.DUMMYFUNCTION("GOOGLETRANSLATE('대전도시공사_청년임대주택 현황_20240630'!B269,""ko"",""en"")"),"25")</f>
        <v>25</v>
      </c>
      <c r="C269" s="1" t="str">
        <f ca="1">IFERROR(__xludf.DUMMYFUNCTION("GOOGLETRANSLATE('대전도시공사_청년임대주택 현황_20240630'!C269,""ko"",""en"")"),"1")</f>
        <v>1</v>
      </c>
      <c r="D269" s="1" t="str">
        <f ca="1">IFERROR(__xludf.DUMMYFUNCTION("GOOGLETRANSLATE('대전도시공사_청년임대주택 현황_20240630'!D269,""ko"",""en"")"),"305")</f>
        <v>305</v>
      </c>
      <c r="E269" s="1" t="str">
        <f ca="1">IFERROR(__xludf.DUMMYFUNCTION("GOOGLETRANSLATE('대전도시공사_청년임대주택 현황_20240630'!E269,""ko"",""en"")"),"20.93")</f>
        <v>20.93</v>
      </c>
      <c r="F269" s="1" t="str">
        <f ca="1">IFERROR(__xludf.DUMMYFUNCTION("GOOGLETRANSLATE('대전도시공사_청년임대주택 현황_20240630'!F269,""ko"",""en"")"),"18.37")</f>
        <v>18.37</v>
      </c>
      <c r="G269" s="1" t="str">
        <f ca="1">IFERROR(__xludf.DUMMYFUNCTION("GOOGLETRANSLATE('대전도시공사_청년임대주택 현황_20240630'!G269,""ko"",""en"")"),"2.56")</f>
        <v>2.56</v>
      </c>
      <c r="H269" s="1" t="str">
        <f ca="1">IFERROR(__xludf.DUMMYFUNCTION("GOOGLETRANSLATE('대전도시공사_청년임대주택 현황_20240630'!H269,""ko"",""en"")"),"3rd place for youth rental")</f>
        <v>3rd place for youth rental</v>
      </c>
      <c r="I269" s="1" t="str">
        <f ca="1">IFERROR(__xludf.DUMMYFUNCTION("GOOGLETRANSLATE('대전도시공사_청년임대주택 현황_20240630'!I269,""ko"",""en"")"),"2000000")</f>
        <v>2000000</v>
      </c>
      <c r="J269" s="1" t="str">
        <f ca="1">IFERROR(__xludf.DUMMYFUNCTION("GOOGLETRANSLATE('대전도시공사_청년임대주택 현황_20240630'!J269,""ko"",""en"")"),"121800")</f>
        <v>121800</v>
      </c>
    </row>
    <row r="270" spans="1:10" ht="12.5" x14ac:dyDescent="0.25">
      <c r="A270" s="1" t="str">
        <f ca="1">IFERROR(__xludf.DUMMYFUNCTION("GOOGLETRANSLATE('대전도시공사_청년임대주택 현황_20240630'!A270,""ko"",""en"")"),"Tanbang-dong 1480-14 (Driumville, youth rental)")</f>
        <v>Tanbang-dong 1480-14 (Driumville, youth rental)</v>
      </c>
      <c r="B270" s="1" t="str">
        <f ca="1">IFERROR(__xludf.DUMMYFUNCTION("GOOGLETRANSLATE('대전도시공사_청년임대주택 현황_20240630'!B270,""ko"",""en"")"),"1")</f>
        <v>1</v>
      </c>
      <c r="C270" s="1" t="str">
        <f ca="1">IFERROR(__xludf.DUMMYFUNCTION("GOOGLETRANSLATE('대전도시공사_청년임대주택 현황_20240630'!C270,""ko"",""en"")"),"1")</f>
        <v>1</v>
      </c>
      <c r="D270" s="1" t="str">
        <f ca="1">IFERROR(__xludf.DUMMYFUNCTION("GOOGLETRANSLATE('대전도시공사_청년임대주택 현황_20240630'!D270,""ko"",""en"")"),"201")</f>
        <v>201</v>
      </c>
      <c r="E270" s="1" t="str">
        <f ca="1">IFERROR(__xludf.DUMMYFUNCTION("GOOGLETRANSLATE('대전도시공사_청년임대주택 현황_20240630'!E270,""ko"",""en"")"),"32.73")</f>
        <v>32.73</v>
      </c>
      <c r="F270" s="1" t="str">
        <f ca="1">IFERROR(__xludf.DUMMYFUNCTION("GOOGLETRANSLATE('대전도시공사_청년임대주택 현황_20240630'!F270,""ko"",""en"")"),"28.16")</f>
        <v>28.16</v>
      </c>
      <c r="G270" s="1" t="str">
        <f ca="1">IFERROR(__xludf.DUMMYFUNCTION("GOOGLETRANSLATE('대전도시공사_청년임대주택 현황_20240630'!G270,""ko"",""en"")"),"4.57")</f>
        <v>4.57</v>
      </c>
      <c r="H270" s="1" t="str">
        <f ca="1">IFERROR(__xludf.DUMMYFUNCTION("GOOGLETRANSLATE('대전도시공사_청년임대주택 현황_20240630'!H270,""ko"",""en"")"),"Youth Rent 1st Place")</f>
        <v>Youth Rent 1st Place</v>
      </c>
      <c r="I270" s="1" t="str">
        <f ca="1">IFERROR(__xludf.DUMMYFUNCTION("GOOGLETRANSLATE('대전도시공사_청년임대주택 현황_20240630'!I270,""ko"",""en"")"),"1000000")</f>
        <v>1000000</v>
      </c>
      <c r="J270" s="1" t="str">
        <f ca="1">IFERROR(__xludf.DUMMYFUNCTION("GOOGLETRANSLATE('대전도시공사_청년임대주택 현황_20240630'!J270,""ko"",""en"")"),"115200")</f>
        <v>115200</v>
      </c>
    </row>
    <row r="271" spans="1:10" ht="12.5" x14ac:dyDescent="0.25">
      <c r="A271" s="1" t="str">
        <f ca="1">IFERROR(__xludf.DUMMYFUNCTION("GOOGLETRANSLATE('대전도시공사_청년임대주택 현황_20240630'!A271,""ko"",""en"")"),"Tanbang-dong 1480-14 (Driumville, youth rental)")</f>
        <v>Tanbang-dong 1480-14 (Driumville, youth rental)</v>
      </c>
      <c r="B271" s="1" t="str">
        <f ca="1">IFERROR(__xludf.DUMMYFUNCTION("GOOGLETRANSLATE('대전도시공사_청년임대주택 현황_20240630'!B271,""ko"",""en"")"),"2")</f>
        <v>2</v>
      </c>
      <c r="C271" s="1" t="str">
        <f ca="1">IFERROR(__xludf.DUMMYFUNCTION("GOOGLETRANSLATE('대전도시공사_청년임대주택 현황_20240630'!C271,""ko"",""en"")"),"1")</f>
        <v>1</v>
      </c>
      <c r="D271" s="1" t="str">
        <f ca="1">IFERROR(__xludf.DUMMYFUNCTION("GOOGLETRANSLATE('대전도시공사_청년임대주택 현황_20240630'!D271,""ko"",""en"")"),"201")</f>
        <v>201</v>
      </c>
      <c r="E271" s="1" t="str">
        <f ca="1">IFERROR(__xludf.DUMMYFUNCTION("GOOGLETRANSLATE('대전도시공사_청년임대주택 현황_20240630'!E271,""ko"",""en"")"),"32.73")</f>
        <v>32.73</v>
      </c>
      <c r="F271" s="1" t="str">
        <f ca="1">IFERROR(__xludf.DUMMYFUNCTION("GOOGLETRANSLATE('대전도시공사_청년임대주택 현황_20240630'!F271,""ko"",""en"")"),"28.16")</f>
        <v>28.16</v>
      </c>
      <c r="G271" s="1" t="str">
        <f ca="1">IFERROR(__xludf.DUMMYFUNCTION("GOOGLETRANSLATE('대전도시공사_청년임대주택 현황_20240630'!G271,""ko"",""en"")"),"4.57")</f>
        <v>4.57</v>
      </c>
      <c r="H271" s="1" t="str">
        <f ca="1">IFERROR(__xludf.DUMMYFUNCTION("GOOGLETRANSLATE('대전도시공사_청년임대주택 현황_20240630'!H271,""ko"",""en"")"),"Youth Rental 2nd Place")</f>
        <v>Youth Rental 2nd Place</v>
      </c>
      <c r="I271" s="1" t="str">
        <f ca="1">IFERROR(__xludf.DUMMYFUNCTION("GOOGLETRANSLATE('대전도시공사_청년임대주택 현황_20240630'!I271,""ko"",""en"")"),"2000000")</f>
        <v>2000000</v>
      </c>
      <c r="J271" s="1" t="str">
        <f ca="1">IFERROR(__xludf.DUMMYFUNCTION("GOOGLETRANSLATE('대전도시공사_청년임대주택 현황_20240630'!J271,""ko"",""en"")"),"139200")</f>
        <v>139200</v>
      </c>
    </row>
    <row r="272" spans="1:10" ht="12.5" x14ac:dyDescent="0.25">
      <c r="A272" s="1" t="str">
        <f ca="1">IFERROR(__xludf.DUMMYFUNCTION("GOOGLETRANSLATE('대전도시공사_청년임대주택 현황_20240630'!A272,""ko"",""en"")"),"Tanbang-dong 1480-14 (Driumville, youth rental)")</f>
        <v>Tanbang-dong 1480-14 (Driumville, youth rental)</v>
      </c>
      <c r="B272" s="1" t="str">
        <f ca="1">IFERROR(__xludf.DUMMYFUNCTION("GOOGLETRANSLATE('대전도시공사_청년임대주택 현황_20240630'!B272,""ko"",""en"")"),"3")</f>
        <v>3</v>
      </c>
      <c r="C272" s="1" t="str">
        <f ca="1">IFERROR(__xludf.DUMMYFUNCTION("GOOGLETRANSLATE('대전도시공사_청년임대주택 현황_20240630'!C272,""ko"",""en"")"),"1")</f>
        <v>1</v>
      </c>
      <c r="D272" s="1" t="str">
        <f ca="1">IFERROR(__xludf.DUMMYFUNCTION("GOOGLETRANSLATE('대전도시공사_청년임대주택 현황_20240630'!D272,""ko"",""en"")"),"201")</f>
        <v>201</v>
      </c>
      <c r="E272" s="1" t="str">
        <f ca="1">IFERROR(__xludf.DUMMYFUNCTION("GOOGLETRANSLATE('대전도시공사_청년임대주택 현황_20240630'!E272,""ko"",""en"")"),"32.73")</f>
        <v>32.73</v>
      </c>
      <c r="F272" s="1" t="str">
        <f ca="1">IFERROR(__xludf.DUMMYFUNCTION("GOOGLETRANSLATE('대전도시공사_청년임대주택 현황_20240630'!F272,""ko"",""en"")"),"28.16")</f>
        <v>28.16</v>
      </c>
      <c r="G272" s="1" t="str">
        <f ca="1">IFERROR(__xludf.DUMMYFUNCTION("GOOGLETRANSLATE('대전도시공사_청년임대주택 현황_20240630'!G272,""ko"",""en"")"),"4.57")</f>
        <v>4.57</v>
      </c>
      <c r="H272" s="1" t="str">
        <f ca="1">IFERROR(__xludf.DUMMYFUNCTION("GOOGLETRANSLATE('대전도시공사_청년임대주택 현황_20240630'!H272,""ko"",""en"")"),"3rd place for youth rental")</f>
        <v>3rd place for youth rental</v>
      </c>
      <c r="I272" s="1" t="str">
        <f ca="1">IFERROR(__xludf.DUMMYFUNCTION("GOOGLETRANSLATE('대전도시공사_청년임대주택 현황_20240630'!I272,""ko"",""en"")"),"2000000")</f>
        <v>2000000</v>
      </c>
      <c r="J272" s="1" t="str">
        <f ca="1">IFERROR(__xludf.DUMMYFUNCTION("GOOGLETRANSLATE('대전도시공사_청년임대주택 현황_20240630'!J272,""ko"",""en"")"),"139200")</f>
        <v>139200</v>
      </c>
    </row>
    <row r="273" spans="1:10" ht="12.5" x14ac:dyDescent="0.25">
      <c r="A273" s="1" t="str">
        <f ca="1">IFERROR(__xludf.DUMMYFUNCTION("GOOGLETRANSLATE('대전도시공사_청년임대주택 현황_20240630'!A273,""ko"",""en"")"),"Tanbang-dong 1480-14 (Driumville, youth rental)")</f>
        <v>Tanbang-dong 1480-14 (Driumville, youth rental)</v>
      </c>
      <c r="B273" s="1" t="str">
        <f ca="1">IFERROR(__xludf.DUMMYFUNCTION("GOOGLETRANSLATE('대전도시공사_청년임대주택 현황_20240630'!B273,""ko"",""en"")"),"4")</f>
        <v>4</v>
      </c>
      <c r="C273" s="1" t="str">
        <f ca="1">IFERROR(__xludf.DUMMYFUNCTION("GOOGLETRANSLATE('대전도시공사_청년임대주택 현황_20240630'!C273,""ko"",""en"")"),"1")</f>
        <v>1</v>
      </c>
      <c r="D273" s="1" t="str">
        <f ca="1">IFERROR(__xludf.DUMMYFUNCTION("GOOGLETRANSLATE('대전도시공사_청년임대주택 현황_20240630'!D273,""ko"",""en"")"),"202")</f>
        <v>202</v>
      </c>
      <c r="E273" s="1" t="str">
        <f ca="1">IFERROR(__xludf.DUMMYFUNCTION("GOOGLETRANSLATE('대전도시공사_청년임대주택 현황_20240630'!E273,""ko"",""en"")"),"59.944")</f>
        <v>59.944</v>
      </c>
      <c r="F273" s="1" t="str">
        <f ca="1">IFERROR(__xludf.DUMMYFUNCTION("GOOGLETRANSLATE('대전도시공사_청년임대주택 현황_20240630'!F273,""ko"",""en"")"),"51.57")</f>
        <v>51.57</v>
      </c>
      <c r="G273" s="1" t="str">
        <f ca="1">IFERROR(__xludf.DUMMYFUNCTION("GOOGLETRANSLATE('대전도시공사_청년임대주택 현황_20240630'!G273,""ko"",""en"")"),"8.374")</f>
        <v>8.374</v>
      </c>
      <c r="H273" s="1" t="str">
        <f ca="1">IFERROR(__xludf.DUMMYFUNCTION("GOOGLETRANSLATE('대전도시공사_청년임대주택 현황_20240630'!H273,""ko"",""en"")"),"Youth Rent 1st Place")</f>
        <v>Youth Rent 1st Place</v>
      </c>
      <c r="I273" s="1" t="str">
        <f ca="1">IFERROR(__xludf.DUMMYFUNCTION("GOOGLETRANSLATE('대전도시공사_청년임대주택 현황_20240630'!I273,""ko"",""en"")"),"1000000")</f>
        <v>1000000</v>
      </c>
      <c r="J273" s="1" t="str">
        <f ca="1">IFERROR(__xludf.DUMMYFUNCTION("GOOGLETRANSLATE('대전도시공사_청년임대주택 현황_20240630'!J273,""ko"",""en"")"),"96500")</f>
        <v>96500</v>
      </c>
    </row>
    <row r="274" spans="1:10" ht="12.5" x14ac:dyDescent="0.25">
      <c r="A274" s="1" t="str">
        <f ca="1">IFERROR(__xludf.DUMMYFUNCTION("GOOGLETRANSLATE('대전도시공사_청년임대주택 현황_20240630'!A274,""ko"",""en"")"),"Tanbang-dong 1480-14 (Driumville, youth rental)")</f>
        <v>Tanbang-dong 1480-14 (Driumville, youth rental)</v>
      </c>
      <c r="B274" s="1" t="str">
        <f ca="1">IFERROR(__xludf.DUMMYFUNCTION("GOOGLETRANSLATE('대전도시공사_청년임대주택 현황_20240630'!B274,""ko"",""en"")"),"5")</f>
        <v>5</v>
      </c>
      <c r="C274" s="1" t="str">
        <f ca="1">IFERROR(__xludf.DUMMYFUNCTION("GOOGLETRANSLATE('대전도시공사_청년임대주택 현황_20240630'!C274,""ko"",""en"")"),"1")</f>
        <v>1</v>
      </c>
      <c r="D274" s="1" t="str">
        <f ca="1">IFERROR(__xludf.DUMMYFUNCTION("GOOGLETRANSLATE('대전도시공사_청년임대주택 현황_20240630'!D274,""ko"",""en"")"),"202")</f>
        <v>202</v>
      </c>
      <c r="E274" s="1" t="str">
        <f ca="1">IFERROR(__xludf.DUMMYFUNCTION("GOOGLETRANSLATE('대전도시공사_청년임대주택 현황_20240630'!E274,""ko"",""en"")"),"59.944")</f>
        <v>59.944</v>
      </c>
      <c r="F274" s="1" t="str">
        <f ca="1">IFERROR(__xludf.DUMMYFUNCTION("GOOGLETRANSLATE('대전도시공사_청년임대주택 현황_20240630'!F274,""ko"",""en"")"),"51.57")</f>
        <v>51.57</v>
      </c>
      <c r="G274" s="1" t="str">
        <f ca="1">IFERROR(__xludf.DUMMYFUNCTION("GOOGLETRANSLATE('대전도시공사_청년임대주택 현황_20240630'!G274,""ko"",""en"")"),"8.374")</f>
        <v>8.374</v>
      </c>
      <c r="H274" s="1" t="str">
        <f ca="1">IFERROR(__xludf.DUMMYFUNCTION("GOOGLETRANSLATE('대전도시공사_청년임대주택 현황_20240630'!H274,""ko"",""en"")"),"Youth Rental 2nd Place")</f>
        <v>Youth Rental 2nd Place</v>
      </c>
      <c r="I274" s="1" t="str">
        <f ca="1">IFERROR(__xludf.DUMMYFUNCTION("GOOGLETRANSLATE('대전도시공사_청년임대주택 현황_20240630'!I274,""ko"",""en"")"),"2000000")</f>
        <v>2000000</v>
      </c>
      <c r="J274" s="1" t="str">
        <f ca="1">IFERROR(__xludf.DUMMYFUNCTION("GOOGLETRANSLATE('대전도시공사_청년임대주택 현황_20240630'!J274,""ko"",""en"")"),"115800")</f>
        <v>115800</v>
      </c>
    </row>
    <row r="275" spans="1:10" ht="12.5" x14ac:dyDescent="0.25">
      <c r="A275" s="1" t="str">
        <f ca="1">IFERROR(__xludf.DUMMYFUNCTION("GOOGLETRANSLATE('대전도시공사_청년임대주택 현황_20240630'!A275,""ko"",""en"")"),"Tanbang-dong 1480-14 (Driumville, youth rental)")</f>
        <v>Tanbang-dong 1480-14 (Driumville, youth rental)</v>
      </c>
      <c r="B275" s="1" t="str">
        <f ca="1">IFERROR(__xludf.DUMMYFUNCTION("GOOGLETRANSLATE('대전도시공사_청년임대주택 현황_20240630'!B275,""ko"",""en"")"),"6")</f>
        <v>6</v>
      </c>
      <c r="C275" s="1" t="str">
        <f ca="1">IFERROR(__xludf.DUMMYFUNCTION("GOOGLETRANSLATE('대전도시공사_청년임대주택 현황_20240630'!C275,""ko"",""en"")"),"1")</f>
        <v>1</v>
      </c>
      <c r="D275" s="1" t="str">
        <f ca="1">IFERROR(__xludf.DUMMYFUNCTION("GOOGLETRANSLATE('대전도시공사_청년임대주택 현황_20240630'!D275,""ko"",""en"")"),"202")</f>
        <v>202</v>
      </c>
      <c r="E275" s="1" t="str">
        <f ca="1">IFERROR(__xludf.DUMMYFUNCTION("GOOGLETRANSLATE('대전도시공사_청년임대주택 현황_20240630'!E275,""ko"",""en"")"),"59.944")</f>
        <v>59.944</v>
      </c>
      <c r="F275" s="1" t="str">
        <f ca="1">IFERROR(__xludf.DUMMYFUNCTION("GOOGLETRANSLATE('대전도시공사_청년임대주택 현황_20240630'!F275,""ko"",""en"")"),"51.57")</f>
        <v>51.57</v>
      </c>
      <c r="G275" s="1" t="str">
        <f ca="1">IFERROR(__xludf.DUMMYFUNCTION("GOOGLETRANSLATE('대전도시공사_청년임대주택 현황_20240630'!G275,""ko"",""en"")"),"8.374")</f>
        <v>8.374</v>
      </c>
      <c r="H275" s="1" t="str">
        <f ca="1">IFERROR(__xludf.DUMMYFUNCTION("GOOGLETRANSLATE('대전도시공사_청년임대주택 현황_20240630'!H275,""ko"",""en"")"),"3rd place for youth rental")</f>
        <v>3rd place for youth rental</v>
      </c>
      <c r="I275" s="1" t="str">
        <f ca="1">IFERROR(__xludf.DUMMYFUNCTION("GOOGLETRANSLATE('대전도시공사_청년임대주택 현황_20240630'!I275,""ko"",""en"")"),"2000000")</f>
        <v>2000000</v>
      </c>
      <c r="J275" s="1" t="str">
        <f ca="1">IFERROR(__xludf.DUMMYFUNCTION("GOOGLETRANSLATE('대전도시공사_청년임대주택 현황_20240630'!J275,""ko"",""en"")"),"115800")</f>
        <v>115800</v>
      </c>
    </row>
    <row r="276" spans="1:10" ht="12.5" x14ac:dyDescent="0.25">
      <c r="A276" s="1" t="str">
        <f ca="1">IFERROR(__xludf.DUMMYFUNCTION("GOOGLETRANSLATE('대전도시공사_청년임대주택 현황_20240630'!A276,""ko"",""en"")"),"Tanbang-dong 1480-14 (Driumville, youth rental)")</f>
        <v>Tanbang-dong 1480-14 (Driumville, youth rental)</v>
      </c>
      <c r="B276" s="1" t="str">
        <f ca="1">IFERROR(__xludf.DUMMYFUNCTION("GOOGLETRANSLATE('대전도시공사_청년임대주택 현황_20240630'!B276,""ko"",""en"")"),"7")</f>
        <v>7</v>
      </c>
      <c r="C276" s="1" t="str">
        <f ca="1">IFERROR(__xludf.DUMMYFUNCTION("GOOGLETRANSLATE('대전도시공사_청년임대주택 현황_20240630'!C276,""ko"",""en"")"),"1")</f>
        <v>1</v>
      </c>
      <c r="D276" s="1" t="str">
        <f ca="1">IFERROR(__xludf.DUMMYFUNCTION("GOOGLETRANSLATE('대전도시공사_청년임대주택 현황_20240630'!D276,""ko"",""en"")"),"202")</f>
        <v>202</v>
      </c>
      <c r="E276" s="1" t="str">
        <f ca="1">IFERROR(__xludf.DUMMYFUNCTION("GOOGLETRANSLATE('대전도시공사_청년임대주택 현황_20240630'!E276,""ko"",""en"")"),"59.944")</f>
        <v>59.944</v>
      </c>
      <c r="F276" s="1" t="str">
        <f ca="1">IFERROR(__xludf.DUMMYFUNCTION("GOOGLETRANSLATE('대전도시공사_청년임대주택 현황_20240630'!F276,""ko"",""en"")"),"51.57")</f>
        <v>51.57</v>
      </c>
      <c r="G276" s="1" t="str">
        <f ca="1">IFERROR(__xludf.DUMMYFUNCTION("GOOGLETRANSLATE('대전도시공사_청년임대주택 현황_20240630'!G276,""ko"",""en"")"),"8.374")</f>
        <v>8.374</v>
      </c>
      <c r="H276" s="1" t="str">
        <f ca="1">IFERROR(__xludf.DUMMYFUNCTION("GOOGLETRANSLATE('대전도시공사_청년임대주택 현황_20240630'!H276,""ko"",""en"")"),"Newlyweds 1 (30% of the total price)")</f>
        <v>Newlyweds 1 (30% of the total price)</v>
      </c>
      <c r="I276" s="1" t="str">
        <f ca="1">IFERROR(__xludf.DUMMYFUNCTION("GOOGLETRANSLATE('대전도시공사_청년임대주택 현황_20240630'!I276,""ko"",""en"")"),"8377000")</f>
        <v>8377000</v>
      </c>
      <c r="J276" s="1" t="str">
        <f ca="1">IFERROR(__xludf.DUMMYFUNCTION("GOOGLETRANSLATE('대전도시공사_청년임대주택 현황_20240630'!J276,""ko"",""en"")"),"101600")</f>
        <v>101600</v>
      </c>
    </row>
    <row r="277" spans="1:10" ht="12.5" x14ac:dyDescent="0.25">
      <c r="A277" s="1" t="str">
        <f ca="1">IFERROR(__xludf.DUMMYFUNCTION("GOOGLETRANSLATE('대전도시공사_청년임대주택 현황_20240630'!A277,""ko"",""en"")"),"Tanbang-dong 1480-14 (Driumville, youth rental)")</f>
        <v>Tanbang-dong 1480-14 (Driumville, youth rental)</v>
      </c>
      <c r="B277" s="1" t="str">
        <f ca="1">IFERROR(__xludf.DUMMYFUNCTION("GOOGLETRANSLATE('대전도시공사_청년임대주택 현황_20240630'!B277,""ko"",""en"")"),"8")</f>
        <v>8</v>
      </c>
      <c r="C277" s="1" t="str">
        <f ca="1">IFERROR(__xludf.DUMMYFUNCTION("GOOGLETRANSLATE('대전도시공사_청년임대주택 현황_20240630'!C277,""ko"",""en"")"),"1")</f>
        <v>1</v>
      </c>
      <c r="D277" s="1" t="str">
        <f ca="1">IFERROR(__xludf.DUMMYFUNCTION("GOOGLETRANSLATE('대전도시공사_청년임대주택 현황_20240630'!D277,""ko"",""en"")"),"202")</f>
        <v>202</v>
      </c>
      <c r="E277" s="1" t="str">
        <f ca="1">IFERROR(__xludf.DUMMYFUNCTION("GOOGLETRANSLATE('대전도시공사_청년임대주택 현황_20240630'!E277,""ko"",""en"")"),"59.944")</f>
        <v>59.944</v>
      </c>
      <c r="F277" s="1" t="str">
        <f ca="1">IFERROR(__xludf.DUMMYFUNCTION("GOOGLETRANSLATE('대전도시공사_청년임대주택 현황_20240630'!F277,""ko"",""en"")"),"51.57")</f>
        <v>51.57</v>
      </c>
      <c r="G277" s="1" t="str">
        <f ca="1">IFERROR(__xludf.DUMMYFUNCTION("GOOGLETRANSLATE('대전도시공사_청년임대주택 현황_20240630'!G277,""ko"",""en"")"),"8.374")</f>
        <v>8.374</v>
      </c>
      <c r="H277" s="1" t="str">
        <f ca="1">IFERROR(__xludf.DUMMYFUNCTION("GOOGLETRANSLATE('대전도시공사_청년임대주택 현황_20240630'!H277,""ko"",""en"")"),"Newlyweds 1 (40% of the total price)")</f>
        <v>Newlyweds 1 (40% of the total price)</v>
      </c>
      <c r="I277" s="1" t="str">
        <f ca="1">IFERROR(__xludf.DUMMYFUNCTION("GOOGLETRANSLATE('대전도시공사_청년임대주택 현황_20240630'!I277,""ko"",""en"")"),"8377000")</f>
        <v>8377000</v>
      </c>
      <c r="J277" s="1" t="str">
        <f ca="1">IFERROR(__xludf.DUMMYFUNCTION("GOOGLETRANSLATE('대전도시공사_청년임대주택 현황_20240630'!J277,""ko"",""en"")"),"152400")</f>
        <v>152400</v>
      </c>
    </row>
    <row r="278" spans="1:10" ht="12.5" x14ac:dyDescent="0.25">
      <c r="A278" s="1" t="str">
        <f ca="1">IFERROR(__xludf.DUMMYFUNCTION("GOOGLETRANSLATE('대전도시공사_청년임대주택 현황_20240630'!A278,""ko"",""en"")"),"Tanbang-dong 1480-14 (Driumville, youth rental)")</f>
        <v>Tanbang-dong 1480-14 (Driumville, youth rental)</v>
      </c>
      <c r="B278" s="1" t="str">
        <f ca="1">IFERROR(__xludf.DUMMYFUNCTION("GOOGLETRANSLATE('대전도시공사_청년임대주택 현황_20240630'!B278,""ko"",""en"")"),"9")</f>
        <v>9</v>
      </c>
      <c r="C278" s="1" t="str">
        <f ca="1">IFERROR(__xludf.DUMMYFUNCTION("GOOGLETRANSLATE('대전도시공사_청년임대주택 현황_20240630'!C278,""ko"",""en"")"),"1")</f>
        <v>1</v>
      </c>
      <c r="D278" s="1" t="str">
        <f ca="1">IFERROR(__xludf.DUMMYFUNCTION("GOOGLETRANSLATE('대전도시공사_청년임대주택 현황_20240630'!D278,""ko"",""en"")"),"202")</f>
        <v>202</v>
      </c>
      <c r="E278" s="1" t="str">
        <f ca="1">IFERROR(__xludf.DUMMYFUNCTION("GOOGLETRANSLATE('대전도시공사_청년임대주택 현황_20240630'!E278,""ko"",""en"")"),"59.944")</f>
        <v>59.944</v>
      </c>
      <c r="F278" s="1" t="str">
        <f ca="1">IFERROR(__xludf.DUMMYFUNCTION("GOOGLETRANSLATE('대전도시공사_청년임대주택 현황_20240630'!F278,""ko"",""en"")"),"51.57")</f>
        <v>51.57</v>
      </c>
      <c r="G278" s="1" t="str">
        <f ca="1">IFERROR(__xludf.DUMMYFUNCTION("GOOGLETRANSLATE('대전도시공사_청년임대주택 현황_20240630'!G278,""ko"",""en"")"),"8.374")</f>
        <v>8.374</v>
      </c>
      <c r="H278" s="1" t="str">
        <f ca="1">IFERROR(__xludf.DUMMYFUNCTION("GOOGLETRANSLATE('대전도시공사_청년임대주택 현황_20240630'!H278,""ko"",""en"")"),"Newlyweds 2 (70% of the total price)")</f>
        <v>Newlyweds 2 (70% of the total price)</v>
      </c>
      <c r="I278" s="1" t="str">
        <f ca="1">IFERROR(__xludf.DUMMYFUNCTION("GOOGLETRANSLATE('대전도시공사_청년임대주택 현황_20240630'!I278,""ko"",""en"")"),"8377000")</f>
        <v>8377000</v>
      </c>
      <c r="J278" s="1" t="str">
        <f ca="1">IFERROR(__xludf.DUMMYFUNCTION("GOOGLETRANSLATE('대전도시공사_청년임대주택 현황_20240630'!J278,""ko"",""en"")"),"304800")</f>
        <v>304800</v>
      </c>
    </row>
    <row r="279" spans="1:10" ht="12.5" x14ac:dyDescent="0.25">
      <c r="A279" s="1" t="str">
        <f ca="1">IFERROR(__xludf.DUMMYFUNCTION("GOOGLETRANSLATE('대전도시공사_청년임대주택 현황_20240630'!A279,""ko"",""en"")"),"Tanbang-dong 1480-14 (Driumville, youth rental)")</f>
        <v>Tanbang-dong 1480-14 (Driumville, youth rental)</v>
      </c>
      <c r="B279" s="1" t="str">
        <f ca="1">IFERROR(__xludf.DUMMYFUNCTION("GOOGLETRANSLATE('대전도시공사_청년임대주택 현황_20240630'!B279,""ko"",""en"")"),"10")</f>
        <v>10</v>
      </c>
      <c r="C279" s="1" t="str">
        <f ca="1">IFERROR(__xludf.DUMMYFUNCTION("GOOGLETRANSLATE('대전도시공사_청년임대주택 현황_20240630'!C279,""ko"",""en"")"),"1")</f>
        <v>1</v>
      </c>
      <c r="D279" s="1" t="str">
        <f ca="1">IFERROR(__xludf.DUMMYFUNCTION("GOOGLETRANSLATE('대전도시공사_청년임대주택 현황_20240630'!D279,""ko"",""en"")"),"202")</f>
        <v>202</v>
      </c>
      <c r="E279" s="1" t="str">
        <f ca="1">IFERROR(__xludf.DUMMYFUNCTION("GOOGLETRANSLATE('대전도시공사_청년임대주택 현황_20240630'!E279,""ko"",""en"")"),"59.944")</f>
        <v>59.944</v>
      </c>
      <c r="F279" s="1" t="str">
        <f ca="1">IFERROR(__xludf.DUMMYFUNCTION("GOOGLETRANSLATE('대전도시공사_청년임대주택 현황_20240630'!F279,""ko"",""en"")"),"51.57")</f>
        <v>51.57</v>
      </c>
      <c r="G279" s="1" t="str">
        <f ca="1">IFERROR(__xludf.DUMMYFUNCTION("GOOGLETRANSLATE('대전도시공사_청년임대주택 현황_20240630'!G279,""ko"",""en"")"),"8.374")</f>
        <v>8.374</v>
      </c>
      <c r="H279" s="1" t="str">
        <f ca="1">IFERROR(__xludf.DUMMYFUNCTION("GOOGLETRANSLATE('대전도시공사_청년임대주택 현황_20240630'!H279,""ko"",""en"")"),"Newlyweds 2 (80% of the total price)")</f>
        <v>Newlyweds 2 (80% of the total price)</v>
      </c>
      <c r="I279" s="1" t="str">
        <f ca="1">IFERROR(__xludf.DUMMYFUNCTION("GOOGLETRANSLATE('대전도시공사_청년임대주택 현황_20240630'!I279,""ko"",""en"")"),"8377000")</f>
        <v>8377000</v>
      </c>
      <c r="J279" s="1" t="str">
        <f ca="1">IFERROR(__xludf.DUMMYFUNCTION("GOOGLETRANSLATE('대전도시공사_청년임대주택 현황_20240630'!J279,""ko"",""en"")"),"355600")</f>
        <v>355600</v>
      </c>
    </row>
    <row r="280" spans="1:10" ht="12.5" x14ac:dyDescent="0.25">
      <c r="A280" s="1" t="str">
        <f ca="1">IFERROR(__xludf.DUMMYFUNCTION("GOOGLETRANSLATE('대전도시공사_청년임대주택 현황_20240630'!A280,""ko"",""en"")"),"Tanbang-dong 1480-14 (Driumville, youth rental)")</f>
        <v>Tanbang-dong 1480-14 (Driumville, youth rental)</v>
      </c>
      <c r="B280" s="1" t="str">
        <f ca="1">IFERROR(__xludf.DUMMYFUNCTION("GOOGLETRANSLATE('대전도시공사_청년임대주택 현황_20240630'!B280,""ko"",""en"")"),"11")</f>
        <v>11</v>
      </c>
      <c r="C280" s="1" t="str">
        <f ca="1">IFERROR(__xludf.DUMMYFUNCTION("GOOGLETRANSLATE('대전도시공사_청년임대주택 현황_20240630'!C280,""ko"",""en"")"),"1")</f>
        <v>1</v>
      </c>
      <c r="D280" s="1" t="str">
        <f ca="1">IFERROR(__xludf.DUMMYFUNCTION("GOOGLETRANSLATE('대전도시공사_청년임대주택 현황_20240630'!D280,""ko"",""en"")"),"203")</f>
        <v>203</v>
      </c>
      <c r="E280" s="1" t="str">
        <f ca="1">IFERROR(__xludf.DUMMYFUNCTION("GOOGLETRANSLATE('대전도시공사_청년임대주택 현황_20240630'!E280,""ko"",""en"")"),"24.08")</f>
        <v>24.08</v>
      </c>
      <c r="F280" s="1" t="str">
        <f ca="1">IFERROR(__xludf.DUMMYFUNCTION("GOOGLETRANSLATE('대전도시공사_청년임대주택 현황_20240630'!F280,""ko"",""en"")"),"20.72")</f>
        <v>20.72</v>
      </c>
      <c r="G280" s="1" t="str">
        <f ca="1">IFERROR(__xludf.DUMMYFUNCTION("GOOGLETRANSLATE('대전도시공사_청년임대주택 현황_20240630'!G280,""ko"",""en"")"),"3.36")</f>
        <v>3.36</v>
      </c>
      <c r="H280" s="1" t="str">
        <f ca="1">IFERROR(__xludf.DUMMYFUNCTION("GOOGLETRANSLATE('대전도시공사_청년임대주택 현황_20240630'!H280,""ko"",""en"")"),"Youth Rent 1st Place")</f>
        <v>Youth Rent 1st Place</v>
      </c>
      <c r="I280" s="1" t="str">
        <f ca="1">IFERROR(__xludf.DUMMYFUNCTION("GOOGLETRANSLATE('대전도시공사_청년임대주택 현황_20240630'!I280,""ko"",""en"")"),"1000000")</f>
        <v>1000000</v>
      </c>
      <c r="J280" s="1" t="str">
        <f ca="1">IFERROR(__xludf.DUMMYFUNCTION("GOOGLETRANSLATE('대전도시공사_청년임대주택 현황_20240630'!J280,""ko"",""en"")"),"79000")</f>
        <v>79000</v>
      </c>
    </row>
    <row r="281" spans="1:10" ht="12.5" x14ac:dyDescent="0.25">
      <c r="A281" s="1" t="str">
        <f ca="1">IFERROR(__xludf.DUMMYFUNCTION("GOOGLETRANSLATE('대전도시공사_청년임대주택 현황_20240630'!A281,""ko"",""en"")"),"Tanbang-dong 1480-14 (Driumville, youth rental)")</f>
        <v>Tanbang-dong 1480-14 (Driumville, youth rental)</v>
      </c>
      <c r="B281" s="1" t="str">
        <f ca="1">IFERROR(__xludf.DUMMYFUNCTION("GOOGLETRANSLATE('대전도시공사_청년임대주택 현황_20240630'!B281,""ko"",""en"")"),"12")</f>
        <v>12</v>
      </c>
      <c r="C281" s="1" t="str">
        <f ca="1">IFERROR(__xludf.DUMMYFUNCTION("GOOGLETRANSLATE('대전도시공사_청년임대주택 현황_20240630'!C281,""ko"",""en"")"),"1")</f>
        <v>1</v>
      </c>
      <c r="D281" s="1" t="str">
        <f ca="1">IFERROR(__xludf.DUMMYFUNCTION("GOOGLETRANSLATE('대전도시공사_청년임대주택 현황_20240630'!D281,""ko"",""en"")"),"203")</f>
        <v>203</v>
      </c>
      <c r="E281" s="1" t="str">
        <f ca="1">IFERROR(__xludf.DUMMYFUNCTION("GOOGLETRANSLATE('대전도시공사_청년임대주택 현황_20240630'!E281,""ko"",""en"")"),"24.08")</f>
        <v>24.08</v>
      </c>
      <c r="F281" s="1" t="str">
        <f ca="1">IFERROR(__xludf.DUMMYFUNCTION("GOOGLETRANSLATE('대전도시공사_청년임대주택 현황_20240630'!F281,""ko"",""en"")"),"20.72")</f>
        <v>20.72</v>
      </c>
      <c r="G281" s="1" t="str">
        <f ca="1">IFERROR(__xludf.DUMMYFUNCTION("GOOGLETRANSLATE('대전도시공사_청년임대주택 현황_20240630'!G281,""ko"",""en"")"),"3.36")</f>
        <v>3.36</v>
      </c>
      <c r="H281" s="1" t="str">
        <f ca="1">IFERROR(__xludf.DUMMYFUNCTION("GOOGLETRANSLATE('대전도시공사_청년임대주택 현황_20240630'!H281,""ko"",""en"")"),"Youth Rental 2nd Place")</f>
        <v>Youth Rental 2nd Place</v>
      </c>
      <c r="I281" s="1" t="str">
        <f ca="1">IFERROR(__xludf.DUMMYFUNCTION("GOOGLETRANSLATE('대전도시공사_청년임대주택 현황_20240630'!I281,""ko"",""en"")"),"2000000")</f>
        <v>2000000</v>
      </c>
      <c r="J281" s="1" t="str">
        <f ca="1">IFERROR(__xludf.DUMMYFUNCTION("GOOGLETRANSLATE('대전도시공사_청년임대주택 현황_20240630'!J281,""ko"",""en"")"),"94100")</f>
        <v>94100</v>
      </c>
    </row>
    <row r="282" spans="1:10" ht="12.5" x14ac:dyDescent="0.25">
      <c r="A282" s="1" t="str">
        <f ca="1">IFERROR(__xludf.DUMMYFUNCTION("GOOGLETRANSLATE('대전도시공사_청년임대주택 현황_20240630'!A282,""ko"",""en"")"),"Tanbang-dong 1480-14 (Driumville, youth rental)")</f>
        <v>Tanbang-dong 1480-14 (Driumville, youth rental)</v>
      </c>
      <c r="B282" s="1" t="str">
        <f ca="1">IFERROR(__xludf.DUMMYFUNCTION("GOOGLETRANSLATE('대전도시공사_청년임대주택 현황_20240630'!B282,""ko"",""en"")"),"13")</f>
        <v>13</v>
      </c>
      <c r="C282" s="1" t="str">
        <f ca="1">IFERROR(__xludf.DUMMYFUNCTION("GOOGLETRANSLATE('대전도시공사_청년임대주택 현황_20240630'!C282,""ko"",""en"")"),"1")</f>
        <v>1</v>
      </c>
      <c r="D282" s="1" t="str">
        <f ca="1">IFERROR(__xludf.DUMMYFUNCTION("GOOGLETRANSLATE('대전도시공사_청년임대주택 현황_20240630'!D282,""ko"",""en"")"),"203")</f>
        <v>203</v>
      </c>
      <c r="E282" s="1" t="str">
        <f ca="1">IFERROR(__xludf.DUMMYFUNCTION("GOOGLETRANSLATE('대전도시공사_청년임대주택 현황_20240630'!E282,""ko"",""en"")"),"24.08")</f>
        <v>24.08</v>
      </c>
      <c r="F282" s="1" t="str">
        <f ca="1">IFERROR(__xludf.DUMMYFUNCTION("GOOGLETRANSLATE('대전도시공사_청년임대주택 현황_20240630'!F282,""ko"",""en"")"),"20.72")</f>
        <v>20.72</v>
      </c>
      <c r="G282" s="1" t="str">
        <f ca="1">IFERROR(__xludf.DUMMYFUNCTION("GOOGLETRANSLATE('대전도시공사_청년임대주택 현황_20240630'!G282,""ko"",""en"")"),"3.36")</f>
        <v>3.36</v>
      </c>
      <c r="H282" s="1" t="str">
        <f ca="1">IFERROR(__xludf.DUMMYFUNCTION("GOOGLETRANSLATE('대전도시공사_청년임대주택 현황_20240630'!H282,""ko"",""en"")"),"3rd place for youth rental")</f>
        <v>3rd place for youth rental</v>
      </c>
      <c r="I282" s="1" t="str">
        <f ca="1">IFERROR(__xludf.DUMMYFUNCTION("GOOGLETRANSLATE('대전도시공사_청년임대주택 현황_20240630'!I282,""ko"",""en"")"),"2000000")</f>
        <v>2000000</v>
      </c>
      <c r="J282" s="1" t="str">
        <f ca="1">IFERROR(__xludf.DUMMYFUNCTION("GOOGLETRANSLATE('대전도시공사_청년임대주택 현황_20240630'!J282,""ko"",""en"")"),"94100")</f>
        <v>94100</v>
      </c>
    </row>
    <row r="283" spans="1:10" ht="12.5" x14ac:dyDescent="0.25">
      <c r="A283" s="1" t="str">
        <f ca="1">IFERROR(__xludf.DUMMYFUNCTION("GOOGLETRANSLATE('대전도시공사_청년임대주택 현황_20240630'!A283,""ko"",""en"")"),"Tanbang-dong 1480-14 (Driumville, youth rental)")</f>
        <v>Tanbang-dong 1480-14 (Driumville, youth rental)</v>
      </c>
      <c r="B283" s="1" t="str">
        <f ca="1">IFERROR(__xludf.DUMMYFUNCTION("GOOGLETRANSLATE('대전도시공사_청년임대주택 현황_20240630'!B283,""ko"",""en"")"),"14")</f>
        <v>14</v>
      </c>
      <c r="C283" s="1" t="str">
        <f ca="1">IFERROR(__xludf.DUMMYFUNCTION("GOOGLETRANSLATE('대전도시공사_청년임대주택 현황_20240630'!C283,""ko"",""en"")"),"1")</f>
        <v>1</v>
      </c>
      <c r="D283" s="1" t="str">
        <f ca="1">IFERROR(__xludf.DUMMYFUNCTION("GOOGLETRANSLATE('대전도시공사_청년임대주택 현황_20240630'!D283,""ko"",""en"")"),"204")</f>
        <v>204</v>
      </c>
      <c r="E283" s="1" t="str">
        <f ca="1">IFERROR(__xludf.DUMMYFUNCTION("GOOGLETRANSLATE('대전도시공사_청년임대주택 현황_20240630'!E283,""ko"",""en"")"),"32.79")</f>
        <v>32.79</v>
      </c>
      <c r="F283" s="1" t="str">
        <f ca="1">IFERROR(__xludf.DUMMYFUNCTION("GOOGLETRANSLATE('대전도시공사_청년임대주택 현황_20240630'!F283,""ko"",""en"")"),"28.21")</f>
        <v>28.21</v>
      </c>
      <c r="G283" s="1" t="str">
        <f ca="1">IFERROR(__xludf.DUMMYFUNCTION("GOOGLETRANSLATE('대전도시공사_청년임대주택 현황_20240630'!G283,""ko"",""en"")"),"4.58")</f>
        <v>4.58</v>
      </c>
      <c r="H283" s="1" t="str">
        <f ca="1">IFERROR(__xludf.DUMMYFUNCTION("GOOGLETRANSLATE('대전도시공사_청년임대주택 현황_20240630'!H283,""ko"",""en"")"),"Youth Rent 1st Place")</f>
        <v>Youth Rent 1st Place</v>
      </c>
      <c r="I283" s="1" t="str">
        <f ca="1">IFERROR(__xludf.DUMMYFUNCTION("GOOGLETRANSLATE('대전도시공사_청년임대주택 현황_20240630'!I283,""ko"",""en"")"),"1000000")</f>
        <v>1000000</v>
      </c>
      <c r="J283" s="1" t="str">
        <f ca="1">IFERROR(__xludf.DUMMYFUNCTION("GOOGLETRANSLATE('대전도시공사_청년임대주택 현황_20240630'!J283,""ko"",""en"")"),"113200")</f>
        <v>113200</v>
      </c>
    </row>
    <row r="284" spans="1:10" ht="12.5" x14ac:dyDescent="0.25">
      <c r="A284" s="1" t="str">
        <f ca="1">IFERROR(__xludf.DUMMYFUNCTION("GOOGLETRANSLATE('대전도시공사_청년임대주택 현황_20240630'!A284,""ko"",""en"")"),"Tanbang-dong 1480-14 (Driumville, youth rental)")</f>
        <v>Tanbang-dong 1480-14 (Driumville, youth rental)</v>
      </c>
      <c r="B284" s="1" t="str">
        <f ca="1">IFERROR(__xludf.DUMMYFUNCTION("GOOGLETRANSLATE('대전도시공사_청년임대주택 현황_20240630'!B284,""ko"",""en"")"),"15")</f>
        <v>15</v>
      </c>
      <c r="C284" s="1" t="str">
        <f ca="1">IFERROR(__xludf.DUMMYFUNCTION("GOOGLETRANSLATE('대전도시공사_청년임대주택 현황_20240630'!C284,""ko"",""en"")"),"1")</f>
        <v>1</v>
      </c>
      <c r="D284" s="1" t="str">
        <f ca="1">IFERROR(__xludf.DUMMYFUNCTION("GOOGLETRANSLATE('대전도시공사_청년임대주택 현황_20240630'!D284,""ko"",""en"")"),"204")</f>
        <v>204</v>
      </c>
      <c r="E284" s="1" t="str">
        <f ca="1">IFERROR(__xludf.DUMMYFUNCTION("GOOGLETRANSLATE('대전도시공사_청년임대주택 현황_20240630'!E284,""ko"",""en"")"),"32.79")</f>
        <v>32.79</v>
      </c>
      <c r="F284" s="1" t="str">
        <f ca="1">IFERROR(__xludf.DUMMYFUNCTION("GOOGLETRANSLATE('대전도시공사_청년임대주택 현황_20240630'!F284,""ko"",""en"")"),"28.21")</f>
        <v>28.21</v>
      </c>
      <c r="G284" s="1" t="str">
        <f ca="1">IFERROR(__xludf.DUMMYFUNCTION("GOOGLETRANSLATE('대전도시공사_청년임대주택 현황_20240630'!G284,""ko"",""en"")"),"4.58")</f>
        <v>4.58</v>
      </c>
      <c r="H284" s="1" t="str">
        <f ca="1">IFERROR(__xludf.DUMMYFUNCTION("GOOGLETRANSLATE('대전도시공사_청년임대주택 현황_20240630'!H284,""ko"",""en"")"),"Youth Rental 2nd Place")</f>
        <v>Youth Rental 2nd Place</v>
      </c>
      <c r="I284" s="1" t="str">
        <f ca="1">IFERROR(__xludf.DUMMYFUNCTION("GOOGLETRANSLATE('대전도시공사_청년임대주택 현황_20240630'!I284,""ko"",""en"")"),"2000000")</f>
        <v>2000000</v>
      </c>
      <c r="J284" s="1" t="str">
        <f ca="1">IFERROR(__xludf.DUMMYFUNCTION("GOOGLETRANSLATE('대전도시공사_청년임대주택 현황_20240630'!J284,""ko"",""en"")"),"136700")</f>
        <v>136700</v>
      </c>
    </row>
    <row r="285" spans="1:10" ht="12.5" x14ac:dyDescent="0.25">
      <c r="A285" s="1" t="str">
        <f ca="1">IFERROR(__xludf.DUMMYFUNCTION("GOOGLETRANSLATE('대전도시공사_청년임대주택 현황_20240630'!A285,""ko"",""en"")"),"Tanbang-dong 1480-14 (Driumville, youth rental)")</f>
        <v>Tanbang-dong 1480-14 (Driumville, youth rental)</v>
      </c>
      <c r="B285" s="1" t="str">
        <f ca="1">IFERROR(__xludf.DUMMYFUNCTION("GOOGLETRANSLATE('대전도시공사_청년임대주택 현황_20240630'!B285,""ko"",""en"")"),"16")</f>
        <v>16</v>
      </c>
      <c r="C285" s="1" t="str">
        <f ca="1">IFERROR(__xludf.DUMMYFUNCTION("GOOGLETRANSLATE('대전도시공사_청년임대주택 현황_20240630'!C285,""ko"",""en"")"),"1")</f>
        <v>1</v>
      </c>
      <c r="D285" s="1" t="str">
        <f ca="1">IFERROR(__xludf.DUMMYFUNCTION("GOOGLETRANSLATE('대전도시공사_청년임대주택 현황_20240630'!D285,""ko"",""en"")"),"204")</f>
        <v>204</v>
      </c>
      <c r="E285" s="1" t="str">
        <f ca="1">IFERROR(__xludf.DUMMYFUNCTION("GOOGLETRANSLATE('대전도시공사_청년임대주택 현황_20240630'!E285,""ko"",""en"")"),"32.79")</f>
        <v>32.79</v>
      </c>
      <c r="F285" s="1" t="str">
        <f ca="1">IFERROR(__xludf.DUMMYFUNCTION("GOOGLETRANSLATE('대전도시공사_청년임대주택 현황_20240630'!F285,""ko"",""en"")"),"28.21")</f>
        <v>28.21</v>
      </c>
      <c r="G285" s="1" t="str">
        <f ca="1">IFERROR(__xludf.DUMMYFUNCTION("GOOGLETRANSLATE('대전도시공사_청년임대주택 현황_20240630'!G285,""ko"",""en"")"),"4.58")</f>
        <v>4.58</v>
      </c>
      <c r="H285" s="1" t="str">
        <f ca="1">IFERROR(__xludf.DUMMYFUNCTION("GOOGLETRANSLATE('대전도시공사_청년임대주택 현황_20240630'!H285,""ko"",""en"")"),"3rd place for youth rental")</f>
        <v>3rd place for youth rental</v>
      </c>
      <c r="I285" s="1" t="str">
        <f ca="1">IFERROR(__xludf.DUMMYFUNCTION("GOOGLETRANSLATE('대전도시공사_청년임대주택 현황_20240630'!I285,""ko"",""en"")"),"2000000")</f>
        <v>2000000</v>
      </c>
      <c r="J285" s="1" t="str">
        <f ca="1">IFERROR(__xludf.DUMMYFUNCTION("GOOGLETRANSLATE('대전도시공사_청년임대주택 현황_20240630'!J285,""ko"",""en"")"),"136700")</f>
        <v>136700</v>
      </c>
    </row>
    <row r="286" spans="1:10" ht="12.5" x14ac:dyDescent="0.25">
      <c r="A286" s="1" t="str">
        <f ca="1">IFERROR(__xludf.DUMMYFUNCTION("GOOGLETRANSLATE('대전도시공사_청년임대주택 현황_20240630'!A286,""ko"",""en"")"),"Tanbang-dong 1480-14 (Driumville, youth rental)")</f>
        <v>Tanbang-dong 1480-14 (Driumville, youth rental)</v>
      </c>
      <c r="B286" s="1" t="str">
        <f ca="1">IFERROR(__xludf.DUMMYFUNCTION("GOOGLETRANSLATE('대전도시공사_청년임대주택 현황_20240630'!B286,""ko"",""en"")"),"17")</f>
        <v>17</v>
      </c>
      <c r="C286" s="1" t="str">
        <f ca="1">IFERROR(__xludf.DUMMYFUNCTION("GOOGLETRANSLATE('대전도시공사_청년임대주택 현황_20240630'!C286,""ko"",""en"")"),"1")</f>
        <v>1</v>
      </c>
      <c r="D286" s="1" t="str">
        <f ca="1">IFERROR(__xludf.DUMMYFUNCTION("GOOGLETRANSLATE('대전도시공사_청년임대주택 현황_20240630'!D286,""ko"",""en"")"),"205")</f>
        <v>205</v>
      </c>
      <c r="E286" s="1" t="str">
        <f ca="1">IFERROR(__xludf.DUMMYFUNCTION("GOOGLETRANSLATE('대전도시공사_청년임대주택 현황_20240630'!E286,""ko"",""en"")"),"32.73")</f>
        <v>32.73</v>
      </c>
      <c r="F286" s="1" t="str">
        <f ca="1">IFERROR(__xludf.DUMMYFUNCTION("GOOGLETRANSLATE('대전도시공사_청년임대주택 현황_20240630'!F286,""ko"",""en"")"),"28.16")</f>
        <v>28.16</v>
      </c>
      <c r="G286" s="1" t="str">
        <f ca="1">IFERROR(__xludf.DUMMYFUNCTION("GOOGLETRANSLATE('대전도시공사_청년임대주택 현황_20240630'!G286,""ko"",""en"")"),"4.57")</f>
        <v>4.57</v>
      </c>
      <c r="H286" s="1" t="str">
        <f ca="1">IFERROR(__xludf.DUMMYFUNCTION("GOOGLETRANSLATE('대전도시공사_청년임대주택 현황_20240630'!H286,""ko"",""en"")"),"Youth Rent 1st Place")</f>
        <v>Youth Rent 1st Place</v>
      </c>
      <c r="I286" s="1" t="str">
        <f ca="1">IFERROR(__xludf.DUMMYFUNCTION("GOOGLETRANSLATE('대전도시공사_청년임대주택 현황_20240630'!I286,""ko"",""en"")"),"1000000")</f>
        <v>1000000</v>
      </c>
      <c r="J286" s="1" t="str">
        <f ca="1">IFERROR(__xludf.DUMMYFUNCTION("GOOGLETRANSLATE('대전도시공사_청년임대주택 현황_20240630'!J286,""ko"",""en"")"),"115200")</f>
        <v>115200</v>
      </c>
    </row>
    <row r="287" spans="1:10" ht="12.5" x14ac:dyDescent="0.25">
      <c r="A287" s="1" t="str">
        <f ca="1">IFERROR(__xludf.DUMMYFUNCTION("GOOGLETRANSLATE('대전도시공사_청년임대주택 현황_20240630'!A287,""ko"",""en"")"),"Tanbang-dong 1480-14 (Driumville, youth rental)")</f>
        <v>Tanbang-dong 1480-14 (Driumville, youth rental)</v>
      </c>
      <c r="B287" s="1" t="str">
        <f ca="1">IFERROR(__xludf.DUMMYFUNCTION("GOOGLETRANSLATE('대전도시공사_청년임대주택 현황_20240630'!B287,""ko"",""en"")"),"18")</f>
        <v>18</v>
      </c>
      <c r="C287" s="1" t="str">
        <f ca="1">IFERROR(__xludf.DUMMYFUNCTION("GOOGLETRANSLATE('대전도시공사_청년임대주택 현황_20240630'!C287,""ko"",""en"")"),"1")</f>
        <v>1</v>
      </c>
      <c r="D287" s="1" t="str">
        <f ca="1">IFERROR(__xludf.DUMMYFUNCTION("GOOGLETRANSLATE('대전도시공사_청년임대주택 현황_20240630'!D287,""ko"",""en"")"),"205")</f>
        <v>205</v>
      </c>
      <c r="E287" s="1" t="str">
        <f ca="1">IFERROR(__xludf.DUMMYFUNCTION("GOOGLETRANSLATE('대전도시공사_청년임대주택 현황_20240630'!E287,""ko"",""en"")"),"32.73")</f>
        <v>32.73</v>
      </c>
      <c r="F287" s="1" t="str">
        <f ca="1">IFERROR(__xludf.DUMMYFUNCTION("GOOGLETRANSLATE('대전도시공사_청년임대주택 현황_20240630'!F287,""ko"",""en"")"),"28.16")</f>
        <v>28.16</v>
      </c>
      <c r="G287" s="1" t="str">
        <f ca="1">IFERROR(__xludf.DUMMYFUNCTION("GOOGLETRANSLATE('대전도시공사_청년임대주택 현황_20240630'!G287,""ko"",""en"")"),"4.57")</f>
        <v>4.57</v>
      </c>
      <c r="H287" s="1" t="str">
        <f ca="1">IFERROR(__xludf.DUMMYFUNCTION("GOOGLETRANSLATE('대전도시공사_청년임대주택 현황_20240630'!H287,""ko"",""en"")"),"Youth Rental 2nd Place")</f>
        <v>Youth Rental 2nd Place</v>
      </c>
      <c r="I287" s="1" t="str">
        <f ca="1">IFERROR(__xludf.DUMMYFUNCTION("GOOGLETRANSLATE('대전도시공사_청년임대주택 현황_20240630'!I287,""ko"",""en"")"),"2000000")</f>
        <v>2000000</v>
      </c>
      <c r="J287" s="1" t="str">
        <f ca="1">IFERROR(__xludf.DUMMYFUNCTION("GOOGLETRANSLATE('대전도시공사_청년임대주택 현황_20240630'!J287,""ko"",""en"")"),"139200")</f>
        <v>139200</v>
      </c>
    </row>
    <row r="288" spans="1:10" ht="12.5" x14ac:dyDescent="0.25">
      <c r="A288" s="1" t="str">
        <f ca="1">IFERROR(__xludf.DUMMYFUNCTION("GOOGLETRANSLATE('대전도시공사_청년임대주택 현황_20240630'!A288,""ko"",""en"")"),"Tanbang-dong 1480-14 (Driumville, youth rental)")</f>
        <v>Tanbang-dong 1480-14 (Driumville, youth rental)</v>
      </c>
      <c r="B288" s="1" t="str">
        <f ca="1">IFERROR(__xludf.DUMMYFUNCTION("GOOGLETRANSLATE('대전도시공사_청년임대주택 현황_20240630'!B288,""ko"",""en"")"),"19")</f>
        <v>19</v>
      </c>
      <c r="C288" s="1" t="str">
        <f ca="1">IFERROR(__xludf.DUMMYFUNCTION("GOOGLETRANSLATE('대전도시공사_청년임대주택 현황_20240630'!C288,""ko"",""en"")"),"1")</f>
        <v>1</v>
      </c>
      <c r="D288" s="1" t="str">
        <f ca="1">IFERROR(__xludf.DUMMYFUNCTION("GOOGLETRANSLATE('대전도시공사_청년임대주택 현황_20240630'!D288,""ko"",""en"")"),"205")</f>
        <v>205</v>
      </c>
      <c r="E288" s="1" t="str">
        <f ca="1">IFERROR(__xludf.DUMMYFUNCTION("GOOGLETRANSLATE('대전도시공사_청년임대주택 현황_20240630'!E288,""ko"",""en"")"),"32.73")</f>
        <v>32.73</v>
      </c>
      <c r="F288" s="1" t="str">
        <f ca="1">IFERROR(__xludf.DUMMYFUNCTION("GOOGLETRANSLATE('대전도시공사_청년임대주택 현황_20240630'!F288,""ko"",""en"")"),"28.16")</f>
        <v>28.16</v>
      </c>
      <c r="G288" s="1" t="str">
        <f ca="1">IFERROR(__xludf.DUMMYFUNCTION("GOOGLETRANSLATE('대전도시공사_청년임대주택 현황_20240630'!G288,""ko"",""en"")"),"4.57")</f>
        <v>4.57</v>
      </c>
      <c r="H288" s="1" t="str">
        <f ca="1">IFERROR(__xludf.DUMMYFUNCTION("GOOGLETRANSLATE('대전도시공사_청년임대주택 현황_20240630'!H288,""ko"",""en"")"),"3rd place for youth rental")</f>
        <v>3rd place for youth rental</v>
      </c>
      <c r="I288" s="1" t="str">
        <f ca="1">IFERROR(__xludf.DUMMYFUNCTION("GOOGLETRANSLATE('대전도시공사_청년임대주택 현황_20240630'!I288,""ko"",""en"")"),"2000000")</f>
        <v>2000000</v>
      </c>
      <c r="J288" s="1" t="str">
        <f ca="1">IFERROR(__xludf.DUMMYFUNCTION("GOOGLETRANSLATE('대전도시공사_청년임대주택 현황_20240630'!J288,""ko"",""en"")"),"139200")</f>
        <v>139200</v>
      </c>
    </row>
    <row r="289" spans="1:10" ht="12.5" x14ac:dyDescent="0.25">
      <c r="A289" s="1" t="str">
        <f ca="1">IFERROR(__xludf.DUMMYFUNCTION("GOOGLETRANSLATE('대전도시공사_청년임대주택 현황_20240630'!A289,""ko"",""en"")"),"Tanbang-dong 1480-14 (Driumville, youth rental)")</f>
        <v>Tanbang-dong 1480-14 (Driumville, youth rental)</v>
      </c>
      <c r="B289" s="1" t="str">
        <f ca="1">IFERROR(__xludf.DUMMYFUNCTION("GOOGLETRANSLATE('대전도시공사_청년임대주택 현황_20240630'!B289,""ko"",""en"")"),"20")</f>
        <v>20</v>
      </c>
      <c r="C289" s="1" t="str">
        <f ca="1">IFERROR(__xludf.DUMMYFUNCTION("GOOGLETRANSLATE('대전도시공사_청년임대주택 현황_20240630'!C289,""ko"",""en"")"),"1")</f>
        <v>1</v>
      </c>
      <c r="D289" s="1" t="str">
        <f ca="1">IFERROR(__xludf.DUMMYFUNCTION("GOOGLETRANSLATE('대전도시공사_청년임대주택 현황_20240630'!D289,""ko"",""en"")"),"301")</f>
        <v>301</v>
      </c>
      <c r="E289" s="1" t="str">
        <f ca="1">IFERROR(__xludf.DUMMYFUNCTION("GOOGLETRANSLATE('대전도시공사_청년임대주택 현황_20240630'!E289,""ko"",""en"")"),"32.73")</f>
        <v>32.73</v>
      </c>
      <c r="F289" s="1" t="str">
        <f ca="1">IFERROR(__xludf.DUMMYFUNCTION("GOOGLETRANSLATE('대전도시공사_청년임대주택 현황_20240630'!F289,""ko"",""en"")"),"28.16")</f>
        <v>28.16</v>
      </c>
      <c r="G289" s="1" t="str">
        <f ca="1">IFERROR(__xludf.DUMMYFUNCTION("GOOGLETRANSLATE('대전도시공사_청년임대주택 현황_20240630'!G289,""ko"",""en"")"),"4.57")</f>
        <v>4.57</v>
      </c>
      <c r="H289" s="1" t="str">
        <f ca="1">IFERROR(__xludf.DUMMYFUNCTION("GOOGLETRANSLATE('대전도시공사_청년임대주택 현황_20240630'!H289,""ko"",""en"")"),"Youth Rent 1st Place")</f>
        <v>Youth Rent 1st Place</v>
      </c>
      <c r="I289" s="1" t="str">
        <f ca="1">IFERROR(__xludf.DUMMYFUNCTION("GOOGLETRANSLATE('대전도시공사_청년임대주택 현황_20240630'!I289,""ko"",""en"")"),"1000000")</f>
        <v>1000000</v>
      </c>
      <c r="J289" s="1" t="str">
        <f ca="1">IFERROR(__xludf.DUMMYFUNCTION("GOOGLETRANSLATE('대전도시공사_청년임대주택 현황_20240630'!J289,""ko"",""en"")"),"115200")</f>
        <v>115200</v>
      </c>
    </row>
    <row r="290" spans="1:10" ht="12.5" x14ac:dyDescent="0.25">
      <c r="A290" s="1" t="str">
        <f ca="1">IFERROR(__xludf.DUMMYFUNCTION("GOOGLETRANSLATE('대전도시공사_청년임대주택 현황_20240630'!A290,""ko"",""en"")"),"Tanbang-dong 1480-14 (Driumville, youth rental)")</f>
        <v>Tanbang-dong 1480-14 (Driumville, youth rental)</v>
      </c>
      <c r="B290" s="1" t="str">
        <f ca="1">IFERROR(__xludf.DUMMYFUNCTION("GOOGLETRANSLATE('대전도시공사_청년임대주택 현황_20240630'!B290,""ko"",""en"")"),"21")</f>
        <v>21</v>
      </c>
      <c r="C290" s="1" t="str">
        <f ca="1">IFERROR(__xludf.DUMMYFUNCTION("GOOGLETRANSLATE('대전도시공사_청년임대주택 현황_20240630'!C290,""ko"",""en"")"),"1")</f>
        <v>1</v>
      </c>
      <c r="D290" s="1" t="str">
        <f ca="1">IFERROR(__xludf.DUMMYFUNCTION("GOOGLETRANSLATE('대전도시공사_청년임대주택 현황_20240630'!D290,""ko"",""en"")"),"301")</f>
        <v>301</v>
      </c>
      <c r="E290" s="1" t="str">
        <f ca="1">IFERROR(__xludf.DUMMYFUNCTION("GOOGLETRANSLATE('대전도시공사_청년임대주택 현황_20240630'!E290,""ko"",""en"")"),"32.73")</f>
        <v>32.73</v>
      </c>
      <c r="F290" s="1" t="str">
        <f ca="1">IFERROR(__xludf.DUMMYFUNCTION("GOOGLETRANSLATE('대전도시공사_청년임대주택 현황_20240630'!F290,""ko"",""en"")"),"28.16")</f>
        <v>28.16</v>
      </c>
      <c r="G290" s="1" t="str">
        <f ca="1">IFERROR(__xludf.DUMMYFUNCTION("GOOGLETRANSLATE('대전도시공사_청년임대주택 현황_20240630'!G290,""ko"",""en"")"),"4.57")</f>
        <v>4.57</v>
      </c>
      <c r="H290" s="1" t="str">
        <f ca="1">IFERROR(__xludf.DUMMYFUNCTION("GOOGLETRANSLATE('대전도시공사_청년임대주택 현황_20240630'!H290,""ko"",""en"")"),"Youth Rental 2nd Place")</f>
        <v>Youth Rental 2nd Place</v>
      </c>
      <c r="I290" s="1" t="str">
        <f ca="1">IFERROR(__xludf.DUMMYFUNCTION("GOOGLETRANSLATE('대전도시공사_청년임대주택 현황_20240630'!I290,""ko"",""en"")"),"2000000")</f>
        <v>2000000</v>
      </c>
      <c r="J290" s="1" t="str">
        <f ca="1">IFERROR(__xludf.DUMMYFUNCTION("GOOGLETRANSLATE('대전도시공사_청년임대주택 현황_20240630'!J290,""ko"",""en"")"),"139200")</f>
        <v>139200</v>
      </c>
    </row>
    <row r="291" spans="1:10" ht="12.5" x14ac:dyDescent="0.25">
      <c r="A291" s="1" t="str">
        <f ca="1">IFERROR(__xludf.DUMMYFUNCTION("GOOGLETRANSLATE('대전도시공사_청년임대주택 현황_20240630'!A291,""ko"",""en"")"),"Tanbang-dong 1480-14 (Driumville, youth rental)")</f>
        <v>Tanbang-dong 1480-14 (Driumville, youth rental)</v>
      </c>
      <c r="B291" s="1" t="str">
        <f ca="1">IFERROR(__xludf.DUMMYFUNCTION("GOOGLETRANSLATE('대전도시공사_청년임대주택 현황_20240630'!B291,""ko"",""en"")"),"22")</f>
        <v>22</v>
      </c>
      <c r="C291" s="1" t="str">
        <f ca="1">IFERROR(__xludf.DUMMYFUNCTION("GOOGLETRANSLATE('대전도시공사_청년임대주택 현황_20240630'!C291,""ko"",""en"")"),"1")</f>
        <v>1</v>
      </c>
      <c r="D291" s="1" t="str">
        <f ca="1">IFERROR(__xludf.DUMMYFUNCTION("GOOGLETRANSLATE('대전도시공사_청년임대주택 현황_20240630'!D291,""ko"",""en"")"),"301")</f>
        <v>301</v>
      </c>
      <c r="E291" s="1" t="str">
        <f ca="1">IFERROR(__xludf.DUMMYFUNCTION("GOOGLETRANSLATE('대전도시공사_청년임대주택 현황_20240630'!E291,""ko"",""en"")"),"32.73")</f>
        <v>32.73</v>
      </c>
      <c r="F291" s="1" t="str">
        <f ca="1">IFERROR(__xludf.DUMMYFUNCTION("GOOGLETRANSLATE('대전도시공사_청년임대주택 현황_20240630'!F291,""ko"",""en"")"),"28.16")</f>
        <v>28.16</v>
      </c>
      <c r="G291" s="1" t="str">
        <f ca="1">IFERROR(__xludf.DUMMYFUNCTION("GOOGLETRANSLATE('대전도시공사_청년임대주택 현황_20240630'!G291,""ko"",""en"")"),"4.57")</f>
        <v>4.57</v>
      </c>
      <c r="H291" s="1" t="str">
        <f ca="1">IFERROR(__xludf.DUMMYFUNCTION("GOOGLETRANSLATE('대전도시공사_청년임대주택 현황_20240630'!H291,""ko"",""en"")"),"3rd place for youth rental")</f>
        <v>3rd place for youth rental</v>
      </c>
      <c r="I291" s="1" t="str">
        <f ca="1">IFERROR(__xludf.DUMMYFUNCTION("GOOGLETRANSLATE('대전도시공사_청년임대주택 현황_20240630'!I291,""ko"",""en"")"),"2000000")</f>
        <v>2000000</v>
      </c>
      <c r="J291" s="1" t="str">
        <f ca="1">IFERROR(__xludf.DUMMYFUNCTION("GOOGLETRANSLATE('대전도시공사_청년임대주택 현황_20240630'!J291,""ko"",""en"")"),"139200")</f>
        <v>139200</v>
      </c>
    </row>
    <row r="292" spans="1:10" ht="12.5" x14ac:dyDescent="0.25">
      <c r="A292" s="1" t="str">
        <f ca="1">IFERROR(__xludf.DUMMYFUNCTION("GOOGLETRANSLATE('대전도시공사_청년임대주택 현황_20240630'!A292,""ko"",""en"")"),"Tanbang-dong 1480-14 (Driumville, youth rental)")</f>
        <v>Tanbang-dong 1480-14 (Driumville, youth rental)</v>
      </c>
      <c r="B292" s="1" t="str">
        <f ca="1">IFERROR(__xludf.DUMMYFUNCTION("GOOGLETRANSLATE('대전도시공사_청년임대주택 현황_20240630'!B292,""ko"",""en"")"),"23")</f>
        <v>23</v>
      </c>
      <c r="C292" s="1" t="str">
        <f ca="1">IFERROR(__xludf.DUMMYFUNCTION("GOOGLETRANSLATE('대전도시공사_청년임대주택 현황_20240630'!C292,""ko"",""en"")"),"1")</f>
        <v>1</v>
      </c>
      <c r="D292" s="1" t="str">
        <f ca="1">IFERROR(__xludf.DUMMYFUNCTION("GOOGLETRANSLATE('대전도시공사_청년임대주택 현황_20240630'!D292,""ko"",""en"")"),"302")</f>
        <v>302</v>
      </c>
      <c r="E292" s="1" t="str">
        <f ca="1">IFERROR(__xludf.DUMMYFUNCTION("GOOGLETRANSLATE('대전도시공사_청년임대주택 현황_20240630'!E292,""ko"",""en"")"),"59.944")</f>
        <v>59.944</v>
      </c>
      <c r="F292" s="1" t="str">
        <f ca="1">IFERROR(__xludf.DUMMYFUNCTION("GOOGLETRANSLATE('대전도시공사_청년임대주택 현황_20240630'!F292,""ko"",""en"")"),"51.57")</f>
        <v>51.57</v>
      </c>
      <c r="G292" s="1" t="str">
        <f ca="1">IFERROR(__xludf.DUMMYFUNCTION("GOOGLETRANSLATE('대전도시공사_청년임대주택 현황_20240630'!G292,""ko"",""en"")"),"8.374")</f>
        <v>8.374</v>
      </c>
      <c r="H292" s="1" t="str">
        <f ca="1">IFERROR(__xludf.DUMMYFUNCTION("GOOGLETRANSLATE('대전도시공사_청년임대주택 현황_20240630'!H292,""ko"",""en"")"),"Youth Rent 1st Place")</f>
        <v>Youth Rent 1st Place</v>
      </c>
      <c r="I292" s="1" t="str">
        <f ca="1">IFERROR(__xludf.DUMMYFUNCTION("GOOGLETRANSLATE('대전도시공사_청년임대주택 현황_20240630'!I292,""ko"",""en"")"),"1000000")</f>
        <v>1000000</v>
      </c>
      <c r="J292" s="1" t="str">
        <f ca="1">IFERROR(__xludf.DUMMYFUNCTION("GOOGLETRANSLATE('대전도시공사_청년임대주택 현황_20240630'!J292,""ko"",""en"")"),"96500")</f>
        <v>96500</v>
      </c>
    </row>
    <row r="293" spans="1:10" ht="12.5" x14ac:dyDescent="0.25">
      <c r="A293" s="1" t="str">
        <f ca="1">IFERROR(__xludf.DUMMYFUNCTION("GOOGLETRANSLATE('대전도시공사_청년임대주택 현황_20240630'!A293,""ko"",""en"")"),"Tanbang-dong 1480-14 (Driumville, youth rental)")</f>
        <v>Tanbang-dong 1480-14 (Driumville, youth rental)</v>
      </c>
      <c r="B293" s="1" t="str">
        <f ca="1">IFERROR(__xludf.DUMMYFUNCTION("GOOGLETRANSLATE('대전도시공사_청년임대주택 현황_20240630'!B293,""ko"",""en"")"),"24")</f>
        <v>24</v>
      </c>
      <c r="C293" s="1" t="str">
        <f ca="1">IFERROR(__xludf.DUMMYFUNCTION("GOOGLETRANSLATE('대전도시공사_청년임대주택 현황_20240630'!C293,""ko"",""en"")"),"1")</f>
        <v>1</v>
      </c>
      <c r="D293" s="1" t="str">
        <f ca="1">IFERROR(__xludf.DUMMYFUNCTION("GOOGLETRANSLATE('대전도시공사_청년임대주택 현황_20240630'!D293,""ko"",""en"")"),"302")</f>
        <v>302</v>
      </c>
      <c r="E293" s="1" t="str">
        <f ca="1">IFERROR(__xludf.DUMMYFUNCTION("GOOGLETRANSLATE('대전도시공사_청년임대주택 현황_20240630'!E293,""ko"",""en"")"),"59.944")</f>
        <v>59.944</v>
      </c>
      <c r="F293" s="1" t="str">
        <f ca="1">IFERROR(__xludf.DUMMYFUNCTION("GOOGLETRANSLATE('대전도시공사_청년임대주택 현황_20240630'!F293,""ko"",""en"")"),"51.57")</f>
        <v>51.57</v>
      </c>
      <c r="G293" s="1" t="str">
        <f ca="1">IFERROR(__xludf.DUMMYFUNCTION("GOOGLETRANSLATE('대전도시공사_청년임대주택 현황_20240630'!G293,""ko"",""en"")"),"8.374")</f>
        <v>8.374</v>
      </c>
      <c r="H293" s="1" t="str">
        <f ca="1">IFERROR(__xludf.DUMMYFUNCTION("GOOGLETRANSLATE('대전도시공사_청년임대주택 현황_20240630'!H293,""ko"",""en"")"),"Youth Rental 2nd Place")</f>
        <v>Youth Rental 2nd Place</v>
      </c>
      <c r="I293" s="1" t="str">
        <f ca="1">IFERROR(__xludf.DUMMYFUNCTION("GOOGLETRANSLATE('대전도시공사_청년임대주택 현황_20240630'!I293,""ko"",""en"")"),"2000000")</f>
        <v>2000000</v>
      </c>
      <c r="J293" s="1" t="str">
        <f ca="1">IFERROR(__xludf.DUMMYFUNCTION("GOOGLETRANSLATE('대전도시공사_청년임대주택 현황_20240630'!J293,""ko"",""en"")"),"115800")</f>
        <v>115800</v>
      </c>
    </row>
    <row r="294" spans="1:10" ht="12.5" x14ac:dyDescent="0.25">
      <c r="A294" s="1" t="str">
        <f ca="1">IFERROR(__xludf.DUMMYFUNCTION("GOOGLETRANSLATE('대전도시공사_청년임대주택 현황_20240630'!A294,""ko"",""en"")"),"Tanbang-dong 1480-14 (Driumville, youth rental)")</f>
        <v>Tanbang-dong 1480-14 (Driumville, youth rental)</v>
      </c>
      <c r="B294" s="1" t="str">
        <f ca="1">IFERROR(__xludf.DUMMYFUNCTION("GOOGLETRANSLATE('대전도시공사_청년임대주택 현황_20240630'!B294,""ko"",""en"")"),"25")</f>
        <v>25</v>
      </c>
      <c r="C294" s="1" t="str">
        <f ca="1">IFERROR(__xludf.DUMMYFUNCTION("GOOGLETRANSLATE('대전도시공사_청년임대주택 현황_20240630'!C294,""ko"",""en"")"),"1")</f>
        <v>1</v>
      </c>
      <c r="D294" s="1" t="str">
        <f ca="1">IFERROR(__xludf.DUMMYFUNCTION("GOOGLETRANSLATE('대전도시공사_청년임대주택 현황_20240630'!D294,""ko"",""en"")"),"302")</f>
        <v>302</v>
      </c>
      <c r="E294" s="1" t="str">
        <f ca="1">IFERROR(__xludf.DUMMYFUNCTION("GOOGLETRANSLATE('대전도시공사_청년임대주택 현황_20240630'!E294,""ko"",""en"")"),"59.944")</f>
        <v>59.944</v>
      </c>
      <c r="F294" s="1" t="str">
        <f ca="1">IFERROR(__xludf.DUMMYFUNCTION("GOOGLETRANSLATE('대전도시공사_청년임대주택 현황_20240630'!F294,""ko"",""en"")"),"51.57")</f>
        <v>51.57</v>
      </c>
      <c r="G294" s="1" t="str">
        <f ca="1">IFERROR(__xludf.DUMMYFUNCTION("GOOGLETRANSLATE('대전도시공사_청년임대주택 현황_20240630'!G294,""ko"",""en"")"),"8.374")</f>
        <v>8.374</v>
      </c>
      <c r="H294" s="1" t="str">
        <f ca="1">IFERROR(__xludf.DUMMYFUNCTION("GOOGLETRANSLATE('대전도시공사_청년임대주택 현황_20240630'!H294,""ko"",""en"")"),"3rd place for youth rental")</f>
        <v>3rd place for youth rental</v>
      </c>
      <c r="I294" s="1" t="str">
        <f ca="1">IFERROR(__xludf.DUMMYFUNCTION("GOOGLETRANSLATE('대전도시공사_청년임대주택 현황_20240630'!I294,""ko"",""en"")"),"2000000")</f>
        <v>2000000</v>
      </c>
      <c r="J294" s="1" t="str">
        <f ca="1">IFERROR(__xludf.DUMMYFUNCTION("GOOGLETRANSLATE('대전도시공사_청년임대주택 현황_20240630'!J294,""ko"",""en"")"),"115800")</f>
        <v>115800</v>
      </c>
    </row>
    <row r="295" spans="1:10" ht="12.5" x14ac:dyDescent="0.25">
      <c r="A295" s="1" t="str">
        <f ca="1">IFERROR(__xludf.DUMMYFUNCTION("GOOGLETRANSLATE('대전도시공사_청년임대주택 현황_20240630'!A295,""ko"",""en"")"),"Tanbang-dong 1480-14 (Driumville, youth rental)")</f>
        <v>Tanbang-dong 1480-14 (Driumville, youth rental)</v>
      </c>
      <c r="B295" s="1" t="str">
        <f ca="1">IFERROR(__xludf.DUMMYFUNCTION("GOOGLETRANSLATE('대전도시공사_청년임대주택 현황_20240630'!B295,""ko"",""en"")"),"26")</f>
        <v>26</v>
      </c>
      <c r="C295" s="1" t="str">
        <f ca="1">IFERROR(__xludf.DUMMYFUNCTION("GOOGLETRANSLATE('대전도시공사_청년임대주택 현황_20240630'!C295,""ko"",""en"")"),"1")</f>
        <v>1</v>
      </c>
      <c r="D295" s="1" t="str">
        <f ca="1">IFERROR(__xludf.DUMMYFUNCTION("GOOGLETRANSLATE('대전도시공사_청년임대주택 현황_20240630'!D295,""ko"",""en"")"),"302")</f>
        <v>302</v>
      </c>
      <c r="E295" s="1" t="str">
        <f ca="1">IFERROR(__xludf.DUMMYFUNCTION("GOOGLETRANSLATE('대전도시공사_청년임대주택 현황_20240630'!E295,""ko"",""en"")"),"59.944")</f>
        <v>59.944</v>
      </c>
      <c r="F295" s="1" t="str">
        <f ca="1">IFERROR(__xludf.DUMMYFUNCTION("GOOGLETRANSLATE('대전도시공사_청년임대주택 현황_20240630'!F295,""ko"",""en"")"),"51.57")</f>
        <v>51.57</v>
      </c>
      <c r="G295" s="1" t="str">
        <f ca="1">IFERROR(__xludf.DUMMYFUNCTION("GOOGLETRANSLATE('대전도시공사_청년임대주택 현황_20240630'!G295,""ko"",""en"")"),"8.374")</f>
        <v>8.374</v>
      </c>
      <c r="H295" s="1" t="str">
        <f ca="1">IFERROR(__xludf.DUMMYFUNCTION("GOOGLETRANSLATE('대전도시공사_청년임대주택 현황_20240630'!H295,""ko"",""en"")"),"Newlyweds 1 (30% of the total price)")</f>
        <v>Newlyweds 1 (30% of the total price)</v>
      </c>
      <c r="I295" s="1" t="str">
        <f ca="1">IFERROR(__xludf.DUMMYFUNCTION("GOOGLETRANSLATE('대전도시공사_청년임대주택 현황_20240630'!I295,""ko"",""en"")"),"8377000")</f>
        <v>8377000</v>
      </c>
      <c r="J295" s="1" t="str">
        <f ca="1">IFERROR(__xludf.DUMMYFUNCTION("GOOGLETRANSLATE('대전도시공사_청년임대주택 현황_20240630'!J295,""ko"",""en"")"),"101600")</f>
        <v>101600</v>
      </c>
    </row>
    <row r="296" spans="1:10" ht="12.5" x14ac:dyDescent="0.25">
      <c r="A296" s="1" t="str">
        <f ca="1">IFERROR(__xludf.DUMMYFUNCTION("GOOGLETRANSLATE('대전도시공사_청년임대주택 현황_20240630'!A296,""ko"",""en"")"),"Tanbang-dong 1480-14 (Driumville, youth rental)")</f>
        <v>Tanbang-dong 1480-14 (Driumville, youth rental)</v>
      </c>
      <c r="B296" s="1" t="str">
        <f ca="1">IFERROR(__xludf.DUMMYFUNCTION("GOOGLETRANSLATE('대전도시공사_청년임대주택 현황_20240630'!B296,""ko"",""en"")"),"27")</f>
        <v>27</v>
      </c>
      <c r="C296" s="1" t="str">
        <f ca="1">IFERROR(__xludf.DUMMYFUNCTION("GOOGLETRANSLATE('대전도시공사_청년임대주택 현황_20240630'!C296,""ko"",""en"")"),"1")</f>
        <v>1</v>
      </c>
      <c r="D296" s="1" t="str">
        <f ca="1">IFERROR(__xludf.DUMMYFUNCTION("GOOGLETRANSLATE('대전도시공사_청년임대주택 현황_20240630'!D296,""ko"",""en"")"),"302")</f>
        <v>302</v>
      </c>
      <c r="E296" s="1" t="str">
        <f ca="1">IFERROR(__xludf.DUMMYFUNCTION("GOOGLETRANSLATE('대전도시공사_청년임대주택 현황_20240630'!E296,""ko"",""en"")"),"59.944")</f>
        <v>59.944</v>
      </c>
      <c r="F296" s="1" t="str">
        <f ca="1">IFERROR(__xludf.DUMMYFUNCTION("GOOGLETRANSLATE('대전도시공사_청년임대주택 현황_20240630'!F296,""ko"",""en"")"),"51.57")</f>
        <v>51.57</v>
      </c>
      <c r="G296" s="1" t="str">
        <f ca="1">IFERROR(__xludf.DUMMYFUNCTION("GOOGLETRANSLATE('대전도시공사_청년임대주택 현황_20240630'!G296,""ko"",""en"")"),"8.374")</f>
        <v>8.374</v>
      </c>
      <c r="H296" s="1" t="str">
        <f ca="1">IFERROR(__xludf.DUMMYFUNCTION("GOOGLETRANSLATE('대전도시공사_청년임대주택 현황_20240630'!H296,""ko"",""en"")"),"Newlyweds 1 (40% of the total price)")</f>
        <v>Newlyweds 1 (40% of the total price)</v>
      </c>
      <c r="I296" s="1" t="str">
        <f ca="1">IFERROR(__xludf.DUMMYFUNCTION("GOOGLETRANSLATE('대전도시공사_청년임대주택 현황_20240630'!I296,""ko"",""en"")"),"8377000")</f>
        <v>8377000</v>
      </c>
      <c r="J296" s="1" t="str">
        <f ca="1">IFERROR(__xludf.DUMMYFUNCTION("GOOGLETRANSLATE('대전도시공사_청년임대주택 현황_20240630'!J296,""ko"",""en"")"),"152400")</f>
        <v>152400</v>
      </c>
    </row>
    <row r="297" spans="1:10" ht="12.5" x14ac:dyDescent="0.25">
      <c r="A297" s="1" t="str">
        <f ca="1">IFERROR(__xludf.DUMMYFUNCTION("GOOGLETRANSLATE('대전도시공사_청년임대주택 현황_20240630'!A297,""ko"",""en"")"),"Tanbang-dong 1480-14 (Driumville, youth rental)")</f>
        <v>Tanbang-dong 1480-14 (Driumville, youth rental)</v>
      </c>
      <c r="B297" s="1" t="str">
        <f ca="1">IFERROR(__xludf.DUMMYFUNCTION("GOOGLETRANSLATE('대전도시공사_청년임대주택 현황_20240630'!B297,""ko"",""en"")"),"28")</f>
        <v>28</v>
      </c>
      <c r="C297" s="1" t="str">
        <f ca="1">IFERROR(__xludf.DUMMYFUNCTION("GOOGLETRANSLATE('대전도시공사_청년임대주택 현황_20240630'!C297,""ko"",""en"")"),"1")</f>
        <v>1</v>
      </c>
      <c r="D297" s="1" t="str">
        <f ca="1">IFERROR(__xludf.DUMMYFUNCTION("GOOGLETRANSLATE('대전도시공사_청년임대주택 현황_20240630'!D297,""ko"",""en"")"),"302")</f>
        <v>302</v>
      </c>
      <c r="E297" s="1" t="str">
        <f ca="1">IFERROR(__xludf.DUMMYFUNCTION("GOOGLETRANSLATE('대전도시공사_청년임대주택 현황_20240630'!E297,""ko"",""en"")"),"59.944")</f>
        <v>59.944</v>
      </c>
      <c r="F297" s="1" t="str">
        <f ca="1">IFERROR(__xludf.DUMMYFUNCTION("GOOGLETRANSLATE('대전도시공사_청년임대주택 현황_20240630'!F297,""ko"",""en"")"),"51.57")</f>
        <v>51.57</v>
      </c>
      <c r="G297" s="1" t="str">
        <f ca="1">IFERROR(__xludf.DUMMYFUNCTION("GOOGLETRANSLATE('대전도시공사_청년임대주택 현황_20240630'!G297,""ko"",""en"")"),"8.374")</f>
        <v>8.374</v>
      </c>
      <c r="H297" s="1" t="str">
        <f ca="1">IFERROR(__xludf.DUMMYFUNCTION("GOOGLETRANSLATE('대전도시공사_청년임대주택 현황_20240630'!H297,""ko"",""en"")"),"Newlyweds 2 (70% of the total price)")</f>
        <v>Newlyweds 2 (70% of the total price)</v>
      </c>
      <c r="I297" s="1" t="str">
        <f ca="1">IFERROR(__xludf.DUMMYFUNCTION("GOOGLETRANSLATE('대전도시공사_청년임대주택 현황_20240630'!I297,""ko"",""en"")"),"8377000")</f>
        <v>8377000</v>
      </c>
      <c r="J297" s="1" t="str">
        <f ca="1">IFERROR(__xludf.DUMMYFUNCTION("GOOGLETRANSLATE('대전도시공사_청년임대주택 현황_20240630'!J297,""ko"",""en"")"),"304800")</f>
        <v>304800</v>
      </c>
    </row>
    <row r="298" spans="1:10" ht="12.5" x14ac:dyDescent="0.25">
      <c r="A298" s="1" t="str">
        <f ca="1">IFERROR(__xludf.DUMMYFUNCTION("GOOGLETRANSLATE('대전도시공사_청년임대주택 현황_20240630'!A298,""ko"",""en"")"),"Tanbang-dong 1480-14 (Driumville, youth rental)")</f>
        <v>Tanbang-dong 1480-14 (Driumville, youth rental)</v>
      </c>
      <c r="B298" s="1" t="str">
        <f ca="1">IFERROR(__xludf.DUMMYFUNCTION("GOOGLETRANSLATE('대전도시공사_청년임대주택 현황_20240630'!B298,""ko"",""en"")"),"29")</f>
        <v>29</v>
      </c>
      <c r="C298" s="1" t="str">
        <f ca="1">IFERROR(__xludf.DUMMYFUNCTION("GOOGLETRANSLATE('대전도시공사_청년임대주택 현황_20240630'!C298,""ko"",""en"")"),"1")</f>
        <v>1</v>
      </c>
      <c r="D298" s="1" t="str">
        <f ca="1">IFERROR(__xludf.DUMMYFUNCTION("GOOGLETRANSLATE('대전도시공사_청년임대주택 현황_20240630'!D298,""ko"",""en"")"),"302")</f>
        <v>302</v>
      </c>
      <c r="E298" s="1" t="str">
        <f ca="1">IFERROR(__xludf.DUMMYFUNCTION("GOOGLETRANSLATE('대전도시공사_청년임대주택 현황_20240630'!E298,""ko"",""en"")"),"59.944")</f>
        <v>59.944</v>
      </c>
      <c r="F298" s="1" t="str">
        <f ca="1">IFERROR(__xludf.DUMMYFUNCTION("GOOGLETRANSLATE('대전도시공사_청년임대주택 현황_20240630'!F298,""ko"",""en"")"),"51.57")</f>
        <v>51.57</v>
      </c>
      <c r="G298" s="1" t="str">
        <f ca="1">IFERROR(__xludf.DUMMYFUNCTION("GOOGLETRANSLATE('대전도시공사_청년임대주택 현황_20240630'!G298,""ko"",""en"")"),"8.374")</f>
        <v>8.374</v>
      </c>
      <c r="H298" s="1" t="str">
        <f ca="1">IFERROR(__xludf.DUMMYFUNCTION("GOOGLETRANSLATE('대전도시공사_청년임대주택 현황_20240630'!H298,""ko"",""en"")"),"Newlyweds 2 (80% of the total price)")</f>
        <v>Newlyweds 2 (80% of the total price)</v>
      </c>
      <c r="I298" s="1" t="str">
        <f ca="1">IFERROR(__xludf.DUMMYFUNCTION("GOOGLETRANSLATE('대전도시공사_청년임대주택 현황_20240630'!I298,""ko"",""en"")"),"8377000")</f>
        <v>8377000</v>
      </c>
      <c r="J298" s="1" t="str">
        <f ca="1">IFERROR(__xludf.DUMMYFUNCTION("GOOGLETRANSLATE('대전도시공사_청년임대주택 현황_20240630'!J298,""ko"",""en"")"),"355600")</f>
        <v>355600</v>
      </c>
    </row>
    <row r="299" spans="1:10" ht="12.5" x14ac:dyDescent="0.25">
      <c r="A299" s="1" t="str">
        <f ca="1">IFERROR(__xludf.DUMMYFUNCTION("GOOGLETRANSLATE('대전도시공사_청년임대주택 현황_20240630'!A299,""ko"",""en"")"),"Tanbang-dong 1480-14 (Driumville, youth rental)")</f>
        <v>Tanbang-dong 1480-14 (Driumville, youth rental)</v>
      </c>
      <c r="B299" s="1" t="str">
        <f ca="1">IFERROR(__xludf.DUMMYFUNCTION("GOOGLETRANSLATE('대전도시공사_청년임대주택 현황_20240630'!B299,""ko"",""en"")"),"30")</f>
        <v>30</v>
      </c>
      <c r="C299" s="1" t="str">
        <f ca="1">IFERROR(__xludf.DUMMYFUNCTION("GOOGLETRANSLATE('대전도시공사_청년임대주택 현황_20240630'!C299,""ko"",""en"")"),"1")</f>
        <v>1</v>
      </c>
      <c r="D299" s="1" t="str">
        <f ca="1">IFERROR(__xludf.DUMMYFUNCTION("GOOGLETRANSLATE('대전도시공사_청년임대주택 현황_20240630'!D299,""ko"",""en"")"),"303")</f>
        <v>303</v>
      </c>
      <c r="E299" s="1" t="str">
        <f ca="1">IFERROR(__xludf.DUMMYFUNCTION("GOOGLETRANSLATE('대전도시공사_청년임대주택 현황_20240630'!E299,""ko"",""en"")"),"24.08")</f>
        <v>24.08</v>
      </c>
      <c r="F299" s="1" t="str">
        <f ca="1">IFERROR(__xludf.DUMMYFUNCTION("GOOGLETRANSLATE('대전도시공사_청년임대주택 현황_20240630'!F299,""ko"",""en"")"),"20.72")</f>
        <v>20.72</v>
      </c>
      <c r="G299" s="1" t="str">
        <f ca="1">IFERROR(__xludf.DUMMYFUNCTION("GOOGLETRANSLATE('대전도시공사_청년임대주택 현황_20240630'!G299,""ko"",""en"")"),"3.36")</f>
        <v>3.36</v>
      </c>
      <c r="H299" s="1" t="str">
        <f ca="1">IFERROR(__xludf.DUMMYFUNCTION("GOOGLETRANSLATE('대전도시공사_청년임대주택 현황_20240630'!H299,""ko"",""en"")"),"Youth Rent 1st Place")</f>
        <v>Youth Rent 1st Place</v>
      </c>
      <c r="I299" s="1" t="str">
        <f ca="1">IFERROR(__xludf.DUMMYFUNCTION("GOOGLETRANSLATE('대전도시공사_청년임대주택 현황_20240630'!I299,""ko"",""en"")"),"1000000")</f>
        <v>1000000</v>
      </c>
      <c r="J299" s="1" t="str">
        <f ca="1">IFERROR(__xludf.DUMMYFUNCTION("GOOGLETRANSLATE('대전도시공사_청년임대주택 현황_20240630'!J299,""ko"",""en"")"),"79000")</f>
        <v>79000</v>
      </c>
    </row>
    <row r="300" spans="1:10" ht="12.5" x14ac:dyDescent="0.25">
      <c r="A300" s="1" t="str">
        <f ca="1">IFERROR(__xludf.DUMMYFUNCTION("GOOGLETRANSLATE('대전도시공사_청년임대주택 현황_20240630'!A300,""ko"",""en"")"),"Tanbang-dong 1480-14 (Driumville, youth rental)")</f>
        <v>Tanbang-dong 1480-14 (Driumville, youth rental)</v>
      </c>
      <c r="B300" s="1" t="str">
        <f ca="1">IFERROR(__xludf.DUMMYFUNCTION("GOOGLETRANSLATE('대전도시공사_청년임대주택 현황_20240630'!B300,""ko"",""en"")"),"31")</f>
        <v>31</v>
      </c>
      <c r="C300" s="1" t="str">
        <f ca="1">IFERROR(__xludf.DUMMYFUNCTION("GOOGLETRANSLATE('대전도시공사_청년임대주택 현황_20240630'!C300,""ko"",""en"")"),"1")</f>
        <v>1</v>
      </c>
      <c r="D300" s="1" t="str">
        <f ca="1">IFERROR(__xludf.DUMMYFUNCTION("GOOGLETRANSLATE('대전도시공사_청년임대주택 현황_20240630'!D300,""ko"",""en"")"),"303")</f>
        <v>303</v>
      </c>
      <c r="E300" s="1" t="str">
        <f ca="1">IFERROR(__xludf.DUMMYFUNCTION("GOOGLETRANSLATE('대전도시공사_청년임대주택 현황_20240630'!E300,""ko"",""en"")"),"24.08")</f>
        <v>24.08</v>
      </c>
      <c r="F300" s="1" t="str">
        <f ca="1">IFERROR(__xludf.DUMMYFUNCTION("GOOGLETRANSLATE('대전도시공사_청년임대주택 현황_20240630'!F300,""ko"",""en"")"),"20.72")</f>
        <v>20.72</v>
      </c>
      <c r="G300" s="1" t="str">
        <f ca="1">IFERROR(__xludf.DUMMYFUNCTION("GOOGLETRANSLATE('대전도시공사_청년임대주택 현황_20240630'!G300,""ko"",""en"")"),"3.36")</f>
        <v>3.36</v>
      </c>
      <c r="H300" s="1" t="str">
        <f ca="1">IFERROR(__xludf.DUMMYFUNCTION("GOOGLETRANSLATE('대전도시공사_청년임대주택 현황_20240630'!H300,""ko"",""en"")"),"Youth Rental 2nd Place")</f>
        <v>Youth Rental 2nd Place</v>
      </c>
      <c r="I300" s="1" t="str">
        <f ca="1">IFERROR(__xludf.DUMMYFUNCTION("GOOGLETRANSLATE('대전도시공사_청년임대주택 현황_20240630'!I300,""ko"",""en"")"),"2000000")</f>
        <v>2000000</v>
      </c>
      <c r="J300" s="1" t="str">
        <f ca="1">IFERROR(__xludf.DUMMYFUNCTION("GOOGLETRANSLATE('대전도시공사_청년임대주택 현황_20240630'!J300,""ko"",""en"")"),"94100")</f>
        <v>94100</v>
      </c>
    </row>
    <row r="301" spans="1:10" ht="12.5" x14ac:dyDescent="0.25">
      <c r="A301" s="1" t="str">
        <f ca="1">IFERROR(__xludf.DUMMYFUNCTION("GOOGLETRANSLATE('대전도시공사_청년임대주택 현황_20240630'!A301,""ko"",""en"")"),"Tanbang-dong 1480-14 (Driumville, youth rental)")</f>
        <v>Tanbang-dong 1480-14 (Driumville, youth rental)</v>
      </c>
      <c r="B301" s="1" t="str">
        <f ca="1">IFERROR(__xludf.DUMMYFUNCTION("GOOGLETRANSLATE('대전도시공사_청년임대주택 현황_20240630'!B301,""ko"",""en"")"),"32")</f>
        <v>32</v>
      </c>
      <c r="C301" s="1" t="str">
        <f ca="1">IFERROR(__xludf.DUMMYFUNCTION("GOOGLETRANSLATE('대전도시공사_청년임대주택 현황_20240630'!C301,""ko"",""en"")"),"1")</f>
        <v>1</v>
      </c>
      <c r="D301" s="1" t="str">
        <f ca="1">IFERROR(__xludf.DUMMYFUNCTION("GOOGLETRANSLATE('대전도시공사_청년임대주택 현황_20240630'!D301,""ko"",""en"")"),"303")</f>
        <v>303</v>
      </c>
      <c r="E301" s="1" t="str">
        <f ca="1">IFERROR(__xludf.DUMMYFUNCTION("GOOGLETRANSLATE('대전도시공사_청년임대주택 현황_20240630'!E301,""ko"",""en"")"),"24.08")</f>
        <v>24.08</v>
      </c>
      <c r="F301" s="1" t="str">
        <f ca="1">IFERROR(__xludf.DUMMYFUNCTION("GOOGLETRANSLATE('대전도시공사_청년임대주택 현황_20240630'!F301,""ko"",""en"")"),"20.72")</f>
        <v>20.72</v>
      </c>
      <c r="G301" s="1" t="str">
        <f ca="1">IFERROR(__xludf.DUMMYFUNCTION("GOOGLETRANSLATE('대전도시공사_청년임대주택 현황_20240630'!G301,""ko"",""en"")"),"3.36")</f>
        <v>3.36</v>
      </c>
      <c r="H301" s="1" t="str">
        <f ca="1">IFERROR(__xludf.DUMMYFUNCTION("GOOGLETRANSLATE('대전도시공사_청년임대주택 현황_20240630'!H301,""ko"",""en"")"),"3rd place for youth rental")</f>
        <v>3rd place for youth rental</v>
      </c>
      <c r="I301" s="1" t="str">
        <f ca="1">IFERROR(__xludf.DUMMYFUNCTION("GOOGLETRANSLATE('대전도시공사_청년임대주택 현황_20240630'!I301,""ko"",""en"")"),"2000000")</f>
        <v>2000000</v>
      </c>
      <c r="J301" s="1" t="str">
        <f ca="1">IFERROR(__xludf.DUMMYFUNCTION("GOOGLETRANSLATE('대전도시공사_청년임대주택 현황_20240630'!J301,""ko"",""en"")"),"94100")</f>
        <v>94100</v>
      </c>
    </row>
    <row r="302" spans="1:10" ht="12.5" x14ac:dyDescent="0.25">
      <c r="A302" s="1" t="str">
        <f ca="1">IFERROR(__xludf.DUMMYFUNCTION("GOOGLETRANSLATE('대전도시공사_청년임대주택 현황_20240630'!A302,""ko"",""en"")"),"Tanbang-dong 1480-14 (Driumville, youth rental)")</f>
        <v>Tanbang-dong 1480-14 (Driumville, youth rental)</v>
      </c>
      <c r="B302" s="1" t="str">
        <f ca="1">IFERROR(__xludf.DUMMYFUNCTION("GOOGLETRANSLATE('대전도시공사_청년임대주택 현황_20240630'!B302,""ko"",""en"")"),"33")</f>
        <v>33</v>
      </c>
      <c r="C302" s="1" t="str">
        <f ca="1">IFERROR(__xludf.DUMMYFUNCTION("GOOGLETRANSLATE('대전도시공사_청년임대주택 현황_20240630'!C302,""ko"",""en"")"),"1")</f>
        <v>1</v>
      </c>
      <c r="D302" s="1" t="str">
        <f ca="1">IFERROR(__xludf.DUMMYFUNCTION("GOOGLETRANSLATE('대전도시공사_청년임대주택 현황_20240630'!D302,""ko"",""en"")"),"304")</f>
        <v>304</v>
      </c>
      <c r="E302" s="1" t="str">
        <f ca="1">IFERROR(__xludf.DUMMYFUNCTION("GOOGLETRANSLATE('대전도시공사_청년임대주택 현황_20240630'!E302,""ko"",""en"")"),"32.79")</f>
        <v>32.79</v>
      </c>
      <c r="F302" s="1" t="str">
        <f ca="1">IFERROR(__xludf.DUMMYFUNCTION("GOOGLETRANSLATE('대전도시공사_청년임대주택 현황_20240630'!F302,""ko"",""en"")"),"28.21")</f>
        <v>28.21</v>
      </c>
      <c r="G302" s="1" t="str">
        <f ca="1">IFERROR(__xludf.DUMMYFUNCTION("GOOGLETRANSLATE('대전도시공사_청년임대주택 현황_20240630'!G302,""ko"",""en"")"),"4.58")</f>
        <v>4.58</v>
      </c>
      <c r="H302" s="1" t="str">
        <f ca="1">IFERROR(__xludf.DUMMYFUNCTION("GOOGLETRANSLATE('대전도시공사_청년임대주택 현황_20240630'!H302,""ko"",""en"")"),"Youth Rent 1st Place")</f>
        <v>Youth Rent 1st Place</v>
      </c>
      <c r="I302" s="1" t="str">
        <f ca="1">IFERROR(__xludf.DUMMYFUNCTION("GOOGLETRANSLATE('대전도시공사_청년임대주택 현황_20240630'!I302,""ko"",""en"")"),"1000000")</f>
        <v>1000000</v>
      </c>
      <c r="J302" s="1" t="str">
        <f ca="1">IFERROR(__xludf.DUMMYFUNCTION("GOOGLETRANSLATE('대전도시공사_청년임대주택 현황_20240630'!J302,""ko"",""en"")"),"113200")</f>
        <v>113200</v>
      </c>
    </row>
    <row r="303" spans="1:10" ht="12.5" x14ac:dyDescent="0.25">
      <c r="A303" s="1" t="str">
        <f ca="1">IFERROR(__xludf.DUMMYFUNCTION("GOOGLETRANSLATE('대전도시공사_청년임대주택 현황_20240630'!A303,""ko"",""en"")"),"Tanbang-dong 1480-14 (Driumville, youth rental)")</f>
        <v>Tanbang-dong 1480-14 (Driumville, youth rental)</v>
      </c>
      <c r="B303" s="1" t="str">
        <f ca="1">IFERROR(__xludf.DUMMYFUNCTION("GOOGLETRANSLATE('대전도시공사_청년임대주택 현황_20240630'!B303,""ko"",""en"")"),"34")</f>
        <v>34</v>
      </c>
      <c r="C303" s="1" t="str">
        <f ca="1">IFERROR(__xludf.DUMMYFUNCTION("GOOGLETRANSLATE('대전도시공사_청년임대주택 현황_20240630'!C303,""ko"",""en"")"),"1")</f>
        <v>1</v>
      </c>
      <c r="D303" s="1" t="str">
        <f ca="1">IFERROR(__xludf.DUMMYFUNCTION("GOOGLETRANSLATE('대전도시공사_청년임대주택 현황_20240630'!D303,""ko"",""en"")"),"304")</f>
        <v>304</v>
      </c>
      <c r="E303" s="1" t="str">
        <f ca="1">IFERROR(__xludf.DUMMYFUNCTION("GOOGLETRANSLATE('대전도시공사_청년임대주택 현황_20240630'!E303,""ko"",""en"")"),"32.79")</f>
        <v>32.79</v>
      </c>
      <c r="F303" s="1" t="str">
        <f ca="1">IFERROR(__xludf.DUMMYFUNCTION("GOOGLETRANSLATE('대전도시공사_청년임대주택 현황_20240630'!F303,""ko"",""en"")"),"28.21")</f>
        <v>28.21</v>
      </c>
      <c r="G303" s="1" t="str">
        <f ca="1">IFERROR(__xludf.DUMMYFUNCTION("GOOGLETRANSLATE('대전도시공사_청년임대주택 현황_20240630'!G303,""ko"",""en"")"),"4.58")</f>
        <v>4.58</v>
      </c>
      <c r="H303" s="1" t="str">
        <f ca="1">IFERROR(__xludf.DUMMYFUNCTION("GOOGLETRANSLATE('대전도시공사_청년임대주택 현황_20240630'!H303,""ko"",""en"")"),"Youth Rental 2nd Place")</f>
        <v>Youth Rental 2nd Place</v>
      </c>
      <c r="I303" s="1" t="str">
        <f ca="1">IFERROR(__xludf.DUMMYFUNCTION("GOOGLETRANSLATE('대전도시공사_청년임대주택 현황_20240630'!I303,""ko"",""en"")"),"2000000")</f>
        <v>2000000</v>
      </c>
      <c r="J303" s="1" t="str">
        <f ca="1">IFERROR(__xludf.DUMMYFUNCTION("GOOGLETRANSLATE('대전도시공사_청년임대주택 현황_20240630'!J303,""ko"",""en"")"),"136700")</f>
        <v>136700</v>
      </c>
    </row>
    <row r="304" spans="1:10" ht="12.5" x14ac:dyDescent="0.25">
      <c r="A304" s="1" t="str">
        <f ca="1">IFERROR(__xludf.DUMMYFUNCTION("GOOGLETRANSLATE('대전도시공사_청년임대주택 현황_20240630'!A304,""ko"",""en"")"),"Tanbang-dong 1480-14 (Driumville, youth rental)")</f>
        <v>Tanbang-dong 1480-14 (Driumville, youth rental)</v>
      </c>
      <c r="B304" s="1" t="str">
        <f ca="1">IFERROR(__xludf.DUMMYFUNCTION("GOOGLETRANSLATE('대전도시공사_청년임대주택 현황_20240630'!B304,""ko"",""en"")"),"35")</f>
        <v>35</v>
      </c>
      <c r="C304" s="1" t="str">
        <f ca="1">IFERROR(__xludf.DUMMYFUNCTION("GOOGLETRANSLATE('대전도시공사_청년임대주택 현황_20240630'!C304,""ko"",""en"")"),"1")</f>
        <v>1</v>
      </c>
      <c r="D304" s="1" t="str">
        <f ca="1">IFERROR(__xludf.DUMMYFUNCTION("GOOGLETRANSLATE('대전도시공사_청년임대주택 현황_20240630'!D304,""ko"",""en"")"),"304")</f>
        <v>304</v>
      </c>
      <c r="E304" s="1" t="str">
        <f ca="1">IFERROR(__xludf.DUMMYFUNCTION("GOOGLETRANSLATE('대전도시공사_청년임대주택 현황_20240630'!E304,""ko"",""en"")"),"32.79")</f>
        <v>32.79</v>
      </c>
      <c r="F304" s="1" t="str">
        <f ca="1">IFERROR(__xludf.DUMMYFUNCTION("GOOGLETRANSLATE('대전도시공사_청년임대주택 현황_20240630'!F304,""ko"",""en"")"),"28.21")</f>
        <v>28.21</v>
      </c>
      <c r="G304" s="1" t="str">
        <f ca="1">IFERROR(__xludf.DUMMYFUNCTION("GOOGLETRANSLATE('대전도시공사_청년임대주택 현황_20240630'!G304,""ko"",""en"")"),"4.58")</f>
        <v>4.58</v>
      </c>
      <c r="H304" s="1" t="str">
        <f ca="1">IFERROR(__xludf.DUMMYFUNCTION("GOOGLETRANSLATE('대전도시공사_청년임대주택 현황_20240630'!H304,""ko"",""en"")"),"3rd place for youth rental")</f>
        <v>3rd place for youth rental</v>
      </c>
      <c r="I304" s="1" t="str">
        <f ca="1">IFERROR(__xludf.DUMMYFUNCTION("GOOGLETRANSLATE('대전도시공사_청년임대주택 현황_20240630'!I304,""ko"",""en"")"),"2000000")</f>
        <v>2000000</v>
      </c>
      <c r="J304" s="1" t="str">
        <f ca="1">IFERROR(__xludf.DUMMYFUNCTION("GOOGLETRANSLATE('대전도시공사_청년임대주택 현황_20240630'!J304,""ko"",""en"")"),"136700")</f>
        <v>136700</v>
      </c>
    </row>
    <row r="305" spans="1:10" ht="12.5" x14ac:dyDescent="0.25">
      <c r="A305" s="1" t="str">
        <f ca="1">IFERROR(__xludf.DUMMYFUNCTION("GOOGLETRANSLATE('대전도시공사_청년임대주택 현황_20240630'!A305,""ko"",""en"")"),"Tanbang-dong 1480-14 (Driumville, youth rental)")</f>
        <v>Tanbang-dong 1480-14 (Driumville, youth rental)</v>
      </c>
      <c r="B305" s="1" t="str">
        <f ca="1">IFERROR(__xludf.DUMMYFUNCTION("GOOGLETRANSLATE('대전도시공사_청년임대주택 현황_20240630'!B305,""ko"",""en"")"),"36")</f>
        <v>36</v>
      </c>
      <c r="C305" s="1" t="str">
        <f ca="1">IFERROR(__xludf.DUMMYFUNCTION("GOOGLETRANSLATE('대전도시공사_청년임대주택 현황_20240630'!C305,""ko"",""en"")"),"1")</f>
        <v>1</v>
      </c>
      <c r="D305" s="1" t="str">
        <f ca="1">IFERROR(__xludf.DUMMYFUNCTION("GOOGLETRANSLATE('대전도시공사_청년임대주택 현황_20240630'!D305,""ko"",""en"")"),"305")</f>
        <v>305</v>
      </c>
      <c r="E305" s="1" t="str">
        <f ca="1">IFERROR(__xludf.DUMMYFUNCTION("GOOGLETRANSLATE('대전도시공사_청년임대주택 현황_20240630'!E305,""ko"",""en"")"),"25.29")</f>
        <v>25.29</v>
      </c>
      <c r="F305" s="1" t="str">
        <f ca="1">IFERROR(__xludf.DUMMYFUNCTION("GOOGLETRANSLATE('대전도시공사_청년임대주택 현황_20240630'!F305,""ko"",""en"")"),"21.76")</f>
        <v>21.76</v>
      </c>
      <c r="G305" s="1" t="str">
        <f ca="1">IFERROR(__xludf.DUMMYFUNCTION("GOOGLETRANSLATE('대전도시공사_청년임대주택 현황_20240630'!G305,""ko"",""en"")"),"3.53")</f>
        <v>3.53</v>
      </c>
      <c r="H305" s="1" t="str">
        <f ca="1">IFERROR(__xludf.DUMMYFUNCTION("GOOGLETRANSLATE('대전도시공사_청년임대주택 현황_20240630'!H305,""ko"",""en"")"),"Youth Rent 1st Place")</f>
        <v>Youth Rent 1st Place</v>
      </c>
      <c r="I305" s="1" t="str">
        <f ca="1">IFERROR(__xludf.DUMMYFUNCTION("GOOGLETRANSLATE('대전도시공사_청년임대주택 현황_20240630'!I305,""ko"",""en"")"),"1000000")</f>
        <v>1000000</v>
      </c>
      <c r="J305" s="1" t="str">
        <f ca="1">IFERROR(__xludf.DUMMYFUNCTION("GOOGLETRANSLATE('대전도시공사_청년임대주택 현황_20240630'!J305,""ko"",""en"")"),"87700")</f>
        <v>87700</v>
      </c>
    </row>
    <row r="306" spans="1:10" ht="12.5" x14ac:dyDescent="0.25">
      <c r="A306" s="1" t="str">
        <f ca="1">IFERROR(__xludf.DUMMYFUNCTION("GOOGLETRANSLATE('대전도시공사_청년임대주택 현황_20240630'!A306,""ko"",""en"")"),"Tanbang-dong 1480-14 (Driumville, youth rental)")</f>
        <v>Tanbang-dong 1480-14 (Driumville, youth rental)</v>
      </c>
      <c r="B306" s="1" t="str">
        <f ca="1">IFERROR(__xludf.DUMMYFUNCTION("GOOGLETRANSLATE('대전도시공사_청년임대주택 현황_20240630'!B306,""ko"",""en"")"),"37")</f>
        <v>37</v>
      </c>
      <c r="C306" s="1" t="str">
        <f ca="1">IFERROR(__xludf.DUMMYFUNCTION("GOOGLETRANSLATE('대전도시공사_청년임대주택 현황_20240630'!C306,""ko"",""en"")"),"1")</f>
        <v>1</v>
      </c>
      <c r="D306" s="1" t="str">
        <f ca="1">IFERROR(__xludf.DUMMYFUNCTION("GOOGLETRANSLATE('대전도시공사_청년임대주택 현황_20240630'!D306,""ko"",""en"")"),"305")</f>
        <v>305</v>
      </c>
      <c r="E306" s="1" t="str">
        <f ca="1">IFERROR(__xludf.DUMMYFUNCTION("GOOGLETRANSLATE('대전도시공사_청년임대주택 현황_20240630'!E306,""ko"",""en"")"),"25.29")</f>
        <v>25.29</v>
      </c>
      <c r="F306" s="1" t="str">
        <f ca="1">IFERROR(__xludf.DUMMYFUNCTION("GOOGLETRANSLATE('대전도시공사_청년임대주택 현황_20240630'!F306,""ko"",""en"")"),"21.76")</f>
        <v>21.76</v>
      </c>
      <c r="G306" s="1" t="str">
        <f ca="1">IFERROR(__xludf.DUMMYFUNCTION("GOOGLETRANSLATE('대전도시공사_청년임대주택 현황_20240630'!G306,""ko"",""en"")"),"3.53")</f>
        <v>3.53</v>
      </c>
      <c r="H306" s="1" t="str">
        <f ca="1">IFERROR(__xludf.DUMMYFUNCTION("GOOGLETRANSLATE('대전도시공사_청년임대주택 현황_20240630'!H306,""ko"",""en"")"),"Youth Rental 2nd Place")</f>
        <v>Youth Rental 2nd Place</v>
      </c>
      <c r="I306" s="1" t="str">
        <f ca="1">IFERROR(__xludf.DUMMYFUNCTION("GOOGLETRANSLATE('대전도시공사_청년임대주택 현황_20240630'!I306,""ko"",""en"")"),"2000000")</f>
        <v>2000000</v>
      </c>
      <c r="J306" s="1" t="str">
        <f ca="1">IFERROR(__xludf.DUMMYFUNCTION("GOOGLETRANSLATE('대전도시공사_청년임대주택 현황_20240630'!J306,""ko"",""en"")"),"104900")</f>
        <v>104900</v>
      </c>
    </row>
    <row r="307" spans="1:10" ht="12.5" x14ac:dyDescent="0.25">
      <c r="A307" s="1" t="str">
        <f ca="1">IFERROR(__xludf.DUMMYFUNCTION("GOOGLETRANSLATE('대전도시공사_청년임대주택 현황_20240630'!A307,""ko"",""en"")"),"Tanbang-dong 1480-14 (Driumville, youth rental)")</f>
        <v>Tanbang-dong 1480-14 (Driumville, youth rental)</v>
      </c>
      <c r="B307" s="1" t="str">
        <f ca="1">IFERROR(__xludf.DUMMYFUNCTION("GOOGLETRANSLATE('대전도시공사_청년임대주택 현황_20240630'!B307,""ko"",""en"")"),"38")</f>
        <v>38</v>
      </c>
      <c r="C307" s="1" t="str">
        <f ca="1">IFERROR(__xludf.DUMMYFUNCTION("GOOGLETRANSLATE('대전도시공사_청년임대주택 현황_20240630'!C307,""ko"",""en"")"),"1")</f>
        <v>1</v>
      </c>
      <c r="D307" s="1" t="str">
        <f ca="1">IFERROR(__xludf.DUMMYFUNCTION("GOOGLETRANSLATE('대전도시공사_청년임대주택 현황_20240630'!D307,""ko"",""en"")"),"305")</f>
        <v>305</v>
      </c>
      <c r="E307" s="1" t="str">
        <f ca="1">IFERROR(__xludf.DUMMYFUNCTION("GOOGLETRANSLATE('대전도시공사_청년임대주택 현황_20240630'!E307,""ko"",""en"")"),"25.29")</f>
        <v>25.29</v>
      </c>
      <c r="F307" s="1" t="str">
        <f ca="1">IFERROR(__xludf.DUMMYFUNCTION("GOOGLETRANSLATE('대전도시공사_청년임대주택 현황_20240630'!F307,""ko"",""en"")"),"21.76")</f>
        <v>21.76</v>
      </c>
      <c r="G307" s="1" t="str">
        <f ca="1">IFERROR(__xludf.DUMMYFUNCTION("GOOGLETRANSLATE('대전도시공사_청년임대주택 현황_20240630'!G307,""ko"",""en"")"),"3.53")</f>
        <v>3.53</v>
      </c>
      <c r="H307" s="1" t="str">
        <f ca="1">IFERROR(__xludf.DUMMYFUNCTION("GOOGLETRANSLATE('대전도시공사_청년임대주택 현황_20240630'!H307,""ko"",""en"")"),"3rd place for youth rental")</f>
        <v>3rd place for youth rental</v>
      </c>
      <c r="I307" s="1" t="str">
        <f ca="1">IFERROR(__xludf.DUMMYFUNCTION("GOOGLETRANSLATE('대전도시공사_청년임대주택 현황_20240630'!I307,""ko"",""en"")"),"2000000")</f>
        <v>2000000</v>
      </c>
      <c r="J307" s="1" t="str">
        <f ca="1">IFERROR(__xludf.DUMMYFUNCTION("GOOGLETRANSLATE('대전도시공사_청년임대주택 현황_20240630'!J307,""ko"",""en"")"),"104900")</f>
        <v>104900</v>
      </c>
    </row>
    <row r="308" spans="1:10" ht="12.5" x14ac:dyDescent="0.25">
      <c r="A308" s="1" t="str">
        <f ca="1">IFERROR(__xludf.DUMMYFUNCTION("GOOGLETRANSLATE('대전도시공사_청년임대주택 현황_20240630'!A308,""ko"",""en"")"),"Tanbang-dong 1480-14 (Driumville, youth rental)")</f>
        <v>Tanbang-dong 1480-14 (Driumville, youth rental)</v>
      </c>
      <c r="B308" s="1" t="str">
        <f ca="1">IFERROR(__xludf.DUMMYFUNCTION("GOOGLETRANSLATE('대전도시공사_청년임대주택 현황_20240630'!B308,""ko"",""en"")"),"39")</f>
        <v>39</v>
      </c>
      <c r="C308" s="1" t="str">
        <f ca="1">IFERROR(__xludf.DUMMYFUNCTION("GOOGLETRANSLATE('대전도시공사_청년임대주택 현황_20240630'!C308,""ko"",""en"")"),"1")</f>
        <v>1</v>
      </c>
      <c r="D308" s="1" t="str">
        <f ca="1">IFERROR(__xludf.DUMMYFUNCTION("GOOGLETRANSLATE('대전도시공사_청년임대주택 현황_20240630'!D308,""ko"",""en"")"),"401")</f>
        <v>401</v>
      </c>
      <c r="E308" s="1" t="str">
        <f ca="1">IFERROR(__xludf.DUMMYFUNCTION("GOOGLETRANSLATE('대전도시공사_청년임대주택 현황_20240630'!E308,""ko"",""en"")"),"118.377")</f>
        <v>118.377</v>
      </c>
      <c r="F308" s="1" t="str">
        <f ca="1">IFERROR(__xludf.DUMMYFUNCTION("GOOGLETRANSLATE('대전도시공사_청년임대주택 현황_20240630'!F308,""ko"",""en"")"),"101.84")</f>
        <v>101.84</v>
      </c>
      <c r="G308" s="1" t="str">
        <f ca="1">IFERROR(__xludf.DUMMYFUNCTION("GOOGLETRANSLATE('대전도시공사_청년임대주택 현황_20240630'!G308,""ko"",""en"")"),"16.537")</f>
        <v>16.537</v>
      </c>
      <c r="H308" s="1" t="str">
        <f ca="1">IFERROR(__xludf.DUMMYFUNCTION("GOOGLETRANSLATE('대전도시공사_청년임대주택 현황_20240630'!H308,""ko"",""en"")"),"Youth Rent 1st Place")</f>
        <v>Youth Rent 1st Place</v>
      </c>
      <c r="I308" s="1" t="str">
        <f ca="1">IFERROR(__xludf.DUMMYFUNCTION("GOOGLETRANSLATE('대전도시공사_청년임대주택 현황_20240630'!I308,""ko"",""en"")"),"1000000")</f>
        <v>1000000</v>
      </c>
      <c r="J308" s="1" t="str">
        <f ca="1">IFERROR(__xludf.DUMMYFUNCTION("GOOGLETRANSLATE('대전도시공사_청년임대주택 현황_20240630'!J308,""ko"",""en"")"),"133600")</f>
        <v>133600</v>
      </c>
    </row>
    <row r="309" spans="1:10" ht="12.5" x14ac:dyDescent="0.25">
      <c r="A309" s="1" t="str">
        <f ca="1">IFERROR(__xludf.DUMMYFUNCTION("GOOGLETRANSLATE('대전도시공사_청년임대주택 현황_20240630'!A309,""ko"",""en"")"),"Tanbang-dong 1480-14 (Driumville, youth rental)")</f>
        <v>Tanbang-dong 1480-14 (Driumville, youth rental)</v>
      </c>
      <c r="B309" s="1" t="str">
        <f ca="1">IFERROR(__xludf.DUMMYFUNCTION("GOOGLETRANSLATE('대전도시공사_청년임대주택 현황_20240630'!B309,""ko"",""en"")"),"40")</f>
        <v>40</v>
      </c>
      <c r="C309" s="1" t="str">
        <f ca="1">IFERROR(__xludf.DUMMYFUNCTION("GOOGLETRANSLATE('대전도시공사_청년임대주택 현황_20240630'!C309,""ko"",""en"")"),"1")</f>
        <v>1</v>
      </c>
      <c r="D309" s="1" t="str">
        <f ca="1">IFERROR(__xludf.DUMMYFUNCTION("GOOGLETRANSLATE('대전도시공사_청년임대주택 현황_20240630'!D309,""ko"",""en"")"),"401")</f>
        <v>401</v>
      </c>
      <c r="E309" s="1" t="str">
        <f ca="1">IFERROR(__xludf.DUMMYFUNCTION("GOOGLETRANSLATE('대전도시공사_청년임대주택 현황_20240630'!E309,""ko"",""en"")"),"118.377")</f>
        <v>118.377</v>
      </c>
      <c r="F309" s="1" t="str">
        <f ca="1">IFERROR(__xludf.DUMMYFUNCTION("GOOGLETRANSLATE('대전도시공사_청년임대주택 현황_20240630'!F309,""ko"",""en"")"),"101.84")</f>
        <v>101.84</v>
      </c>
      <c r="G309" s="1" t="str">
        <f ca="1">IFERROR(__xludf.DUMMYFUNCTION("GOOGLETRANSLATE('대전도시공사_청년임대주택 현황_20240630'!G309,""ko"",""en"")"),"16.537")</f>
        <v>16.537</v>
      </c>
      <c r="H309" s="1" t="str">
        <f ca="1">IFERROR(__xludf.DUMMYFUNCTION("GOOGLETRANSLATE('대전도시공사_청년임대주택 현황_20240630'!H309,""ko"",""en"")"),"Youth Rental 2nd Place")</f>
        <v>Youth Rental 2nd Place</v>
      </c>
      <c r="I309" s="1" t="str">
        <f ca="1">IFERROR(__xludf.DUMMYFUNCTION("GOOGLETRANSLATE('대전도시공사_청년임대주택 현황_20240630'!I309,""ko"",""en"")"),"2000000")</f>
        <v>2000000</v>
      </c>
      <c r="J309" s="1" t="str">
        <f ca="1">IFERROR(__xludf.DUMMYFUNCTION("GOOGLETRANSLATE('대전도시공사_청년임대주택 현황_20240630'!J309,""ko"",""en"")"),"162100")</f>
        <v>162100</v>
      </c>
    </row>
    <row r="310" spans="1:10" ht="12.5" x14ac:dyDescent="0.25">
      <c r="A310" s="1" t="str">
        <f ca="1">IFERROR(__xludf.DUMMYFUNCTION("GOOGLETRANSLATE('대전도시공사_청년임대주택 현황_20240630'!A310,""ko"",""en"")"),"Tanbang-dong 1480-14 (Driumville, youth rental)")</f>
        <v>Tanbang-dong 1480-14 (Driumville, youth rental)</v>
      </c>
      <c r="B310" s="1" t="str">
        <f ca="1">IFERROR(__xludf.DUMMYFUNCTION("GOOGLETRANSLATE('대전도시공사_청년임대주택 현황_20240630'!B310,""ko"",""en"")"),"41")</f>
        <v>41</v>
      </c>
      <c r="C310" s="1" t="str">
        <f ca="1">IFERROR(__xludf.DUMMYFUNCTION("GOOGLETRANSLATE('대전도시공사_청년임대주택 현황_20240630'!C310,""ko"",""en"")"),"1")</f>
        <v>1</v>
      </c>
      <c r="D310" s="1" t="str">
        <f ca="1">IFERROR(__xludf.DUMMYFUNCTION("GOOGLETRANSLATE('대전도시공사_청년임대주택 현황_20240630'!D310,""ko"",""en"")"),"401")</f>
        <v>401</v>
      </c>
      <c r="E310" s="1" t="str">
        <f ca="1">IFERROR(__xludf.DUMMYFUNCTION("GOOGLETRANSLATE('대전도시공사_청년임대주택 현황_20240630'!E310,""ko"",""en"")"),"118.377")</f>
        <v>118.377</v>
      </c>
      <c r="F310" s="1" t="str">
        <f ca="1">IFERROR(__xludf.DUMMYFUNCTION("GOOGLETRANSLATE('대전도시공사_청년임대주택 현황_20240630'!F310,""ko"",""en"")"),"101.84")</f>
        <v>101.84</v>
      </c>
      <c r="G310" s="1" t="str">
        <f ca="1">IFERROR(__xludf.DUMMYFUNCTION("GOOGLETRANSLATE('대전도시공사_청년임대주택 현황_20240630'!G310,""ko"",""en"")"),"16.537")</f>
        <v>16.537</v>
      </c>
      <c r="H310" s="1" t="str">
        <f ca="1">IFERROR(__xludf.DUMMYFUNCTION("GOOGLETRANSLATE('대전도시공사_청년임대주택 현황_20240630'!H310,""ko"",""en"")"),"3rd place for youth rental")</f>
        <v>3rd place for youth rental</v>
      </c>
      <c r="I310" s="1" t="str">
        <f ca="1">IFERROR(__xludf.DUMMYFUNCTION("GOOGLETRANSLATE('대전도시공사_청년임대주택 현황_20240630'!I310,""ko"",""en"")"),"2000000")</f>
        <v>2000000</v>
      </c>
      <c r="J310" s="1" t="str">
        <f ca="1">IFERROR(__xludf.DUMMYFUNCTION("GOOGLETRANSLATE('대전도시공사_청년임대주택 현황_20240630'!J310,""ko"",""en"")"),"162100")</f>
        <v>162100</v>
      </c>
    </row>
    <row r="311" spans="1:10" ht="12.5" x14ac:dyDescent="0.25">
      <c r="A311" s="1" t="str">
        <f ca="1">IFERROR(__xludf.DUMMYFUNCTION("GOOGLETRANSLATE('대전도시공사_청년임대주택 현황_20240630'!A311,""ko"",""en"")"),"Tanbang-dong 1480-14 (Driumville, youth rental)")</f>
        <v>Tanbang-dong 1480-14 (Driumville, youth rental)</v>
      </c>
      <c r="B311" s="1" t="str">
        <f ca="1">IFERROR(__xludf.DUMMYFUNCTION("GOOGLETRANSLATE('대전도시공사_청년임대주택 현황_20240630'!B311,""ko"",""en"")"),"42")</f>
        <v>42</v>
      </c>
      <c r="C311" s="1" t="str">
        <f ca="1">IFERROR(__xludf.DUMMYFUNCTION("GOOGLETRANSLATE('대전도시공사_청년임대주택 현황_20240630'!C311,""ko"",""en"")"),"1")</f>
        <v>1</v>
      </c>
      <c r="D311" s="1" t="str">
        <f ca="1">IFERROR(__xludf.DUMMYFUNCTION("GOOGLETRANSLATE('대전도시공사_청년임대주택 현황_20240630'!D311,""ko"",""en"")"),"401")</f>
        <v>401</v>
      </c>
      <c r="E311" s="1" t="str">
        <f ca="1">IFERROR(__xludf.DUMMYFUNCTION("GOOGLETRANSLATE('대전도시공사_청년임대주택 현황_20240630'!E311,""ko"",""en"")"),"118.377")</f>
        <v>118.377</v>
      </c>
      <c r="F311" s="1" t="str">
        <f ca="1">IFERROR(__xludf.DUMMYFUNCTION("GOOGLETRANSLATE('대전도시공사_청년임대주택 현황_20240630'!F311,""ko"",""en"")"),"101.84")</f>
        <v>101.84</v>
      </c>
      <c r="G311" s="1" t="str">
        <f ca="1">IFERROR(__xludf.DUMMYFUNCTION("GOOGLETRANSLATE('대전도시공사_청년임대주택 현황_20240630'!G311,""ko"",""en"")"),"16.537")</f>
        <v>16.537</v>
      </c>
      <c r="H311" s="1" t="str">
        <f ca="1">IFERROR(__xludf.DUMMYFUNCTION("GOOGLETRANSLATE('대전도시공사_청년임대주택 현황_20240630'!H311,""ko"",""en"")"),"Newlyweds 1 (30% of the total price)")</f>
        <v>Newlyweds 1 (30% of the total price)</v>
      </c>
      <c r="I311" s="1" t="str">
        <f ca="1">IFERROR(__xludf.DUMMYFUNCTION("GOOGLETRANSLATE('대전도시공사_청년임대주택 현황_20240630'!I311,""ko"",""en"")"),"16543000")</f>
        <v>16543000</v>
      </c>
      <c r="J311" s="1" t="str">
        <f ca="1">IFERROR(__xludf.DUMMYFUNCTION("GOOGLETRANSLATE('대전도시공사_청년임대주택 현황_20240630'!J311,""ko"",""en"")"),"150500")</f>
        <v>150500</v>
      </c>
    </row>
    <row r="312" spans="1:10" ht="12.5" x14ac:dyDescent="0.25">
      <c r="A312" s="1" t="str">
        <f ca="1">IFERROR(__xludf.DUMMYFUNCTION("GOOGLETRANSLATE('대전도시공사_청년임대주택 현황_20240630'!A312,""ko"",""en"")"),"Tanbang-dong 1480-14 (Driumville, youth rental)")</f>
        <v>Tanbang-dong 1480-14 (Driumville, youth rental)</v>
      </c>
      <c r="B312" s="1" t="str">
        <f ca="1">IFERROR(__xludf.DUMMYFUNCTION("GOOGLETRANSLATE('대전도시공사_청년임대주택 현황_20240630'!B312,""ko"",""en"")"),"43")</f>
        <v>43</v>
      </c>
      <c r="C312" s="1" t="str">
        <f ca="1">IFERROR(__xludf.DUMMYFUNCTION("GOOGLETRANSLATE('대전도시공사_청년임대주택 현황_20240630'!C312,""ko"",""en"")"),"1")</f>
        <v>1</v>
      </c>
      <c r="D312" s="1" t="str">
        <f ca="1">IFERROR(__xludf.DUMMYFUNCTION("GOOGLETRANSLATE('대전도시공사_청년임대주택 현황_20240630'!D312,""ko"",""en"")"),"401")</f>
        <v>401</v>
      </c>
      <c r="E312" s="1" t="str">
        <f ca="1">IFERROR(__xludf.DUMMYFUNCTION("GOOGLETRANSLATE('대전도시공사_청년임대주택 현황_20240630'!E312,""ko"",""en"")"),"118.377")</f>
        <v>118.377</v>
      </c>
      <c r="F312" s="1" t="str">
        <f ca="1">IFERROR(__xludf.DUMMYFUNCTION("GOOGLETRANSLATE('대전도시공사_청년임대주택 현황_20240630'!F312,""ko"",""en"")"),"101.84")</f>
        <v>101.84</v>
      </c>
      <c r="G312" s="1" t="str">
        <f ca="1">IFERROR(__xludf.DUMMYFUNCTION("GOOGLETRANSLATE('대전도시공사_청년임대주택 현황_20240630'!G312,""ko"",""en"")"),"16.537")</f>
        <v>16.537</v>
      </c>
      <c r="H312" s="1" t="str">
        <f ca="1">IFERROR(__xludf.DUMMYFUNCTION("GOOGLETRANSLATE('대전도시공사_청년임대주택 현황_20240630'!H312,""ko"",""en"")"),"Newlyweds 1 (40% of the total price)")</f>
        <v>Newlyweds 1 (40% of the total price)</v>
      </c>
      <c r="I312" s="1" t="str">
        <f ca="1">IFERROR(__xludf.DUMMYFUNCTION("GOOGLETRANSLATE('대전도시공사_청년임대주택 현황_20240630'!I312,""ko"",""en"")"),"16543000")</f>
        <v>16543000</v>
      </c>
      <c r="J312" s="1" t="str">
        <f ca="1">IFERROR(__xludf.DUMMYFUNCTION("GOOGLETRANSLATE('대전도시공사_청년임대주택 현황_20240630'!J312,""ko"",""en"")"),"234100")</f>
        <v>234100</v>
      </c>
    </row>
    <row r="313" spans="1:10" ht="12.5" x14ac:dyDescent="0.25">
      <c r="A313" s="1" t="str">
        <f ca="1">IFERROR(__xludf.DUMMYFUNCTION("GOOGLETRANSLATE('대전도시공사_청년임대주택 현황_20240630'!A313,""ko"",""en"")"),"Tanbang-dong 1480-14 (Driumville, youth rental)")</f>
        <v>Tanbang-dong 1480-14 (Driumville, youth rental)</v>
      </c>
      <c r="B313" s="1" t="str">
        <f ca="1">IFERROR(__xludf.DUMMYFUNCTION("GOOGLETRANSLATE('대전도시공사_청년임대주택 현황_20240630'!B313,""ko"",""en"")"),"44")</f>
        <v>44</v>
      </c>
      <c r="C313" s="1" t="str">
        <f ca="1">IFERROR(__xludf.DUMMYFUNCTION("GOOGLETRANSLATE('대전도시공사_청년임대주택 현황_20240630'!C313,""ko"",""en"")"),"1")</f>
        <v>1</v>
      </c>
      <c r="D313" s="1" t="str">
        <f ca="1">IFERROR(__xludf.DUMMYFUNCTION("GOOGLETRANSLATE('대전도시공사_청년임대주택 현황_20240630'!D313,""ko"",""en"")"),"401")</f>
        <v>401</v>
      </c>
      <c r="E313" s="1" t="str">
        <f ca="1">IFERROR(__xludf.DUMMYFUNCTION("GOOGLETRANSLATE('대전도시공사_청년임대주택 현황_20240630'!E313,""ko"",""en"")"),"118.377")</f>
        <v>118.377</v>
      </c>
      <c r="F313" s="1" t="str">
        <f ca="1">IFERROR(__xludf.DUMMYFUNCTION("GOOGLETRANSLATE('대전도시공사_청년임대주택 현황_20240630'!F313,""ko"",""en"")"),"101.84")</f>
        <v>101.84</v>
      </c>
      <c r="G313" s="1" t="str">
        <f ca="1">IFERROR(__xludf.DUMMYFUNCTION("GOOGLETRANSLATE('대전도시공사_청년임대주택 현황_20240630'!G313,""ko"",""en"")"),"16.537")</f>
        <v>16.537</v>
      </c>
      <c r="H313" s="1" t="str">
        <f ca="1">IFERROR(__xludf.DUMMYFUNCTION("GOOGLETRANSLATE('대전도시공사_청년임대주택 현황_20240630'!H313,""ko"",""en"")"),"Newlyweds 2 (70% of the total price)")</f>
        <v>Newlyweds 2 (70% of the total price)</v>
      </c>
      <c r="I313" s="1" t="str">
        <f ca="1">IFERROR(__xludf.DUMMYFUNCTION("GOOGLETRANSLATE('대전도시공사_청년임대주택 현황_20240630'!I313,""ko"",""en"")"),"16543000")</f>
        <v>16543000</v>
      </c>
      <c r="J313" s="1" t="str">
        <f ca="1">IFERROR(__xludf.DUMMYFUNCTION("GOOGLETRANSLATE('대전도시공사_청년임대주택 현황_20240630'!J313,""ko"",""en"")"),"484800")</f>
        <v>484800</v>
      </c>
    </row>
    <row r="314" spans="1:10" ht="12.5" x14ac:dyDescent="0.25">
      <c r="A314" s="1" t="str">
        <f ca="1">IFERROR(__xludf.DUMMYFUNCTION("GOOGLETRANSLATE('대전도시공사_청년임대주택 현황_20240630'!A314,""ko"",""en"")"),"Tanbang-dong 1480-14 (Driumville, youth rental)")</f>
        <v>Tanbang-dong 1480-14 (Driumville, youth rental)</v>
      </c>
      <c r="B314" s="1" t="str">
        <f ca="1">IFERROR(__xludf.DUMMYFUNCTION("GOOGLETRANSLATE('대전도시공사_청년임대주택 현황_20240630'!B314,""ko"",""en"")"),"45")</f>
        <v>45</v>
      </c>
      <c r="C314" s="1" t="str">
        <f ca="1">IFERROR(__xludf.DUMMYFUNCTION("GOOGLETRANSLATE('대전도시공사_청년임대주택 현황_20240630'!C314,""ko"",""en"")"),"1")</f>
        <v>1</v>
      </c>
      <c r="D314" s="1" t="str">
        <f ca="1">IFERROR(__xludf.DUMMYFUNCTION("GOOGLETRANSLATE('대전도시공사_청년임대주택 현황_20240630'!D314,""ko"",""en"")"),"401")</f>
        <v>401</v>
      </c>
      <c r="E314" s="1" t="str">
        <f ca="1">IFERROR(__xludf.DUMMYFUNCTION("GOOGLETRANSLATE('대전도시공사_청년임대주택 현황_20240630'!E314,""ko"",""en"")"),"118.377")</f>
        <v>118.377</v>
      </c>
      <c r="F314" s="1" t="str">
        <f ca="1">IFERROR(__xludf.DUMMYFUNCTION("GOOGLETRANSLATE('대전도시공사_청년임대주택 현황_20240630'!F314,""ko"",""en"")"),"101.84")</f>
        <v>101.84</v>
      </c>
      <c r="G314" s="1" t="str">
        <f ca="1">IFERROR(__xludf.DUMMYFUNCTION("GOOGLETRANSLATE('대전도시공사_청년임대주택 현황_20240630'!G314,""ko"",""en"")"),"16.537")</f>
        <v>16.537</v>
      </c>
      <c r="H314" s="1" t="str">
        <f ca="1">IFERROR(__xludf.DUMMYFUNCTION("GOOGLETRANSLATE('대전도시공사_청년임대주택 현황_20240630'!H314,""ko"",""en"")"),"Newlyweds 2 (80% of the total price)")</f>
        <v>Newlyweds 2 (80% of the total price)</v>
      </c>
      <c r="I314" s="1" t="str">
        <f ca="1">IFERROR(__xludf.DUMMYFUNCTION("GOOGLETRANSLATE('대전도시공사_청년임대주택 현황_20240630'!I314,""ko"",""en"")"),"16543000")</f>
        <v>16543000</v>
      </c>
      <c r="J314" s="1" t="str">
        <f ca="1">IFERROR(__xludf.DUMMYFUNCTION("GOOGLETRANSLATE('대전도시공사_청년임대주택 현황_20240630'!J314,""ko"",""en"")"),"568300")</f>
        <v>568300</v>
      </c>
    </row>
    <row r="315" spans="1:10" ht="12.5" x14ac:dyDescent="0.25">
      <c r="A315" s="1" t="str">
        <f ca="1">IFERROR(__xludf.DUMMYFUNCTION("GOOGLETRANSLATE('대전도시공사_청년임대주택 현황_20240630'!A315,""ko"",""en"")"),"Tanbang-dong 1480-14 (Driumville, youth rental)")</f>
        <v>Tanbang-dong 1480-14 (Driumville, youth rental)</v>
      </c>
      <c r="B315" s="1" t="str">
        <f ca="1">IFERROR(__xludf.DUMMYFUNCTION("GOOGLETRANSLATE('대전도시공사_청년임대주택 현황_20240630'!B315,""ko"",""en"")"),"46")</f>
        <v>46</v>
      </c>
      <c r="C315" s="1" t="str">
        <f ca="1">IFERROR(__xludf.DUMMYFUNCTION("GOOGLETRANSLATE('대전도시공사_청년임대주택 현황_20240630'!C315,""ko"",""en"")"),"1")</f>
        <v>1</v>
      </c>
      <c r="D315" s="1" t="str">
        <f ca="1">IFERROR(__xludf.DUMMYFUNCTION("GOOGLETRANSLATE('대전도시공사_청년임대주택 현황_20240630'!D315,""ko"",""en"")"),"402")</f>
        <v>402</v>
      </c>
      <c r="E315" s="1" t="str">
        <f ca="1">IFERROR(__xludf.DUMMYFUNCTION("GOOGLETRANSLATE('대전도시공사_청년임대주택 현황_20240630'!E315,""ko"",""en"")"),"31.28")</f>
        <v>31.28</v>
      </c>
      <c r="F315" s="1" t="str">
        <f ca="1">IFERROR(__xludf.DUMMYFUNCTION("GOOGLETRANSLATE('대전도시공사_청년임대주택 현황_20240630'!F315,""ko"",""en"")"),"26.91")</f>
        <v>26.91</v>
      </c>
      <c r="G315" s="1" t="str">
        <f ca="1">IFERROR(__xludf.DUMMYFUNCTION("GOOGLETRANSLATE('대전도시공사_청년임대주택 현황_20240630'!G315,""ko"",""en"")"),"4.37")</f>
        <v>4.37</v>
      </c>
      <c r="H315" s="1" t="str">
        <f ca="1">IFERROR(__xludf.DUMMYFUNCTION("GOOGLETRANSLATE('대전도시공사_청년임대주택 현황_20240630'!H315,""ko"",""en"")"),"Youth Rent 1st Place")</f>
        <v>Youth Rent 1st Place</v>
      </c>
      <c r="I315" s="1" t="str">
        <f ca="1">IFERROR(__xludf.DUMMYFUNCTION("GOOGLETRANSLATE('대전도시공사_청년임대주택 현황_20240630'!I315,""ko"",""en"")"),"1000000")</f>
        <v>1000000</v>
      </c>
      <c r="J315" s="1" t="str">
        <f ca="1">IFERROR(__xludf.DUMMYFUNCTION("GOOGLETRANSLATE('대전도시공사_청년임대주택 현황_20240630'!J315,""ko"",""en"")"),"106500")</f>
        <v>106500</v>
      </c>
    </row>
    <row r="316" spans="1:10" ht="12.5" x14ac:dyDescent="0.25">
      <c r="A316" s="1" t="str">
        <f ca="1">IFERROR(__xludf.DUMMYFUNCTION("GOOGLETRANSLATE('대전도시공사_청년임대주택 현황_20240630'!A316,""ko"",""en"")"),"Tanbang-dong 1480-14 (Driumville, youth rental)")</f>
        <v>Tanbang-dong 1480-14 (Driumville, youth rental)</v>
      </c>
      <c r="B316" s="1" t="str">
        <f ca="1">IFERROR(__xludf.DUMMYFUNCTION("GOOGLETRANSLATE('대전도시공사_청년임대주택 현황_20240630'!B316,""ko"",""en"")"),"47")</f>
        <v>47</v>
      </c>
      <c r="C316" s="1" t="str">
        <f ca="1">IFERROR(__xludf.DUMMYFUNCTION("GOOGLETRANSLATE('대전도시공사_청년임대주택 현황_20240630'!C316,""ko"",""en"")"),"1")</f>
        <v>1</v>
      </c>
      <c r="D316" s="1" t="str">
        <f ca="1">IFERROR(__xludf.DUMMYFUNCTION("GOOGLETRANSLATE('대전도시공사_청년임대주택 현황_20240630'!D316,""ko"",""en"")"),"402")</f>
        <v>402</v>
      </c>
      <c r="E316" s="1" t="str">
        <f ca="1">IFERROR(__xludf.DUMMYFUNCTION("GOOGLETRANSLATE('대전도시공사_청년임대주택 현황_20240630'!E316,""ko"",""en"")"),"31.28")</f>
        <v>31.28</v>
      </c>
      <c r="F316" s="1" t="str">
        <f ca="1">IFERROR(__xludf.DUMMYFUNCTION("GOOGLETRANSLATE('대전도시공사_청년임대주택 현황_20240630'!F316,""ko"",""en"")"),"26.91")</f>
        <v>26.91</v>
      </c>
      <c r="G316" s="1" t="str">
        <f ca="1">IFERROR(__xludf.DUMMYFUNCTION("GOOGLETRANSLATE('대전도시공사_청년임대주택 현황_20240630'!G316,""ko"",""en"")"),"4.37")</f>
        <v>4.37</v>
      </c>
      <c r="H316" s="1" t="str">
        <f ca="1">IFERROR(__xludf.DUMMYFUNCTION("GOOGLETRANSLATE('대전도시공사_청년임대주택 현황_20240630'!H316,""ko"",""en"")"),"Youth Rental 2nd Place")</f>
        <v>Youth Rental 2nd Place</v>
      </c>
      <c r="I316" s="1" t="str">
        <f ca="1">IFERROR(__xludf.DUMMYFUNCTION("GOOGLETRANSLATE('대전도시공사_청년임대주택 현황_20240630'!I316,""ko"",""en"")"),"2000000")</f>
        <v>2000000</v>
      </c>
      <c r="J316" s="1" t="str">
        <f ca="1">IFERROR(__xludf.DUMMYFUNCTION("GOOGLETRANSLATE('대전도시공사_청년임대주택 현황_20240630'!J316,""ko"",""en"")"),"128400")</f>
        <v>128400</v>
      </c>
    </row>
    <row r="317" spans="1:10" ht="12.5" x14ac:dyDescent="0.25">
      <c r="A317" s="1" t="str">
        <f ca="1">IFERROR(__xludf.DUMMYFUNCTION("GOOGLETRANSLATE('대전도시공사_청년임대주택 현황_20240630'!A317,""ko"",""en"")"),"Tanbang-dong 1480-14 (Driumville, youth rental)")</f>
        <v>Tanbang-dong 1480-14 (Driumville, youth rental)</v>
      </c>
      <c r="B317" s="1" t="str">
        <f ca="1">IFERROR(__xludf.DUMMYFUNCTION("GOOGLETRANSLATE('대전도시공사_청년임대주택 현황_20240630'!B317,""ko"",""en"")"),"48")</f>
        <v>48</v>
      </c>
      <c r="C317" s="1" t="str">
        <f ca="1">IFERROR(__xludf.DUMMYFUNCTION("GOOGLETRANSLATE('대전도시공사_청년임대주택 현황_20240630'!C317,""ko"",""en"")"),"1")</f>
        <v>1</v>
      </c>
      <c r="D317" s="1" t="str">
        <f ca="1">IFERROR(__xludf.DUMMYFUNCTION("GOOGLETRANSLATE('대전도시공사_청년임대주택 현황_20240630'!D317,""ko"",""en"")"),"402")</f>
        <v>402</v>
      </c>
      <c r="E317" s="1" t="str">
        <f ca="1">IFERROR(__xludf.DUMMYFUNCTION("GOOGLETRANSLATE('대전도시공사_청년임대주택 현황_20240630'!E317,""ko"",""en"")"),"31.28")</f>
        <v>31.28</v>
      </c>
      <c r="F317" s="1" t="str">
        <f ca="1">IFERROR(__xludf.DUMMYFUNCTION("GOOGLETRANSLATE('대전도시공사_청년임대주택 현황_20240630'!F317,""ko"",""en"")"),"26.91")</f>
        <v>26.91</v>
      </c>
      <c r="G317" s="1" t="str">
        <f ca="1">IFERROR(__xludf.DUMMYFUNCTION("GOOGLETRANSLATE('대전도시공사_청년임대주택 현황_20240630'!G317,""ko"",""en"")"),"4.37")</f>
        <v>4.37</v>
      </c>
      <c r="H317" s="1" t="str">
        <f ca="1">IFERROR(__xludf.DUMMYFUNCTION("GOOGLETRANSLATE('대전도시공사_청년임대주택 현황_20240630'!H317,""ko"",""en"")"),"3rd place for youth rental")</f>
        <v>3rd place for youth rental</v>
      </c>
      <c r="I317" s="1" t="str">
        <f ca="1">IFERROR(__xludf.DUMMYFUNCTION("GOOGLETRANSLATE('대전도시공사_청년임대주택 현황_20240630'!I317,""ko"",""en"")"),"2000000")</f>
        <v>2000000</v>
      </c>
      <c r="J317" s="1" t="str">
        <f ca="1">IFERROR(__xludf.DUMMYFUNCTION("GOOGLETRANSLATE('대전도시공사_청년임대주택 현황_20240630'!J317,""ko"",""en"")"),"128400")</f>
        <v>128400</v>
      </c>
    </row>
    <row r="318" spans="1:10" ht="12.5" x14ac:dyDescent="0.25">
      <c r="A318" s="1" t="str">
        <f ca="1">IFERROR(__xludf.DUMMYFUNCTION("GOOGLETRANSLATE('대전도시공사_청년임대주택 현황_20240630'!A318,""ko"",""en"")"),"Tanbang-dong 1480-14 (Driumville, youth rental)")</f>
        <v>Tanbang-dong 1480-14 (Driumville, youth rental)</v>
      </c>
      <c r="B318" s="1" t="str">
        <f ca="1">IFERROR(__xludf.DUMMYFUNCTION("GOOGLETRANSLATE('대전도시공사_청년임대주택 현황_20240630'!B318,""ko"",""en"")"),"49")</f>
        <v>49</v>
      </c>
      <c r="C318" s="1" t="str">
        <f ca="1">IFERROR(__xludf.DUMMYFUNCTION("GOOGLETRANSLATE('대전도시공사_청년임대주택 현황_20240630'!C318,""ko"",""en"")"),"1")</f>
        <v>1</v>
      </c>
      <c r="D318" s="1" t="str">
        <f ca="1">IFERROR(__xludf.DUMMYFUNCTION("GOOGLETRANSLATE('대전도시공사_청년임대주택 현황_20240630'!D318,""ko"",""en"")"),"403")</f>
        <v>403</v>
      </c>
      <c r="E318" s="1" t="str">
        <f ca="1">IFERROR(__xludf.DUMMYFUNCTION("GOOGLETRANSLATE('대전도시공사_청년임대주택 현황_20240630'!E318,""ko"",""en"")"),"32.73")</f>
        <v>32.73</v>
      </c>
      <c r="F318" s="1" t="str">
        <f ca="1">IFERROR(__xludf.DUMMYFUNCTION("GOOGLETRANSLATE('대전도시공사_청년임대주택 현황_20240630'!F318,""ko"",""en"")"),"28.16")</f>
        <v>28.16</v>
      </c>
      <c r="G318" s="1" t="str">
        <f ca="1">IFERROR(__xludf.DUMMYFUNCTION("GOOGLETRANSLATE('대전도시공사_청년임대주택 현황_20240630'!G318,""ko"",""en"")"),"4.57")</f>
        <v>4.57</v>
      </c>
      <c r="H318" s="1" t="str">
        <f ca="1">IFERROR(__xludf.DUMMYFUNCTION("GOOGLETRANSLATE('대전도시공사_청년임대주택 현황_20240630'!H318,""ko"",""en"")"),"Youth Rent 1st Place")</f>
        <v>Youth Rent 1st Place</v>
      </c>
      <c r="I318" s="1" t="str">
        <f ca="1">IFERROR(__xludf.DUMMYFUNCTION("GOOGLETRANSLATE('대전도시공사_청년임대주택 현황_20240630'!I318,""ko"",""en"")"),"1000000")</f>
        <v>1000000</v>
      </c>
      <c r="J318" s="1" t="str">
        <f ca="1">IFERROR(__xludf.DUMMYFUNCTION("GOOGLETRANSLATE('대전도시공사_청년임대주택 현황_20240630'!J318,""ko"",""en"")"),"113900")</f>
        <v>113900</v>
      </c>
    </row>
    <row r="319" spans="1:10" ht="12.5" x14ac:dyDescent="0.25">
      <c r="A319" s="1" t="str">
        <f ca="1">IFERROR(__xludf.DUMMYFUNCTION("GOOGLETRANSLATE('대전도시공사_청년임대주택 현황_20240630'!A319,""ko"",""en"")"),"Tanbang-dong 1480-14 (Driumville, youth rental)")</f>
        <v>Tanbang-dong 1480-14 (Driumville, youth rental)</v>
      </c>
      <c r="B319" s="1" t="str">
        <f ca="1">IFERROR(__xludf.DUMMYFUNCTION("GOOGLETRANSLATE('대전도시공사_청년임대주택 현황_20240630'!B319,""ko"",""en"")"),"50")</f>
        <v>50</v>
      </c>
      <c r="C319" s="1" t="str">
        <f ca="1">IFERROR(__xludf.DUMMYFUNCTION("GOOGLETRANSLATE('대전도시공사_청년임대주택 현황_20240630'!C319,""ko"",""en"")"),"1")</f>
        <v>1</v>
      </c>
      <c r="D319" s="1" t="str">
        <f ca="1">IFERROR(__xludf.DUMMYFUNCTION("GOOGLETRANSLATE('대전도시공사_청년임대주택 현황_20240630'!D319,""ko"",""en"")"),"403")</f>
        <v>403</v>
      </c>
      <c r="E319" s="1" t="str">
        <f ca="1">IFERROR(__xludf.DUMMYFUNCTION("GOOGLETRANSLATE('대전도시공사_청년임대주택 현황_20240630'!E319,""ko"",""en"")"),"32.73")</f>
        <v>32.73</v>
      </c>
      <c r="F319" s="1" t="str">
        <f ca="1">IFERROR(__xludf.DUMMYFUNCTION("GOOGLETRANSLATE('대전도시공사_청년임대주택 현황_20240630'!F319,""ko"",""en"")"),"28.16")</f>
        <v>28.16</v>
      </c>
      <c r="G319" s="1" t="str">
        <f ca="1">IFERROR(__xludf.DUMMYFUNCTION("GOOGLETRANSLATE('대전도시공사_청년임대주택 현황_20240630'!G319,""ko"",""en"")"),"4.57")</f>
        <v>4.57</v>
      </c>
      <c r="H319" s="1" t="str">
        <f ca="1">IFERROR(__xludf.DUMMYFUNCTION("GOOGLETRANSLATE('대전도시공사_청년임대주택 현황_20240630'!H319,""ko"",""en"")"),"Youth Rental 2nd Place")</f>
        <v>Youth Rental 2nd Place</v>
      </c>
      <c r="I319" s="1" t="str">
        <f ca="1">IFERROR(__xludf.DUMMYFUNCTION("GOOGLETRANSLATE('대전도시공사_청년임대주택 현황_20240630'!I319,""ko"",""en"")"),"2000000")</f>
        <v>2000000</v>
      </c>
      <c r="J319" s="1" t="str">
        <f ca="1">IFERROR(__xludf.DUMMYFUNCTION("GOOGLETRANSLATE('대전도시공사_청년임대주택 현황_20240630'!J319,""ko"",""en"")"),"137700")</f>
        <v>137700</v>
      </c>
    </row>
    <row r="320" spans="1:10" ht="12.5" x14ac:dyDescent="0.25">
      <c r="A320" s="1" t="str">
        <f ca="1">IFERROR(__xludf.DUMMYFUNCTION("GOOGLETRANSLATE('대전도시공사_청년임대주택 현황_20240630'!A320,""ko"",""en"")"),"Tanbang-dong 1480-14 (Driumville, youth rental)")</f>
        <v>Tanbang-dong 1480-14 (Driumville, youth rental)</v>
      </c>
      <c r="B320" s="1" t="str">
        <f ca="1">IFERROR(__xludf.DUMMYFUNCTION("GOOGLETRANSLATE('대전도시공사_청년임대주택 현황_20240630'!B320,""ko"",""en"")"),"51")</f>
        <v>51</v>
      </c>
      <c r="C320" s="1" t="str">
        <f ca="1">IFERROR(__xludf.DUMMYFUNCTION("GOOGLETRANSLATE('대전도시공사_청년임대주택 현황_20240630'!C320,""ko"",""en"")"),"1")</f>
        <v>1</v>
      </c>
      <c r="D320" s="1" t="str">
        <f ca="1">IFERROR(__xludf.DUMMYFUNCTION("GOOGLETRANSLATE('대전도시공사_청년임대주택 현황_20240630'!D320,""ko"",""en"")"),"403")</f>
        <v>403</v>
      </c>
      <c r="E320" s="1" t="str">
        <f ca="1">IFERROR(__xludf.DUMMYFUNCTION("GOOGLETRANSLATE('대전도시공사_청년임대주택 현황_20240630'!E320,""ko"",""en"")"),"32.73")</f>
        <v>32.73</v>
      </c>
      <c r="F320" s="1" t="str">
        <f ca="1">IFERROR(__xludf.DUMMYFUNCTION("GOOGLETRANSLATE('대전도시공사_청년임대주택 현황_20240630'!F320,""ko"",""en"")"),"28.16")</f>
        <v>28.16</v>
      </c>
      <c r="G320" s="1" t="str">
        <f ca="1">IFERROR(__xludf.DUMMYFUNCTION("GOOGLETRANSLATE('대전도시공사_청년임대주택 현황_20240630'!G320,""ko"",""en"")"),"4.57")</f>
        <v>4.57</v>
      </c>
      <c r="H320" s="1" t="str">
        <f ca="1">IFERROR(__xludf.DUMMYFUNCTION("GOOGLETRANSLATE('대전도시공사_청년임대주택 현황_20240630'!H320,""ko"",""en"")"),"3rd place for youth rental")</f>
        <v>3rd place for youth rental</v>
      </c>
      <c r="I320" s="1" t="str">
        <f ca="1">IFERROR(__xludf.DUMMYFUNCTION("GOOGLETRANSLATE('대전도시공사_청년임대주택 현황_20240630'!I320,""ko"",""en"")"),"2000000")</f>
        <v>2000000</v>
      </c>
      <c r="J320" s="1" t="str">
        <f ca="1">IFERROR(__xludf.DUMMYFUNCTION("GOOGLETRANSLATE('대전도시공사_청년임대주택 현황_20240630'!J320,""ko"",""en"")"),"137700")</f>
        <v>137700</v>
      </c>
    </row>
    <row r="321" spans="1:10" ht="12.5" x14ac:dyDescent="0.25">
      <c r="A321" s="1" t="str">
        <f ca="1">IFERROR(__xludf.DUMMYFUNCTION("GOOGLETRANSLATE('대전도시공사_청년임대주택 현황_20240630'!A321,""ko"",""en"")"),"Ojeong-dong 442-18 (CJ Bill, youth rental)")</f>
        <v>Ojeong-dong 442-18 (CJ Bill, youth rental)</v>
      </c>
      <c r="B321" s="1" t="str">
        <f ca="1">IFERROR(__xludf.DUMMYFUNCTION("GOOGLETRANSLATE('대전도시공사_청년임대주택 현황_20240630'!B321,""ko"",""en"")"),"1")</f>
        <v>1</v>
      </c>
      <c r="C321" s="1" t="str">
        <f ca="1">IFERROR(__xludf.DUMMYFUNCTION("GOOGLETRANSLATE('대전도시공사_청년임대주택 현황_20240630'!C321,""ko"",""en"")"),"1")</f>
        <v>1</v>
      </c>
      <c r="D321" s="1" t="str">
        <f ca="1">IFERROR(__xludf.DUMMYFUNCTION("GOOGLETRANSLATE('대전도시공사_청년임대주택 현황_20240630'!D321,""ko"",""en"")"),"202")</f>
        <v>202</v>
      </c>
      <c r="E321" s="1" t="str">
        <f ca="1">IFERROR(__xludf.DUMMYFUNCTION("GOOGLETRANSLATE('대전도시공사_청년임대주택 현황_20240630'!E321,""ko"",""en"")"),"33.79")</f>
        <v>33.79</v>
      </c>
      <c r="F321" s="1" t="str">
        <f ca="1">IFERROR(__xludf.DUMMYFUNCTION("GOOGLETRANSLATE('대전도시공사_청년임대주택 현황_20240630'!F321,""ko"",""en"")"),"27.52")</f>
        <v>27.52</v>
      </c>
      <c r="G321" s="1" t="str">
        <f ca="1">IFERROR(__xludf.DUMMYFUNCTION("GOOGLETRANSLATE('대전도시공사_청년임대주택 현황_20240630'!G321,""ko"",""en"")"),"6.27")</f>
        <v>6.27</v>
      </c>
      <c r="H321" s="1" t="str">
        <f ca="1">IFERROR(__xludf.DUMMYFUNCTION("GOOGLETRANSLATE('대전도시공사_청년임대주택 현황_20240630'!H321,""ko"",""en"")"),"Youth Rent 1st Place")</f>
        <v>Youth Rent 1st Place</v>
      </c>
      <c r="I321" s="1" t="str">
        <f ca="1">IFERROR(__xludf.DUMMYFUNCTION("GOOGLETRANSLATE('대전도시공사_청년임대주택 현황_20240630'!I321,""ko"",""en"")"),"1000000")</f>
        <v>1000000</v>
      </c>
      <c r="J321" s="1" t="str">
        <f ca="1">IFERROR(__xludf.DUMMYFUNCTION("GOOGLETRANSLATE('대전도시공사_청년임대주택 현황_20240630'!J321,""ko"",""en"")"),"143600")</f>
        <v>143600</v>
      </c>
    </row>
    <row r="322" spans="1:10" ht="12.5" x14ac:dyDescent="0.25">
      <c r="A322" s="1" t="str">
        <f ca="1">IFERROR(__xludf.DUMMYFUNCTION("GOOGLETRANSLATE('대전도시공사_청년임대주택 현황_20240630'!A322,""ko"",""en"")"),"Ojeong-dong 442-18 (CJ Bill, youth rental)")</f>
        <v>Ojeong-dong 442-18 (CJ Bill, youth rental)</v>
      </c>
      <c r="B322" s="1" t="str">
        <f ca="1">IFERROR(__xludf.DUMMYFUNCTION("GOOGLETRANSLATE('대전도시공사_청년임대주택 현황_20240630'!B322,""ko"",""en"")"),"2")</f>
        <v>2</v>
      </c>
      <c r="C322" s="1" t="str">
        <f ca="1">IFERROR(__xludf.DUMMYFUNCTION("GOOGLETRANSLATE('대전도시공사_청년임대주택 현황_20240630'!C322,""ko"",""en"")"),"1")</f>
        <v>1</v>
      </c>
      <c r="D322" s="1" t="str">
        <f ca="1">IFERROR(__xludf.DUMMYFUNCTION("GOOGLETRANSLATE('대전도시공사_청년임대주택 현황_20240630'!D322,""ko"",""en"")"),"202")</f>
        <v>202</v>
      </c>
      <c r="E322" s="1" t="str">
        <f ca="1">IFERROR(__xludf.DUMMYFUNCTION("GOOGLETRANSLATE('대전도시공사_청년임대주택 현황_20240630'!E322,""ko"",""en"")"),"33.79")</f>
        <v>33.79</v>
      </c>
      <c r="F322" s="1" t="str">
        <f ca="1">IFERROR(__xludf.DUMMYFUNCTION("GOOGLETRANSLATE('대전도시공사_청년임대주택 현황_20240630'!F322,""ko"",""en"")"),"27.52")</f>
        <v>27.52</v>
      </c>
      <c r="G322" s="1" t="str">
        <f ca="1">IFERROR(__xludf.DUMMYFUNCTION("GOOGLETRANSLATE('대전도시공사_청년임대주택 현황_20240630'!G322,""ko"",""en"")"),"6.27")</f>
        <v>6.27</v>
      </c>
      <c r="H322" s="1" t="str">
        <f ca="1">IFERROR(__xludf.DUMMYFUNCTION("GOOGLETRANSLATE('대전도시공사_청년임대주택 현황_20240630'!H322,""ko"",""en"")"),"Youth Rental 2nd Place")</f>
        <v>Youth Rental 2nd Place</v>
      </c>
      <c r="I322" s="1" t="str">
        <f ca="1">IFERROR(__xludf.DUMMYFUNCTION("GOOGLETRANSLATE('대전도시공사_청년임대주택 현황_20240630'!I322,""ko"",""en"")"),"2000000")</f>
        <v>2000000</v>
      </c>
      <c r="J322" s="1" t="str">
        <f ca="1">IFERROR(__xludf.DUMMYFUNCTION("GOOGLETRANSLATE('대전도시공사_청년임대주택 현황_20240630'!J322,""ko"",""en"")"),"174800")</f>
        <v>174800</v>
      </c>
    </row>
    <row r="323" spans="1:10" ht="12.5" x14ac:dyDescent="0.25">
      <c r="A323" s="1" t="str">
        <f ca="1">IFERROR(__xludf.DUMMYFUNCTION("GOOGLETRANSLATE('대전도시공사_청년임대주택 현황_20240630'!A323,""ko"",""en"")"),"Ojeong-dong 442-18 (CJ Bill, youth rental)")</f>
        <v>Ojeong-dong 442-18 (CJ Bill, youth rental)</v>
      </c>
      <c r="B323" s="1" t="str">
        <f ca="1">IFERROR(__xludf.DUMMYFUNCTION("GOOGLETRANSLATE('대전도시공사_청년임대주택 현황_20240630'!B323,""ko"",""en"")"),"3")</f>
        <v>3</v>
      </c>
      <c r="C323" s="1" t="str">
        <f ca="1">IFERROR(__xludf.DUMMYFUNCTION("GOOGLETRANSLATE('대전도시공사_청년임대주택 현황_20240630'!C323,""ko"",""en"")"),"1")</f>
        <v>1</v>
      </c>
      <c r="D323" s="1" t="str">
        <f ca="1">IFERROR(__xludf.DUMMYFUNCTION("GOOGLETRANSLATE('대전도시공사_청년임대주택 현황_20240630'!D323,""ko"",""en"")"),"202")</f>
        <v>202</v>
      </c>
      <c r="E323" s="1" t="str">
        <f ca="1">IFERROR(__xludf.DUMMYFUNCTION("GOOGLETRANSLATE('대전도시공사_청년임대주택 현황_20240630'!E323,""ko"",""en"")"),"33.79")</f>
        <v>33.79</v>
      </c>
      <c r="F323" s="1" t="str">
        <f ca="1">IFERROR(__xludf.DUMMYFUNCTION("GOOGLETRANSLATE('대전도시공사_청년임대주택 현황_20240630'!F323,""ko"",""en"")"),"27.52")</f>
        <v>27.52</v>
      </c>
      <c r="G323" s="1" t="str">
        <f ca="1">IFERROR(__xludf.DUMMYFUNCTION("GOOGLETRANSLATE('대전도시공사_청년임대주택 현황_20240630'!G323,""ko"",""en"")"),"6.27")</f>
        <v>6.27</v>
      </c>
      <c r="H323" s="1" t="str">
        <f ca="1">IFERROR(__xludf.DUMMYFUNCTION("GOOGLETRANSLATE('대전도시공사_청년임대주택 현황_20240630'!H323,""ko"",""en"")"),"3rd place for youth rental")</f>
        <v>3rd place for youth rental</v>
      </c>
      <c r="I323" s="1" t="str">
        <f ca="1">IFERROR(__xludf.DUMMYFUNCTION("GOOGLETRANSLATE('대전도시공사_청년임대주택 현황_20240630'!I323,""ko"",""en"")"),"2000000")</f>
        <v>2000000</v>
      </c>
      <c r="J323" s="1" t="str">
        <f ca="1">IFERROR(__xludf.DUMMYFUNCTION("GOOGLETRANSLATE('대전도시공사_청년임대주택 현황_20240630'!J323,""ko"",""en"")"),"174800")</f>
        <v>174800</v>
      </c>
    </row>
    <row r="324" spans="1:10" ht="12.5" x14ac:dyDescent="0.25">
      <c r="A324" s="1" t="str">
        <f ca="1">IFERROR(__xludf.DUMMYFUNCTION("GOOGLETRANSLATE('대전도시공사_청년임대주택 현황_20240630'!A324,""ko"",""en"")"),"Ojeong-dong 442-18 (CJ Bill, youth rental)")</f>
        <v>Ojeong-dong 442-18 (CJ Bill, youth rental)</v>
      </c>
      <c r="B324" s="1" t="str">
        <f ca="1">IFERROR(__xludf.DUMMYFUNCTION("GOOGLETRANSLATE('대전도시공사_청년임대주택 현황_20240630'!B324,""ko"",""en"")"),"4")</f>
        <v>4</v>
      </c>
      <c r="C324" s="1" t="str">
        <f ca="1">IFERROR(__xludf.DUMMYFUNCTION("GOOGLETRANSLATE('대전도시공사_청년임대주택 현황_20240630'!C324,""ko"",""en"")"),"1")</f>
        <v>1</v>
      </c>
      <c r="D324" s="1" t="str">
        <f ca="1">IFERROR(__xludf.DUMMYFUNCTION("GOOGLETRANSLATE('대전도시공사_청년임대주택 현황_20240630'!D324,""ko"",""en"")"),"203")</f>
        <v>203</v>
      </c>
      <c r="E324" s="1" t="str">
        <f ca="1">IFERROR(__xludf.DUMMYFUNCTION("GOOGLETRANSLATE('대전도시공사_청년임대주택 현황_20240630'!E324,""ko"",""en"")"),"33.01")</f>
        <v>33.01</v>
      </c>
      <c r="F324" s="1" t="str">
        <f ca="1">IFERROR(__xludf.DUMMYFUNCTION("GOOGLETRANSLATE('대전도시공사_청년임대주택 현황_20240630'!F324,""ko"",""en"")"),"26.88")</f>
        <v>26.88</v>
      </c>
      <c r="G324" s="1" t="str">
        <f ca="1">IFERROR(__xludf.DUMMYFUNCTION("GOOGLETRANSLATE('대전도시공사_청년임대주택 현황_20240630'!G324,""ko"",""en"")"),"6.13")</f>
        <v>6.13</v>
      </c>
      <c r="H324" s="1" t="str">
        <f ca="1">IFERROR(__xludf.DUMMYFUNCTION("GOOGLETRANSLATE('대전도시공사_청년임대주택 현황_20240630'!H324,""ko"",""en"")"),"Youth Rent 1st Place")</f>
        <v>Youth Rent 1st Place</v>
      </c>
      <c r="I324" s="1" t="str">
        <f ca="1">IFERROR(__xludf.DUMMYFUNCTION("GOOGLETRANSLATE('대전도시공사_청년임대주택 현황_20240630'!I324,""ko"",""en"")"),"1000000")</f>
        <v>1000000</v>
      </c>
      <c r="J324" s="1" t="str">
        <f ca="1">IFERROR(__xludf.DUMMYFUNCTION("GOOGLETRANSLATE('대전도시공사_청년임대주택 현황_20240630'!J324,""ko"",""en"")"),"138700")</f>
        <v>138700</v>
      </c>
    </row>
    <row r="325" spans="1:10" ht="12.5" x14ac:dyDescent="0.25">
      <c r="A325" s="1" t="str">
        <f ca="1">IFERROR(__xludf.DUMMYFUNCTION("GOOGLETRANSLATE('대전도시공사_청년임대주택 현황_20240630'!A325,""ko"",""en"")"),"Ojeong-dong 442-18 (CJ Bill, youth rental)")</f>
        <v>Ojeong-dong 442-18 (CJ Bill, youth rental)</v>
      </c>
      <c r="B325" s="1" t="str">
        <f ca="1">IFERROR(__xludf.DUMMYFUNCTION("GOOGLETRANSLATE('대전도시공사_청년임대주택 현황_20240630'!B325,""ko"",""en"")"),"5")</f>
        <v>5</v>
      </c>
      <c r="C325" s="1" t="str">
        <f ca="1">IFERROR(__xludf.DUMMYFUNCTION("GOOGLETRANSLATE('대전도시공사_청년임대주택 현황_20240630'!C325,""ko"",""en"")"),"1")</f>
        <v>1</v>
      </c>
      <c r="D325" s="1" t="str">
        <f ca="1">IFERROR(__xludf.DUMMYFUNCTION("GOOGLETRANSLATE('대전도시공사_청년임대주택 현황_20240630'!D325,""ko"",""en"")"),"203")</f>
        <v>203</v>
      </c>
      <c r="E325" s="1" t="str">
        <f ca="1">IFERROR(__xludf.DUMMYFUNCTION("GOOGLETRANSLATE('대전도시공사_청년임대주택 현황_20240630'!E325,""ko"",""en"")"),"33.01")</f>
        <v>33.01</v>
      </c>
      <c r="F325" s="1" t="str">
        <f ca="1">IFERROR(__xludf.DUMMYFUNCTION("GOOGLETRANSLATE('대전도시공사_청년임대주택 현황_20240630'!F325,""ko"",""en"")"),"26.88")</f>
        <v>26.88</v>
      </c>
      <c r="G325" s="1" t="str">
        <f ca="1">IFERROR(__xludf.DUMMYFUNCTION("GOOGLETRANSLATE('대전도시공사_청년임대주택 현황_20240630'!G325,""ko"",""en"")"),"6.13")</f>
        <v>6.13</v>
      </c>
      <c r="H325" s="1" t="str">
        <f ca="1">IFERROR(__xludf.DUMMYFUNCTION("GOOGLETRANSLATE('대전도시공사_청년임대주택 현황_20240630'!H325,""ko"",""en"")"),"Youth Rental 2nd Place")</f>
        <v>Youth Rental 2nd Place</v>
      </c>
      <c r="I325" s="1" t="str">
        <f ca="1">IFERROR(__xludf.DUMMYFUNCTION("GOOGLETRANSLATE('대전도시공사_청년임대주택 현황_20240630'!I325,""ko"",""en"")"),"2000000")</f>
        <v>2000000</v>
      </c>
      <c r="J325" s="1" t="str">
        <f ca="1">IFERROR(__xludf.DUMMYFUNCTION("GOOGLETRANSLATE('대전도시공사_청년임대주택 현황_20240630'!J325,""ko"",""en"")"),"168600")</f>
        <v>168600</v>
      </c>
    </row>
    <row r="326" spans="1:10" ht="12.5" x14ac:dyDescent="0.25">
      <c r="A326" s="1" t="str">
        <f ca="1">IFERROR(__xludf.DUMMYFUNCTION("GOOGLETRANSLATE('대전도시공사_청년임대주택 현황_20240630'!A326,""ko"",""en"")"),"Ojeong-dong 442-18 (CJ Bill, youth rental)")</f>
        <v>Ojeong-dong 442-18 (CJ Bill, youth rental)</v>
      </c>
      <c r="B326" s="1" t="str">
        <f ca="1">IFERROR(__xludf.DUMMYFUNCTION("GOOGLETRANSLATE('대전도시공사_청년임대주택 현황_20240630'!B326,""ko"",""en"")"),"6")</f>
        <v>6</v>
      </c>
      <c r="C326" s="1" t="str">
        <f ca="1">IFERROR(__xludf.DUMMYFUNCTION("GOOGLETRANSLATE('대전도시공사_청년임대주택 현황_20240630'!C326,""ko"",""en"")"),"1")</f>
        <v>1</v>
      </c>
      <c r="D326" s="1" t="str">
        <f ca="1">IFERROR(__xludf.DUMMYFUNCTION("GOOGLETRANSLATE('대전도시공사_청년임대주택 현황_20240630'!D326,""ko"",""en"")"),"203")</f>
        <v>203</v>
      </c>
      <c r="E326" s="1" t="str">
        <f ca="1">IFERROR(__xludf.DUMMYFUNCTION("GOOGLETRANSLATE('대전도시공사_청년임대주택 현황_20240630'!E326,""ko"",""en"")"),"33.01")</f>
        <v>33.01</v>
      </c>
      <c r="F326" s="1" t="str">
        <f ca="1">IFERROR(__xludf.DUMMYFUNCTION("GOOGLETRANSLATE('대전도시공사_청년임대주택 현황_20240630'!F326,""ko"",""en"")"),"26.88")</f>
        <v>26.88</v>
      </c>
      <c r="G326" s="1" t="str">
        <f ca="1">IFERROR(__xludf.DUMMYFUNCTION("GOOGLETRANSLATE('대전도시공사_청년임대주택 현황_20240630'!G326,""ko"",""en"")"),"6.13")</f>
        <v>6.13</v>
      </c>
      <c r="H326" s="1" t="str">
        <f ca="1">IFERROR(__xludf.DUMMYFUNCTION("GOOGLETRANSLATE('대전도시공사_청년임대주택 현황_20240630'!H326,""ko"",""en"")"),"3rd place for youth rental")</f>
        <v>3rd place for youth rental</v>
      </c>
      <c r="I326" s="1" t="str">
        <f ca="1">IFERROR(__xludf.DUMMYFUNCTION("GOOGLETRANSLATE('대전도시공사_청년임대주택 현황_20240630'!I326,""ko"",""en"")"),"2000000")</f>
        <v>2000000</v>
      </c>
      <c r="J326" s="1" t="str">
        <f ca="1">IFERROR(__xludf.DUMMYFUNCTION("GOOGLETRANSLATE('대전도시공사_청년임대주택 현황_20240630'!J326,""ko"",""en"")"),"168600")</f>
        <v>168600</v>
      </c>
    </row>
    <row r="327" spans="1:10" ht="12.5" x14ac:dyDescent="0.25">
      <c r="A327" s="1" t="str">
        <f ca="1">IFERROR(__xludf.DUMMYFUNCTION("GOOGLETRANSLATE('대전도시공사_청년임대주택 현황_20240630'!A327,""ko"",""en"")"),"Ojeong-dong 442-18 (CJ Bill, youth rental)")</f>
        <v>Ojeong-dong 442-18 (CJ Bill, youth rental)</v>
      </c>
      <c r="B327" s="1" t="str">
        <f ca="1">IFERROR(__xludf.DUMMYFUNCTION("GOOGLETRANSLATE('대전도시공사_청년임대주택 현황_20240630'!B327,""ko"",""en"")"),"7")</f>
        <v>7</v>
      </c>
      <c r="C327" s="1" t="str">
        <f ca="1">IFERROR(__xludf.DUMMYFUNCTION("GOOGLETRANSLATE('대전도시공사_청년임대주택 현황_20240630'!C327,""ko"",""en"")"),"1")</f>
        <v>1</v>
      </c>
      <c r="D327" s="1" t="str">
        <f ca="1">IFERROR(__xludf.DUMMYFUNCTION("GOOGLETRANSLATE('대전도시공사_청년임대주택 현황_20240630'!D327,""ko"",""en"")"),"204")</f>
        <v>204</v>
      </c>
      <c r="E327" s="1" t="str">
        <f ca="1">IFERROR(__xludf.DUMMYFUNCTION("GOOGLETRANSLATE('대전도시공사_청년임대주택 현황_20240630'!E327,""ko"",""en"")"),"33.01")</f>
        <v>33.01</v>
      </c>
      <c r="F327" s="1" t="str">
        <f ca="1">IFERROR(__xludf.DUMMYFUNCTION("GOOGLETRANSLATE('대전도시공사_청년임대주택 현황_20240630'!F327,""ko"",""en"")"),"26.88")</f>
        <v>26.88</v>
      </c>
      <c r="G327" s="1" t="str">
        <f ca="1">IFERROR(__xludf.DUMMYFUNCTION("GOOGLETRANSLATE('대전도시공사_청년임대주택 현황_20240630'!G327,""ko"",""en"")"),"6.13")</f>
        <v>6.13</v>
      </c>
      <c r="H327" s="1" t="str">
        <f ca="1">IFERROR(__xludf.DUMMYFUNCTION("GOOGLETRANSLATE('대전도시공사_청년임대주택 현황_20240630'!H327,""ko"",""en"")"),"Youth Rent 1st Place")</f>
        <v>Youth Rent 1st Place</v>
      </c>
      <c r="I327" s="1" t="str">
        <f ca="1">IFERROR(__xludf.DUMMYFUNCTION("GOOGLETRANSLATE('대전도시공사_청년임대주택 현황_20240630'!I327,""ko"",""en"")"),"1000000")</f>
        <v>1000000</v>
      </c>
      <c r="J327" s="1" t="str">
        <f ca="1">IFERROR(__xludf.DUMMYFUNCTION("GOOGLETRANSLATE('대전도시공사_청년임대주택 현황_20240630'!J327,""ko"",""en"")"),"138700")</f>
        <v>138700</v>
      </c>
    </row>
    <row r="328" spans="1:10" ht="12.5" x14ac:dyDescent="0.25">
      <c r="A328" s="1" t="str">
        <f ca="1">IFERROR(__xludf.DUMMYFUNCTION("GOOGLETRANSLATE('대전도시공사_청년임대주택 현황_20240630'!A328,""ko"",""en"")"),"Ojeong-dong 442-18 (CJ Bill, youth rental)")</f>
        <v>Ojeong-dong 442-18 (CJ Bill, youth rental)</v>
      </c>
      <c r="B328" s="1" t="str">
        <f ca="1">IFERROR(__xludf.DUMMYFUNCTION("GOOGLETRANSLATE('대전도시공사_청년임대주택 현황_20240630'!B328,""ko"",""en"")"),"8")</f>
        <v>8</v>
      </c>
      <c r="C328" s="1" t="str">
        <f ca="1">IFERROR(__xludf.DUMMYFUNCTION("GOOGLETRANSLATE('대전도시공사_청년임대주택 현황_20240630'!C328,""ko"",""en"")"),"1")</f>
        <v>1</v>
      </c>
      <c r="D328" s="1" t="str">
        <f ca="1">IFERROR(__xludf.DUMMYFUNCTION("GOOGLETRANSLATE('대전도시공사_청년임대주택 현황_20240630'!D328,""ko"",""en"")"),"204")</f>
        <v>204</v>
      </c>
      <c r="E328" s="1" t="str">
        <f ca="1">IFERROR(__xludf.DUMMYFUNCTION("GOOGLETRANSLATE('대전도시공사_청년임대주택 현황_20240630'!E328,""ko"",""en"")"),"33.01")</f>
        <v>33.01</v>
      </c>
      <c r="F328" s="1" t="str">
        <f ca="1">IFERROR(__xludf.DUMMYFUNCTION("GOOGLETRANSLATE('대전도시공사_청년임대주택 현황_20240630'!F328,""ko"",""en"")"),"26.88")</f>
        <v>26.88</v>
      </c>
      <c r="G328" s="1" t="str">
        <f ca="1">IFERROR(__xludf.DUMMYFUNCTION("GOOGLETRANSLATE('대전도시공사_청년임대주택 현황_20240630'!G328,""ko"",""en"")"),"6.13")</f>
        <v>6.13</v>
      </c>
      <c r="H328" s="1" t="str">
        <f ca="1">IFERROR(__xludf.DUMMYFUNCTION("GOOGLETRANSLATE('대전도시공사_청년임대주택 현황_20240630'!H328,""ko"",""en"")"),"Youth Rental 2nd Place")</f>
        <v>Youth Rental 2nd Place</v>
      </c>
      <c r="I328" s="1" t="str">
        <f ca="1">IFERROR(__xludf.DUMMYFUNCTION("GOOGLETRANSLATE('대전도시공사_청년임대주택 현황_20240630'!I328,""ko"",""en"")"),"2000000")</f>
        <v>2000000</v>
      </c>
      <c r="J328" s="1" t="str">
        <f ca="1">IFERROR(__xludf.DUMMYFUNCTION("GOOGLETRANSLATE('대전도시공사_청년임대주택 현황_20240630'!J328,""ko"",""en"")"),"168600")</f>
        <v>168600</v>
      </c>
    </row>
    <row r="329" spans="1:10" ht="12.5" x14ac:dyDescent="0.25">
      <c r="A329" s="1" t="str">
        <f ca="1">IFERROR(__xludf.DUMMYFUNCTION("GOOGLETRANSLATE('대전도시공사_청년임대주택 현황_20240630'!A329,""ko"",""en"")"),"Ojeong-dong 442-18 (CJ Bill, youth rental)")</f>
        <v>Ojeong-dong 442-18 (CJ Bill, youth rental)</v>
      </c>
      <c r="B329" s="1" t="str">
        <f ca="1">IFERROR(__xludf.DUMMYFUNCTION("GOOGLETRANSLATE('대전도시공사_청년임대주택 현황_20240630'!B329,""ko"",""en"")"),"9")</f>
        <v>9</v>
      </c>
      <c r="C329" s="1" t="str">
        <f ca="1">IFERROR(__xludf.DUMMYFUNCTION("GOOGLETRANSLATE('대전도시공사_청년임대주택 현황_20240630'!C329,""ko"",""en"")"),"1")</f>
        <v>1</v>
      </c>
      <c r="D329" s="1" t="str">
        <f ca="1">IFERROR(__xludf.DUMMYFUNCTION("GOOGLETRANSLATE('대전도시공사_청년임대주택 현황_20240630'!D329,""ko"",""en"")"),"204")</f>
        <v>204</v>
      </c>
      <c r="E329" s="1" t="str">
        <f ca="1">IFERROR(__xludf.DUMMYFUNCTION("GOOGLETRANSLATE('대전도시공사_청년임대주택 현황_20240630'!E329,""ko"",""en"")"),"33.01")</f>
        <v>33.01</v>
      </c>
      <c r="F329" s="1" t="str">
        <f ca="1">IFERROR(__xludf.DUMMYFUNCTION("GOOGLETRANSLATE('대전도시공사_청년임대주택 현황_20240630'!F329,""ko"",""en"")"),"26.88")</f>
        <v>26.88</v>
      </c>
      <c r="G329" s="1" t="str">
        <f ca="1">IFERROR(__xludf.DUMMYFUNCTION("GOOGLETRANSLATE('대전도시공사_청년임대주택 현황_20240630'!G329,""ko"",""en"")"),"6.13")</f>
        <v>6.13</v>
      </c>
      <c r="H329" s="1" t="str">
        <f ca="1">IFERROR(__xludf.DUMMYFUNCTION("GOOGLETRANSLATE('대전도시공사_청년임대주택 현황_20240630'!H329,""ko"",""en"")"),"3rd place for youth rental")</f>
        <v>3rd place for youth rental</v>
      </c>
      <c r="I329" s="1" t="str">
        <f ca="1">IFERROR(__xludf.DUMMYFUNCTION("GOOGLETRANSLATE('대전도시공사_청년임대주택 현황_20240630'!I329,""ko"",""en"")"),"2000000")</f>
        <v>2000000</v>
      </c>
      <c r="J329" s="1" t="str">
        <f ca="1">IFERROR(__xludf.DUMMYFUNCTION("GOOGLETRANSLATE('대전도시공사_청년임대주택 현황_20240630'!J329,""ko"",""en"")"),"168600")</f>
        <v>168600</v>
      </c>
    </row>
    <row r="330" spans="1:10" ht="12.5" x14ac:dyDescent="0.25">
      <c r="A330" s="1" t="str">
        <f ca="1">IFERROR(__xludf.DUMMYFUNCTION("GOOGLETRANSLATE('대전도시공사_청년임대주택 현황_20240630'!A330,""ko"",""en"")"),"Ojeong-dong 442-18 (CJ Bill, youth rental)")</f>
        <v>Ojeong-dong 442-18 (CJ Bill, youth rental)</v>
      </c>
      <c r="B330" s="1" t="str">
        <f ca="1">IFERROR(__xludf.DUMMYFUNCTION("GOOGLETRANSLATE('대전도시공사_청년임대주택 현황_20240630'!B330,""ko"",""en"")"),"10")</f>
        <v>10</v>
      </c>
      <c r="C330" s="1" t="str">
        <f ca="1">IFERROR(__xludf.DUMMYFUNCTION("GOOGLETRANSLATE('대전도시공사_청년임대주택 현황_20240630'!C330,""ko"",""en"")"),"1")</f>
        <v>1</v>
      </c>
      <c r="D330" s="1" t="str">
        <f ca="1">IFERROR(__xludf.DUMMYFUNCTION("GOOGLETRANSLATE('대전도시공사_청년임대주택 현황_20240630'!D330,""ko"",""en"")"),"205")</f>
        <v>205</v>
      </c>
      <c r="E330" s="1" t="str">
        <f ca="1">IFERROR(__xludf.DUMMYFUNCTION("GOOGLETRANSLATE('대전도시공사_청년임대주택 현황_20240630'!E330,""ko"",""en"")"),"32.59")</f>
        <v>32.59</v>
      </c>
      <c r="F330" s="1" t="str">
        <f ca="1">IFERROR(__xludf.DUMMYFUNCTION("GOOGLETRANSLATE('대전도시공사_청년임대주택 현황_20240630'!F330,""ko"",""en"")"),"26.54")</f>
        <v>26.54</v>
      </c>
      <c r="G330" s="1" t="str">
        <f ca="1">IFERROR(__xludf.DUMMYFUNCTION("GOOGLETRANSLATE('대전도시공사_청년임대주택 현황_20240630'!G330,""ko"",""en"")"),"6.05")</f>
        <v>6.05</v>
      </c>
      <c r="H330" s="1" t="str">
        <f ca="1">IFERROR(__xludf.DUMMYFUNCTION("GOOGLETRANSLATE('대전도시공사_청년임대주택 현황_20240630'!H330,""ko"",""en"")"),"Youth Rent 1st Place")</f>
        <v>Youth Rent 1st Place</v>
      </c>
      <c r="I330" s="1" t="str">
        <f ca="1">IFERROR(__xludf.DUMMYFUNCTION("GOOGLETRANSLATE('대전도시공사_청년임대주택 현황_20240630'!I330,""ko"",""en"")"),"1000000")</f>
        <v>1000000</v>
      </c>
      <c r="J330" s="1" t="str">
        <f ca="1">IFERROR(__xludf.DUMMYFUNCTION("GOOGLETRANSLATE('대전도시공사_청년임대주택 현황_20240630'!J330,""ko"",""en"")"),"136900")</f>
        <v>136900</v>
      </c>
    </row>
    <row r="331" spans="1:10" ht="12.5" x14ac:dyDescent="0.25">
      <c r="A331" s="1" t="str">
        <f ca="1">IFERROR(__xludf.DUMMYFUNCTION("GOOGLETRANSLATE('대전도시공사_청년임대주택 현황_20240630'!A331,""ko"",""en"")"),"Ojeong-dong 442-18 (CJ Bill, youth rental)")</f>
        <v>Ojeong-dong 442-18 (CJ Bill, youth rental)</v>
      </c>
      <c r="B331" s="1" t="str">
        <f ca="1">IFERROR(__xludf.DUMMYFUNCTION("GOOGLETRANSLATE('대전도시공사_청년임대주택 현황_20240630'!B331,""ko"",""en"")"),"11")</f>
        <v>11</v>
      </c>
      <c r="C331" s="1" t="str">
        <f ca="1">IFERROR(__xludf.DUMMYFUNCTION("GOOGLETRANSLATE('대전도시공사_청년임대주택 현황_20240630'!C331,""ko"",""en"")"),"1")</f>
        <v>1</v>
      </c>
      <c r="D331" s="1" t="str">
        <f ca="1">IFERROR(__xludf.DUMMYFUNCTION("GOOGLETRANSLATE('대전도시공사_청년임대주택 현황_20240630'!D331,""ko"",""en"")"),"205")</f>
        <v>205</v>
      </c>
      <c r="E331" s="1" t="str">
        <f ca="1">IFERROR(__xludf.DUMMYFUNCTION("GOOGLETRANSLATE('대전도시공사_청년임대주택 현황_20240630'!E331,""ko"",""en"")"),"32.59")</f>
        <v>32.59</v>
      </c>
      <c r="F331" s="1" t="str">
        <f ca="1">IFERROR(__xludf.DUMMYFUNCTION("GOOGLETRANSLATE('대전도시공사_청년임대주택 현황_20240630'!F331,""ko"",""en"")"),"26.54")</f>
        <v>26.54</v>
      </c>
      <c r="G331" s="1" t="str">
        <f ca="1">IFERROR(__xludf.DUMMYFUNCTION("GOOGLETRANSLATE('대전도시공사_청년임대주택 현황_20240630'!G331,""ko"",""en"")"),"6.05")</f>
        <v>6.05</v>
      </c>
      <c r="H331" s="1" t="str">
        <f ca="1">IFERROR(__xludf.DUMMYFUNCTION("GOOGLETRANSLATE('대전도시공사_청년임대주택 현황_20240630'!H331,""ko"",""en"")"),"Youth Rental 2nd Place")</f>
        <v>Youth Rental 2nd Place</v>
      </c>
      <c r="I331" s="1" t="str">
        <f ca="1">IFERROR(__xludf.DUMMYFUNCTION("GOOGLETRANSLATE('대전도시공사_청년임대주택 현황_20240630'!I331,""ko"",""en"")"),"2000000")</f>
        <v>2000000</v>
      </c>
      <c r="J331" s="1" t="str">
        <f ca="1">IFERROR(__xludf.DUMMYFUNCTION("GOOGLETRANSLATE('대전도시공사_청년임대주택 현황_20240630'!J331,""ko"",""en"")"),"166400")</f>
        <v>166400</v>
      </c>
    </row>
    <row r="332" spans="1:10" ht="12.5" x14ac:dyDescent="0.25">
      <c r="A332" s="1" t="str">
        <f ca="1">IFERROR(__xludf.DUMMYFUNCTION("GOOGLETRANSLATE('대전도시공사_청년임대주택 현황_20240630'!A332,""ko"",""en"")"),"Ojeong-dong 442-18 (CJ Bill, youth rental)")</f>
        <v>Ojeong-dong 442-18 (CJ Bill, youth rental)</v>
      </c>
      <c r="B332" s="1" t="str">
        <f ca="1">IFERROR(__xludf.DUMMYFUNCTION("GOOGLETRANSLATE('대전도시공사_청년임대주택 현황_20240630'!B332,""ko"",""en"")"),"12")</f>
        <v>12</v>
      </c>
      <c r="C332" s="1" t="str">
        <f ca="1">IFERROR(__xludf.DUMMYFUNCTION("GOOGLETRANSLATE('대전도시공사_청년임대주택 현황_20240630'!C332,""ko"",""en"")"),"1")</f>
        <v>1</v>
      </c>
      <c r="D332" s="1" t="str">
        <f ca="1">IFERROR(__xludf.DUMMYFUNCTION("GOOGLETRANSLATE('대전도시공사_청년임대주택 현황_20240630'!D332,""ko"",""en"")"),"205")</f>
        <v>205</v>
      </c>
      <c r="E332" s="1" t="str">
        <f ca="1">IFERROR(__xludf.DUMMYFUNCTION("GOOGLETRANSLATE('대전도시공사_청년임대주택 현황_20240630'!E332,""ko"",""en"")"),"32.59")</f>
        <v>32.59</v>
      </c>
      <c r="F332" s="1" t="str">
        <f ca="1">IFERROR(__xludf.DUMMYFUNCTION("GOOGLETRANSLATE('대전도시공사_청년임대주택 현황_20240630'!F332,""ko"",""en"")"),"26.54")</f>
        <v>26.54</v>
      </c>
      <c r="G332" s="1" t="str">
        <f ca="1">IFERROR(__xludf.DUMMYFUNCTION("GOOGLETRANSLATE('대전도시공사_청년임대주택 현황_20240630'!G332,""ko"",""en"")"),"6.05")</f>
        <v>6.05</v>
      </c>
      <c r="H332" s="1" t="str">
        <f ca="1">IFERROR(__xludf.DUMMYFUNCTION("GOOGLETRANSLATE('대전도시공사_청년임대주택 현황_20240630'!H332,""ko"",""en"")"),"3rd place for youth rental")</f>
        <v>3rd place for youth rental</v>
      </c>
      <c r="I332" s="1" t="str">
        <f ca="1">IFERROR(__xludf.DUMMYFUNCTION("GOOGLETRANSLATE('대전도시공사_청년임대주택 현황_20240630'!I332,""ko"",""en"")"),"2000000")</f>
        <v>2000000</v>
      </c>
      <c r="J332" s="1" t="str">
        <f ca="1">IFERROR(__xludf.DUMMYFUNCTION("GOOGLETRANSLATE('대전도시공사_청년임대주택 현황_20240630'!J332,""ko"",""en"")"),"166400")</f>
        <v>166400</v>
      </c>
    </row>
    <row r="333" spans="1:10" ht="12.5" x14ac:dyDescent="0.25">
      <c r="A333" s="1" t="str">
        <f ca="1">IFERROR(__xludf.DUMMYFUNCTION("GOOGLETRANSLATE('대전도시공사_청년임대주택 현황_20240630'!A333,""ko"",""en"")"),"Ojeong-dong 442-18 (CJ Bill, youth rental)")</f>
        <v>Ojeong-dong 442-18 (CJ Bill, youth rental)</v>
      </c>
      <c r="B333" s="1" t="str">
        <f ca="1">IFERROR(__xludf.DUMMYFUNCTION("GOOGLETRANSLATE('대전도시공사_청년임대주택 현황_20240630'!B333,""ko"",""en"")"),"13")</f>
        <v>13</v>
      </c>
      <c r="C333" s="1" t="str">
        <f ca="1">IFERROR(__xludf.DUMMYFUNCTION("GOOGLETRANSLATE('대전도시공사_청년임대주택 현황_20240630'!C333,""ko"",""en"")"),"1")</f>
        <v>1</v>
      </c>
      <c r="D333" s="1" t="str">
        <f ca="1">IFERROR(__xludf.DUMMYFUNCTION("GOOGLETRANSLATE('대전도시공사_청년임대주택 현황_20240630'!D333,""ko"",""en"")"),"206")</f>
        <v>206</v>
      </c>
      <c r="E333" s="1" t="str">
        <f ca="1">IFERROR(__xludf.DUMMYFUNCTION("GOOGLETRANSLATE('대전도시공사_청년임대주택 현황_20240630'!E333,""ko"",""en"")"),"33.79")</f>
        <v>33.79</v>
      </c>
      <c r="F333" s="1" t="str">
        <f ca="1">IFERROR(__xludf.DUMMYFUNCTION("GOOGLETRANSLATE('대전도시공사_청년임대주택 현황_20240630'!F333,""ko"",""en"")"),"27.52")</f>
        <v>27.52</v>
      </c>
      <c r="G333" s="1" t="str">
        <f ca="1">IFERROR(__xludf.DUMMYFUNCTION("GOOGLETRANSLATE('대전도시공사_청년임대주택 현황_20240630'!G333,""ko"",""en"")"),"6.27")</f>
        <v>6.27</v>
      </c>
      <c r="H333" s="1" t="str">
        <f ca="1">IFERROR(__xludf.DUMMYFUNCTION("GOOGLETRANSLATE('대전도시공사_청년임대주택 현황_20240630'!H333,""ko"",""en"")"),"Youth Rent 1st Place")</f>
        <v>Youth Rent 1st Place</v>
      </c>
      <c r="I333" s="1" t="str">
        <f ca="1">IFERROR(__xludf.DUMMYFUNCTION("GOOGLETRANSLATE('대전도시공사_청년임대주택 현황_20240630'!I333,""ko"",""en"")"),"1000000")</f>
        <v>1000000</v>
      </c>
      <c r="J333" s="1" t="str">
        <f ca="1">IFERROR(__xludf.DUMMYFUNCTION("GOOGLETRANSLATE('대전도시공사_청년임대주택 현황_20240630'!J333,""ko"",""en"")"),"137900")</f>
        <v>137900</v>
      </c>
    </row>
    <row r="334" spans="1:10" ht="12.5" x14ac:dyDescent="0.25">
      <c r="A334" s="1" t="str">
        <f ca="1">IFERROR(__xludf.DUMMYFUNCTION("GOOGLETRANSLATE('대전도시공사_청년임대주택 현황_20240630'!A334,""ko"",""en"")"),"Ojeong-dong 442-18 (CJ Bill, youth rental)")</f>
        <v>Ojeong-dong 442-18 (CJ Bill, youth rental)</v>
      </c>
      <c r="B334" s="1" t="str">
        <f ca="1">IFERROR(__xludf.DUMMYFUNCTION("GOOGLETRANSLATE('대전도시공사_청년임대주택 현황_20240630'!B334,""ko"",""en"")"),"14")</f>
        <v>14</v>
      </c>
      <c r="C334" s="1" t="str">
        <f ca="1">IFERROR(__xludf.DUMMYFUNCTION("GOOGLETRANSLATE('대전도시공사_청년임대주택 현황_20240630'!C334,""ko"",""en"")"),"1")</f>
        <v>1</v>
      </c>
      <c r="D334" s="1" t="str">
        <f ca="1">IFERROR(__xludf.DUMMYFUNCTION("GOOGLETRANSLATE('대전도시공사_청년임대주택 현황_20240630'!D334,""ko"",""en"")"),"206")</f>
        <v>206</v>
      </c>
      <c r="E334" s="1" t="str">
        <f ca="1">IFERROR(__xludf.DUMMYFUNCTION("GOOGLETRANSLATE('대전도시공사_청년임대주택 현황_20240630'!E334,""ko"",""en"")"),"33.79")</f>
        <v>33.79</v>
      </c>
      <c r="F334" s="1" t="str">
        <f ca="1">IFERROR(__xludf.DUMMYFUNCTION("GOOGLETRANSLATE('대전도시공사_청년임대주택 현황_20240630'!F334,""ko"",""en"")"),"27.52")</f>
        <v>27.52</v>
      </c>
      <c r="G334" s="1" t="str">
        <f ca="1">IFERROR(__xludf.DUMMYFUNCTION("GOOGLETRANSLATE('대전도시공사_청년임대주택 현황_20240630'!G334,""ko"",""en"")"),"6.27")</f>
        <v>6.27</v>
      </c>
      <c r="H334" s="1" t="str">
        <f ca="1">IFERROR(__xludf.DUMMYFUNCTION("GOOGLETRANSLATE('대전도시공사_청년임대주택 현황_20240630'!H334,""ko"",""en"")"),"Youth Rental 2nd Place")</f>
        <v>Youth Rental 2nd Place</v>
      </c>
      <c r="I334" s="1" t="str">
        <f ca="1">IFERROR(__xludf.DUMMYFUNCTION("GOOGLETRANSLATE('대전도시공사_청년임대주택 현황_20240630'!I334,""ko"",""en"")"),"2000000")</f>
        <v>2000000</v>
      </c>
      <c r="J334" s="1" t="str">
        <f ca="1">IFERROR(__xludf.DUMMYFUNCTION("GOOGLETRANSLATE('대전도시공사_청년임대주택 현황_20240630'!J334,""ko"",""en"")"),"167700")</f>
        <v>167700</v>
      </c>
    </row>
    <row r="335" spans="1:10" ht="12.5" x14ac:dyDescent="0.25">
      <c r="A335" s="1" t="str">
        <f ca="1">IFERROR(__xludf.DUMMYFUNCTION("GOOGLETRANSLATE('대전도시공사_청년임대주택 현황_20240630'!A335,""ko"",""en"")"),"Ojeong-dong 442-18 (CJ Bill, youth rental)")</f>
        <v>Ojeong-dong 442-18 (CJ Bill, youth rental)</v>
      </c>
      <c r="B335" s="1" t="str">
        <f ca="1">IFERROR(__xludf.DUMMYFUNCTION("GOOGLETRANSLATE('대전도시공사_청년임대주택 현황_20240630'!B335,""ko"",""en"")"),"15")</f>
        <v>15</v>
      </c>
      <c r="C335" s="1" t="str">
        <f ca="1">IFERROR(__xludf.DUMMYFUNCTION("GOOGLETRANSLATE('대전도시공사_청년임대주택 현황_20240630'!C335,""ko"",""en"")"),"1")</f>
        <v>1</v>
      </c>
      <c r="D335" s="1" t="str">
        <f ca="1">IFERROR(__xludf.DUMMYFUNCTION("GOOGLETRANSLATE('대전도시공사_청년임대주택 현황_20240630'!D335,""ko"",""en"")"),"206")</f>
        <v>206</v>
      </c>
      <c r="E335" s="1" t="str">
        <f ca="1">IFERROR(__xludf.DUMMYFUNCTION("GOOGLETRANSLATE('대전도시공사_청년임대주택 현황_20240630'!E335,""ko"",""en"")"),"33.79")</f>
        <v>33.79</v>
      </c>
      <c r="F335" s="1" t="str">
        <f ca="1">IFERROR(__xludf.DUMMYFUNCTION("GOOGLETRANSLATE('대전도시공사_청년임대주택 현황_20240630'!F335,""ko"",""en"")"),"27.52")</f>
        <v>27.52</v>
      </c>
      <c r="G335" s="1" t="str">
        <f ca="1">IFERROR(__xludf.DUMMYFUNCTION("GOOGLETRANSLATE('대전도시공사_청년임대주택 현황_20240630'!G335,""ko"",""en"")"),"6.27")</f>
        <v>6.27</v>
      </c>
      <c r="H335" s="1" t="str">
        <f ca="1">IFERROR(__xludf.DUMMYFUNCTION("GOOGLETRANSLATE('대전도시공사_청년임대주택 현황_20240630'!H335,""ko"",""en"")"),"3rd place for youth rental")</f>
        <v>3rd place for youth rental</v>
      </c>
      <c r="I335" s="1" t="str">
        <f ca="1">IFERROR(__xludf.DUMMYFUNCTION("GOOGLETRANSLATE('대전도시공사_청년임대주택 현황_20240630'!I335,""ko"",""en"")"),"2000000")</f>
        <v>2000000</v>
      </c>
      <c r="J335" s="1" t="str">
        <f ca="1">IFERROR(__xludf.DUMMYFUNCTION("GOOGLETRANSLATE('대전도시공사_청년임대주택 현황_20240630'!J335,""ko"",""en"")"),"167700")</f>
        <v>167700</v>
      </c>
    </row>
    <row r="336" spans="1:10" ht="12.5" x14ac:dyDescent="0.25">
      <c r="A336" s="1" t="str">
        <f ca="1">IFERROR(__xludf.DUMMYFUNCTION("GOOGLETRANSLATE('대전도시공사_청년임대주택 현황_20240630'!A336,""ko"",""en"")"),"Ojeong-dong 442-18 (CJ Bill, youth rental)")</f>
        <v>Ojeong-dong 442-18 (CJ Bill, youth rental)</v>
      </c>
      <c r="B336" s="1" t="str">
        <f ca="1">IFERROR(__xludf.DUMMYFUNCTION("GOOGLETRANSLATE('대전도시공사_청년임대주택 현황_20240630'!B336,""ko"",""en"")"),"16")</f>
        <v>16</v>
      </c>
      <c r="C336" s="1" t="str">
        <f ca="1">IFERROR(__xludf.DUMMYFUNCTION("GOOGLETRANSLATE('대전도시공사_청년임대주택 현황_20240630'!C336,""ko"",""en"")"),"1")</f>
        <v>1</v>
      </c>
      <c r="D336" s="1" t="str">
        <f ca="1">IFERROR(__xludf.DUMMYFUNCTION("GOOGLETRANSLATE('대전도시공사_청년임대주택 현황_20240630'!D336,""ko"",""en"")"),"207")</f>
        <v>207</v>
      </c>
      <c r="E336" s="1" t="str">
        <f ca="1">IFERROR(__xludf.DUMMYFUNCTION("GOOGLETRANSLATE('대전도시공사_청년임대주택 현황_20240630'!E336,""ko"",""en"")"),"33.79")</f>
        <v>33.79</v>
      </c>
      <c r="F336" s="1" t="str">
        <f ca="1">IFERROR(__xludf.DUMMYFUNCTION("GOOGLETRANSLATE('대전도시공사_청년임대주택 현황_20240630'!F336,""ko"",""en"")"),"27.52")</f>
        <v>27.52</v>
      </c>
      <c r="G336" s="1" t="str">
        <f ca="1">IFERROR(__xludf.DUMMYFUNCTION("GOOGLETRANSLATE('대전도시공사_청년임대주택 현황_20240630'!G336,""ko"",""en"")"),"6.27")</f>
        <v>6.27</v>
      </c>
      <c r="H336" s="1" t="str">
        <f ca="1">IFERROR(__xludf.DUMMYFUNCTION("GOOGLETRANSLATE('대전도시공사_청년임대주택 현황_20240630'!H336,""ko"",""en"")"),"Youth Rent 1st Place")</f>
        <v>Youth Rent 1st Place</v>
      </c>
      <c r="I336" s="1" t="str">
        <f ca="1">IFERROR(__xludf.DUMMYFUNCTION("GOOGLETRANSLATE('대전도시공사_청년임대주택 현황_20240630'!I336,""ko"",""en"")"),"1000000")</f>
        <v>1000000</v>
      </c>
      <c r="J336" s="1" t="str">
        <f ca="1">IFERROR(__xludf.DUMMYFUNCTION("GOOGLETRANSLATE('대전도시공사_청년임대주택 현황_20240630'!J336,""ko"",""en"")"),"137900")</f>
        <v>137900</v>
      </c>
    </row>
    <row r="337" spans="1:10" ht="12.5" x14ac:dyDescent="0.25">
      <c r="A337" s="1" t="str">
        <f ca="1">IFERROR(__xludf.DUMMYFUNCTION("GOOGLETRANSLATE('대전도시공사_청년임대주택 현황_20240630'!A337,""ko"",""en"")"),"Ojeong-dong 442-18 (CJ Bill, youth rental)")</f>
        <v>Ojeong-dong 442-18 (CJ Bill, youth rental)</v>
      </c>
      <c r="B337" s="1" t="str">
        <f ca="1">IFERROR(__xludf.DUMMYFUNCTION("GOOGLETRANSLATE('대전도시공사_청년임대주택 현황_20240630'!B337,""ko"",""en"")"),"17")</f>
        <v>17</v>
      </c>
      <c r="C337" s="1" t="str">
        <f ca="1">IFERROR(__xludf.DUMMYFUNCTION("GOOGLETRANSLATE('대전도시공사_청년임대주택 현황_20240630'!C337,""ko"",""en"")"),"1")</f>
        <v>1</v>
      </c>
      <c r="D337" s="1" t="str">
        <f ca="1">IFERROR(__xludf.DUMMYFUNCTION("GOOGLETRANSLATE('대전도시공사_청년임대주택 현황_20240630'!D337,""ko"",""en"")"),"207")</f>
        <v>207</v>
      </c>
      <c r="E337" s="1" t="str">
        <f ca="1">IFERROR(__xludf.DUMMYFUNCTION("GOOGLETRANSLATE('대전도시공사_청년임대주택 현황_20240630'!E337,""ko"",""en"")"),"33.79")</f>
        <v>33.79</v>
      </c>
      <c r="F337" s="1" t="str">
        <f ca="1">IFERROR(__xludf.DUMMYFUNCTION("GOOGLETRANSLATE('대전도시공사_청년임대주택 현황_20240630'!F337,""ko"",""en"")"),"27.52")</f>
        <v>27.52</v>
      </c>
      <c r="G337" s="1" t="str">
        <f ca="1">IFERROR(__xludf.DUMMYFUNCTION("GOOGLETRANSLATE('대전도시공사_청년임대주택 현황_20240630'!G337,""ko"",""en"")"),"6.27")</f>
        <v>6.27</v>
      </c>
      <c r="H337" s="1" t="str">
        <f ca="1">IFERROR(__xludf.DUMMYFUNCTION("GOOGLETRANSLATE('대전도시공사_청년임대주택 현황_20240630'!H337,""ko"",""en"")"),"Youth Rental 2nd Place")</f>
        <v>Youth Rental 2nd Place</v>
      </c>
      <c r="I337" s="1" t="str">
        <f ca="1">IFERROR(__xludf.DUMMYFUNCTION("GOOGLETRANSLATE('대전도시공사_청년임대주택 현황_20240630'!I337,""ko"",""en"")"),"2000000")</f>
        <v>2000000</v>
      </c>
      <c r="J337" s="1" t="str">
        <f ca="1">IFERROR(__xludf.DUMMYFUNCTION("GOOGLETRANSLATE('대전도시공사_청년임대주택 현황_20240630'!J337,""ko"",""en"")"),"167700")</f>
        <v>167700</v>
      </c>
    </row>
    <row r="338" spans="1:10" ht="12.5" x14ac:dyDescent="0.25">
      <c r="A338" s="1" t="str">
        <f ca="1">IFERROR(__xludf.DUMMYFUNCTION("GOOGLETRANSLATE('대전도시공사_청년임대주택 현황_20240630'!A338,""ko"",""en"")"),"Ojeong-dong 442-18 (CJ Bill, youth rental)")</f>
        <v>Ojeong-dong 442-18 (CJ Bill, youth rental)</v>
      </c>
      <c r="B338" s="1" t="str">
        <f ca="1">IFERROR(__xludf.DUMMYFUNCTION("GOOGLETRANSLATE('대전도시공사_청년임대주택 현황_20240630'!B338,""ko"",""en"")"),"18")</f>
        <v>18</v>
      </c>
      <c r="C338" s="1" t="str">
        <f ca="1">IFERROR(__xludf.DUMMYFUNCTION("GOOGLETRANSLATE('대전도시공사_청년임대주택 현황_20240630'!C338,""ko"",""en"")"),"1")</f>
        <v>1</v>
      </c>
      <c r="D338" s="1" t="str">
        <f ca="1">IFERROR(__xludf.DUMMYFUNCTION("GOOGLETRANSLATE('대전도시공사_청년임대주택 현황_20240630'!D338,""ko"",""en"")"),"207")</f>
        <v>207</v>
      </c>
      <c r="E338" s="1" t="str">
        <f ca="1">IFERROR(__xludf.DUMMYFUNCTION("GOOGLETRANSLATE('대전도시공사_청년임대주택 현황_20240630'!E338,""ko"",""en"")"),"33.79")</f>
        <v>33.79</v>
      </c>
      <c r="F338" s="1" t="str">
        <f ca="1">IFERROR(__xludf.DUMMYFUNCTION("GOOGLETRANSLATE('대전도시공사_청년임대주택 현황_20240630'!F338,""ko"",""en"")"),"27.52")</f>
        <v>27.52</v>
      </c>
      <c r="G338" s="1" t="str">
        <f ca="1">IFERROR(__xludf.DUMMYFUNCTION("GOOGLETRANSLATE('대전도시공사_청년임대주택 현황_20240630'!G338,""ko"",""en"")"),"6.27")</f>
        <v>6.27</v>
      </c>
      <c r="H338" s="1" t="str">
        <f ca="1">IFERROR(__xludf.DUMMYFUNCTION("GOOGLETRANSLATE('대전도시공사_청년임대주택 현황_20240630'!H338,""ko"",""en"")"),"3rd place for youth rental")</f>
        <v>3rd place for youth rental</v>
      </c>
      <c r="I338" s="1" t="str">
        <f ca="1">IFERROR(__xludf.DUMMYFUNCTION("GOOGLETRANSLATE('대전도시공사_청년임대주택 현황_20240630'!I338,""ko"",""en"")"),"2000000")</f>
        <v>2000000</v>
      </c>
      <c r="J338" s="1" t="str">
        <f ca="1">IFERROR(__xludf.DUMMYFUNCTION("GOOGLETRANSLATE('대전도시공사_청년임대주택 현황_20240630'!J338,""ko"",""en"")"),"167700")</f>
        <v>167700</v>
      </c>
    </row>
    <row r="339" spans="1:10" ht="12.5" x14ac:dyDescent="0.25">
      <c r="A339" s="1" t="str">
        <f ca="1">IFERROR(__xludf.DUMMYFUNCTION("GOOGLETRANSLATE('대전도시공사_청년임대주택 현황_20240630'!A339,""ko"",""en"")"),"Ojeong-dong 442-18 (CJ Bill, youth rental)")</f>
        <v>Ojeong-dong 442-18 (CJ Bill, youth rental)</v>
      </c>
      <c r="B339" s="1" t="str">
        <f ca="1">IFERROR(__xludf.DUMMYFUNCTION("GOOGLETRANSLATE('대전도시공사_청년임대주택 현황_20240630'!B339,""ko"",""en"")"),"19")</f>
        <v>19</v>
      </c>
      <c r="C339" s="1" t="str">
        <f ca="1">IFERROR(__xludf.DUMMYFUNCTION("GOOGLETRANSLATE('대전도시공사_청년임대주택 현황_20240630'!C339,""ko"",""en"")"),"1")</f>
        <v>1</v>
      </c>
      <c r="D339" s="1" t="str">
        <f ca="1">IFERROR(__xludf.DUMMYFUNCTION("GOOGLETRANSLATE('대전도시공사_청년임대주택 현황_20240630'!D339,""ko"",""en"")"),"301")</f>
        <v>301</v>
      </c>
      <c r="E339" s="1" t="str">
        <f ca="1">IFERROR(__xludf.DUMMYFUNCTION("GOOGLETRANSLATE('대전도시공사_청년임대주택 현황_20240630'!E339,""ko"",""en"")"),"33.79")</f>
        <v>33.79</v>
      </c>
      <c r="F339" s="1" t="str">
        <f ca="1">IFERROR(__xludf.DUMMYFUNCTION("GOOGLETRANSLATE('대전도시공사_청년임대주택 현황_20240630'!F339,""ko"",""en"")"),"27.52")</f>
        <v>27.52</v>
      </c>
      <c r="G339" s="1" t="str">
        <f ca="1">IFERROR(__xludf.DUMMYFUNCTION("GOOGLETRANSLATE('대전도시공사_청년임대주택 현황_20240630'!G339,""ko"",""en"")"),"6.27")</f>
        <v>6.27</v>
      </c>
      <c r="H339" s="1" t="str">
        <f ca="1">IFERROR(__xludf.DUMMYFUNCTION("GOOGLETRANSLATE('대전도시공사_청년임대주택 현황_20240630'!H339,""ko"",""en"")"),"Youth Rent 1st Place")</f>
        <v>Youth Rent 1st Place</v>
      </c>
      <c r="I339" s="1" t="str">
        <f ca="1">IFERROR(__xludf.DUMMYFUNCTION("GOOGLETRANSLATE('대전도시공사_청년임대주택 현황_20240630'!I339,""ko"",""en"")"),"1000000")</f>
        <v>1000000</v>
      </c>
      <c r="J339" s="1" t="str">
        <f ca="1">IFERROR(__xludf.DUMMYFUNCTION("GOOGLETRANSLATE('대전도시공사_청년임대주택 현황_20240630'!J339,""ko"",""en"")"),"142100")</f>
        <v>142100</v>
      </c>
    </row>
    <row r="340" spans="1:10" ht="12.5" x14ac:dyDescent="0.25">
      <c r="A340" s="1" t="str">
        <f ca="1">IFERROR(__xludf.DUMMYFUNCTION("GOOGLETRANSLATE('대전도시공사_청년임대주택 현황_20240630'!A340,""ko"",""en"")"),"Ojeong-dong 442-18 (CJ Bill, youth rental)")</f>
        <v>Ojeong-dong 442-18 (CJ Bill, youth rental)</v>
      </c>
      <c r="B340" s="1" t="str">
        <f ca="1">IFERROR(__xludf.DUMMYFUNCTION("GOOGLETRANSLATE('대전도시공사_청년임대주택 현황_20240630'!B340,""ko"",""en"")"),"20")</f>
        <v>20</v>
      </c>
      <c r="C340" s="1" t="str">
        <f ca="1">IFERROR(__xludf.DUMMYFUNCTION("GOOGLETRANSLATE('대전도시공사_청년임대주택 현황_20240630'!C340,""ko"",""en"")"),"1")</f>
        <v>1</v>
      </c>
      <c r="D340" s="1" t="str">
        <f ca="1">IFERROR(__xludf.DUMMYFUNCTION("GOOGLETRANSLATE('대전도시공사_청년임대주택 현황_20240630'!D340,""ko"",""en"")"),"301")</f>
        <v>301</v>
      </c>
      <c r="E340" s="1" t="str">
        <f ca="1">IFERROR(__xludf.DUMMYFUNCTION("GOOGLETRANSLATE('대전도시공사_청년임대주택 현황_20240630'!E340,""ko"",""en"")"),"33.79")</f>
        <v>33.79</v>
      </c>
      <c r="F340" s="1" t="str">
        <f ca="1">IFERROR(__xludf.DUMMYFUNCTION("GOOGLETRANSLATE('대전도시공사_청년임대주택 현황_20240630'!F340,""ko"",""en"")"),"27.52")</f>
        <v>27.52</v>
      </c>
      <c r="G340" s="1" t="str">
        <f ca="1">IFERROR(__xludf.DUMMYFUNCTION("GOOGLETRANSLATE('대전도시공사_청년임대주택 현황_20240630'!G340,""ko"",""en"")"),"6.27")</f>
        <v>6.27</v>
      </c>
      <c r="H340" s="1" t="str">
        <f ca="1">IFERROR(__xludf.DUMMYFUNCTION("GOOGLETRANSLATE('대전도시공사_청년임대주택 현황_20240630'!H340,""ko"",""en"")"),"Youth Rental 2nd Place")</f>
        <v>Youth Rental 2nd Place</v>
      </c>
      <c r="I340" s="1" t="str">
        <f ca="1">IFERROR(__xludf.DUMMYFUNCTION("GOOGLETRANSLATE('대전도시공사_청년임대주택 현황_20240630'!I340,""ko"",""en"")"),"2000000")</f>
        <v>2000000</v>
      </c>
      <c r="J340" s="1" t="str">
        <f ca="1">IFERROR(__xludf.DUMMYFUNCTION("GOOGLETRANSLATE('대전도시공사_청년임대주택 현황_20240630'!J340,""ko"",""en"")"),"172900")</f>
        <v>172900</v>
      </c>
    </row>
    <row r="341" spans="1:10" ht="12.5" x14ac:dyDescent="0.25">
      <c r="A341" s="1" t="str">
        <f ca="1">IFERROR(__xludf.DUMMYFUNCTION("GOOGLETRANSLATE('대전도시공사_청년임대주택 현황_20240630'!A341,""ko"",""en"")"),"Ojeong-dong 442-18 (CJ Bill, youth rental)")</f>
        <v>Ojeong-dong 442-18 (CJ Bill, youth rental)</v>
      </c>
      <c r="B341" s="1" t="str">
        <f ca="1">IFERROR(__xludf.DUMMYFUNCTION("GOOGLETRANSLATE('대전도시공사_청년임대주택 현황_20240630'!B341,""ko"",""en"")"),"21")</f>
        <v>21</v>
      </c>
      <c r="C341" s="1" t="str">
        <f ca="1">IFERROR(__xludf.DUMMYFUNCTION("GOOGLETRANSLATE('대전도시공사_청년임대주택 현황_20240630'!C341,""ko"",""en"")"),"1")</f>
        <v>1</v>
      </c>
      <c r="D341" s="1" t="str">
        <f ca="1">IFERROR(__xludf.DUMMYFUNCTION("GOOGLETRANSLATE('대전도시공사_청년임대주택 현황_20240630'!D341,""ko"",""en"")"),"301")</f>
        <v>301</v>
      </c>
      <c r="E341" s="1" t="str">
        <f ca="1">IFERROR(__xludf.DUMMYFUNCTION("GOOGLETRANSLATE('대전도시공사_청년임대주택 현황_20240630'!E341,""ko"",""en"")"),"33.79")</f>
        <v>33.79</v>
      </c>
      <c r="F341" s="1" t="str">
        <f ca="1">IFERROR(__xludf.DUMMYFUNCTION("GOOGLETRANSLATE('대전도시공사_청년임대주택 현황_20240630'!F341,""ko"",""en"")"),"27.52")</f>
        <v>27.52</v>
      </c>
      <c r="G341" s="1" t="str">
        <f ca="1">IFERROR(__xludf.DUMMYFUNCTION("GOOGLETRANSLATE('대전도시공사_청년임대주택 현황_20240630'!G341,""ko"",""en"")"),"6.27")</f>
        <v>6.27</v>
      </c>
      <c r="H341" s="1" t="str">
        <f ca="1">IFERROR(__xludf.DUMMYFUNCTION("GOOGLETRANSLATE('대전도시공사_청년임대주택 현황_20240630'!H341,""ko"",""en"")"),"3rd place for youth rental")</f>
        <v>3rd place for youth rental</v>
      </c>
      <c r="I341" s="1" t="str">
        <f ca="1">IFERROR(__xludf.DUMMYFUNCTION("GOOGLETRANSLATE('대전도시공사_청년임대주택 현황_20240630'!I341,""ko"",""en"")"),"2000000")</f>
        <v>2000000</v>
      </c>
      <c r="J341" s="1" t="str">
        <f ca="1">IFERROR(__xludf.DUMMYFUNCTION("GOOGLETRANSLATE('대전도시공사_청년임대주택 현황_20240630'!J341,""ko"",""en"")"),"172900")</f>
        <v>172900</v>
      </c>
    </row>
    <row r="342" spans="1:10" ht="12.5" x14ac:dyDescent="0.25">
      <c r="A342" s="1" t="str">
        <f ca="1">IFERROR(__xludf.DUMMYFUNCTION("GOOGLETRANSLATE('대전도시공사_청년임대주택 현황_20240630'!A342,""ko"",""en"")"),"Ojeong-dong 442-18 (CJ Bill, youth rental)")</f>
        <v>Ojeong-dong 442-18 (CJ Bill, youth rental)</v>
      </c>
      <c r="B342" s="1" t="str">
        <f ca="1">IFERROR(__xludf.DUMMYFUNCTION("GOOGLETRANSLATE('대전도시공사_청년임대주택 현황_20240630'!B342,""ko"",""en"")"),"22")</f>
        <v>22</v>
      </c>
      <c r="C342" s="1" t="str">
        <f ca="1">IFERROR(__xludf.DUMMYFUNCTION("GOOGLETRANSLATE('대전도시공사_청년임대주택 현황_20240630'!C342,""ko"",""en"")"),"1")</f>
        <v>1</v>
      </c>
      <c r="D342" s="1" t="str">
        <f ca="1">IFERROR(__xludf.DUMMYFUNCTION("GOOGLETRANSLATE('대전도시공사_청년임대주택 현황_20240630'!D342,""ko"",""en"")"),"302")</f>
        <v>302</v>
      </c>
      <c r="E342" s="1" t="str">
        <f ca="1">IFERROR(__xludf.DUMMYFUNCTION("GOOGLETRANSLATE('대전도시공사_청년임대주택 현황_20240630'!E342,""ko"",""en"")"),"33.79")</f>
        <v>33.79</v>
      </c>
      <c r="F342" s="1" t="str">
        <f ca="1">IFERROR(__xludf.DUMMYFUNCTION("GOOGLETRANSLATE('대전도시공사_청년임대주택 현황_20240630'!F342,""ko"",""en"")"),"27.52")</f>
        <v>27.52</v>
      </c>
      <c r="G342" s="1" t="str">
        <f ca="1">IFERROR(__xludf.DUMMYFUNCTION("GOOGLETRANSLATE('대전도시공사_청년임대주택 현황_20240630'!G342,""ko"",""en"")"),"6.27")</f>
        <v>6.27</v>
      </c>
      <c r="H342" s="1" t="str">
        <f ca="1">IFERROR(__xludf.DUMMYFUNCTION("GOOGLETRANSLATE('대전도시공사_청년임대주택 현황_20240630'!H342,""ko"",""en"")"),"Youth Rent 1st Place")</f>
        <v>Youth Rent 1st Place</v>
      </c>
      <c r="I342" s="1" t="str">
        <f ca="1">IFERROR(__xludf.DUMMYFUNCTION("GOOGLETRANSLATE('대전도시공사_청년임대주택 현황_20240630'!I342,""ko"",""en"")"),"1000000")</f>
        <v>1000000</v>
      </c>
      <c r="J342" s="1" t="str">
        <f ca="1">IFERROR(__xludf.DUMMYFUNCTION("GOOGLETRANSLATE('대전도시공사_청년임대주택 현황_20240630'!J342,""ko"",""en"")"),"143600")</f>
        <v>143600</v>
      </c>
    </row>
    <row r="343" spans="1:10" ht="12.5" x14ac:dyDescent="0.25">
      <c r="A343" s="1" t="str">
        <f ca="1">IFERROR(__xludf.DUMMYFUNCTION("GOOGLETRANSLATE('대전도시공사_청년임대주택 현황_20240630'!A343,""ko"",""en"")"),"Ojeong-dong 442-18 (CJ Bill, youth rental)")</f>
        <v>Ojeong-dong 442-18 (CJ Bill, youth rental)</v>
      </c>
      <c r="B343" s="1" t="str">
        <f ca="1">IFERROR(__xludf.DUMMYFUNCTION("GOOGLETRANSLATE('대전도시공사_청년임대주택 현황_20240630'!B343,""ko"",""en"")"),"23")</f>
        <v>23</v>
      </c>
      <c r="C343" s="1" t="str">
        <f ca="1">IFERROR(__xludf.DUMMYFUNCTION("GOOGLETRANSLATE('대전도시공사_청년임대주택 현황_20240630'!C343,""ko"",""en"")"),"1")</f>
        <v>1</v>
      </c>
      <c r="D343" s="1" t="str">
        <f ca="1">IFERROR(__xludf.DUMMYFUNCTION("GOOGLETRANSLATE('대전도시공사_청년임대주택 현황_20240630'!D343,""ko"",""en"")"),"302")</f>
        <v>302</v>
      </c>
      <c r="E343" s="1" t="str">
        <f ca="1">IFERROR(__xludf.DUMMYFUNCTION("GOOGLETRANSLATE('대전도시공사_청년임대주택 현황_20240630'!E343,""ko"",""en"")"),"33.79")</f>
        <v>33.79</v>
      </c>
      <c r="F343" s="1" t="str">
        <f ca="1">IFERROR(__xludf.DUMMYFUNCTION("GOOGLETRANSLATE('대전도시공사_청년임대주택 현황_20240630'!F343,""ko"",""en"")"),"27.52")</f>
        <v>27.52</v>
      </c>
      <c r="G343" s="1" t="str">
        <f ca="1">IFERROR(__xludf.DUMMYFUNCTION("GOOGLETRANSLATE('대전도시공사_청년임대주택 현황_20240630'!G343,""ko"",""en"")"),"6.27")</f>
        <v>6.27</v>
      </c>
      <c r="H343" s="1" t="str">
        <f ca="1">IFERROR(__xludf.DUMMYFUNCTION("GOOGLETRANSLATE('대전도시공사_청년임대주택 현황_20240630'!H343,""ko"",""en"")"),"Youth Rental 2nd Place")</f>
        <v>Youth Rental 2nd Place</v>
      </c>
      <c r="I343" s="1" t="str">
        <f ca="1">IFERROR(__xludf.DUMMYFUNCTION("GOOGLETRANSLATE('대전도시공사_청년임대주택 현황_20240630'!I343,""ko"",""en"")"),"2000000")</f>
        <v>2000000</v>
      </c>
      <c r="J343" s="1" t="str">
        <f ca="1">IFERROR(__xludf.DUMMYFUNCTION("GOOGLETRANSLATE('대전도시공사_청년임대주택 현황_20240630'!J343,""ko"",""en"")"),"174800")</f>
        <v>174800</v>
      </c>
    </row>
    <row r="344" spans="1:10" ht="12.5" x14ac:dyDescent="0.25">
      <c r="A344" s="1" t="str">
        <f ca="1">IFERROR(__xludf.DUMMYFUNCTION("GOOGLETRANSLATE('대전도시공사_청년임대주택 현황_20240630'!A344,""ko"",""en"")"),"Ojeong-dong 442-18 (CJ Bill, youth rental)")</f>
        <v>Ojeong-dong 442-18 (CJ Bill, youth rental)</v>
      </c>
      <c r="B344" s="1" t="str">
        <f ca="1">IFERROR(__xludf.DUMMYFUNCTION("GOOGLETRANSLATE('대전도시공사_청년임대주택 현황_20240630'!B344,""ko"",""en"")"),"24")</f>
        <v>24</v>
      </c>
      <c r="C344" s="1" t="str">
        <f ca="1">IFERROR(__xludf.DUMMYFUNCTION("GOOGLETRANSLATE('대전도시공사_청년임대주택 현황_20240630'!C344,""ko"",""en"")"),"1")</f>
        <v>1</v>
      </c>
      <c r="D344" s="1" t="str">
        <f ca="1">IFERROR(__xludf.DUMMYFUNCTION("GOOGLETRANSLATE('대전도시공사_청년임대주택 현황_20240630'!D344,""ko"",""en"")"),"302")</f>
        <v>302</v>
      </c>
      <c r="E344" s="1" t="str">
        <f ca="1">IFERROR(__xludf.DUMMYFUNCTION("GOOGLETRANSLATE('대전도시공사_청년임대주택 현황_20240630'!E344,""ko"",""en"")"),"33.79")</f>
        <v>33.79</v>
      </c>
      <c r="F344" s="1" t="str">
        <f ca="1">IFERROR(__xludf.DUMMYFUNCTION("GOOGLETRANSLATE('대전도시공사_청년임대주택 현황_20240630'!F344,""ko"",""en"")"),"27.52")</f>
        <v>27.52</v>
      </c>
      <c r="G344" s="1" t="str">
        <f ca="1">IFERROR(__xludf.DUMMYFUNCTION("GOOGLETRANSLATE('대전도시공사_청년임대주택 현황_20240630'!G344,""ko"",""en"")"),"6.27")</f>
        <v>6.27</v>
      </c>
      <c r="H344" s="1" t="str">
        <f ca="1">IFERROR(__xludf.DUMMYFUNCTION("GOOGLETRANSLATE('대전도시공사_청년임대주택 현황_20240630'!H344,""ko"",""en"")"),"3rd place for youth rental")</f>
        <v>3rd place for youth rental</v>
      </c>
      <c r="I344" s="1" t="str">
        <f ca="1">IFERROR(__xludf.DUMMYFUNCTION("GOOGLETRANSLATE('대전도시공사_청년임대주택 현황_20240630'!I344,""ko"",""en"")"),"2000000")</f>
        <v>2000000</v>
      </c>
      <c r="J344" s="1" t="str">
        <f ca="1">IFERROR(__xludf.DUMMYFUNCTION("GOOGLETRANSLATE('대전도시공사_청년임대주택 현황_20240630'!J344,""ko"",""en"")"),"174800")</f>
        <v>174800</v>
      </c>
    </row>
    <row r="345" spans="1:10" ht="12.5" x14ac:dyDescent="0.25">
      <c r="A345" s="1" t="str">
        <f ca="1">IFERROR(__xludf.DUMMYFUNCTION("GOOGLETRANSLATE('대전도시공사_청년임대주택 현황_20240630'!A345,""ko"",""en"")"),"Ojeong-dong 442-18 (CJ Bill, youth rental)")</f>
        <v>Ojeong-dong 442-18 (CJ Bill, youth rental)</v>
      </c>
      <c r="B345" s="1" t="str">
        <f ca="1">IFERROR(__xludf.DUMMYFUNCTION("GOOGLETRANSLATE('대전도시공사_청년임대주택 현황_20240630'!B345,""ko"",""en"")"),"25")</f>
        <v>25</v>
      </c>
      <c r="C345" s="1" t="str">
        <f ca="1">IFERROR(__xludf.DUMMYFUNCTION("GOOGLETRANSLATE('대전도시공사_청년임대주택 현황_20240630'!C345,""ko"",""en"")"),"1")</f>
        <v>1</v>
      </c>
      <c r="D345" s="1" t="str">
        <f ca="1">IFERROR(__xludf.DUMMYFUNCTION("GOOGLETRANSLATE('대전도시공사_청년임대주택 현황_20240630'!D345,""ko"",""en"")"),"303")</f>
        <v>303</v>
      </c>
      <c r="E345" s="1" t="str">
        <f ca="1">IFERROR(__xludf.DUMMYFUNCTION("GOOGLETRANSLATE('대전도시공사_청년임대주택 현황_20240630'!E345,""ko"",""en"")"),"33.01")</f>
        <v>33.01</v>
      </c>
      <c r="F345" s="1" t="str">
        <f ca="1">IFERROR(__xludf.DUMMYFUNCTION("GOOGLETRANSLATE('대전도시공사_청년임대주택 현황_20240630'!F345,""ko"",""en"")"),"26.88")</f>
        <v>26.88</v>
      </c>
      <c r="G345" s="1" t="str">
        <f ca="1">IFERROR(__xludf.DUMMYFUNCTION("GOOGLETRANSLATE('대전도시공사_청년임대주택 현황_20240630'!G345,""ko"",""en"")"),"6.13")</f>
        <v>6.13</v>
      </c>
      <c r="H345" s="1" t="str">
        <f ca="1">IFERROR(__xludf.DUMMYFUNCTION("GOOGLETRANSLATE('대전도시공사_청년임대주택 현황_20240630'!H345,""ko"",""en"")"),"Youth Rent 1st Place")</f>
        <v>Youth Rent 1st Place</v>
      </c>
      <c r="I345" s="1" t="str">
        <f ca="1">IFERROR(__xludf.DUMMYFUNCTION("GOOGLETRANSLATE('대전도시공사_청년임대주택 현황_20240630'!I345,""ko"",""en"")"),"1000000")</f>
        <v>1000000</v>
      </c>
      <c r="J345" s="1" t="str">
        <f ca="1">IFERROR(__xludf.DUMMYFUNCTION("GOOGLETRANSLATE('대전도시공사_청년임대주택 현황_20240630'!J345,""ko"",""en"")"),"138700")</f>
        <v>138700</v>
      </c>
    </row>
    <row r="346" spans="1:10" ht="12.5" x14ac:dyDescent="0.25">
      <c r="A346" s="1" t="str">
        <f ca="1">IFERROR(__xludf.DUMMYFUNCTION("GOOGLETRANSLATE('대전도시공사_청년임대주택 현황_20240630'!A346,""ko"",""en"")"),"Ojeong-dong 442-18 (CJ Bill, youth rental)")</f>
        <v>Ojeong-dong 442-18 (CJ Bill, youth rental)</v>
      </c>
      <c r="B346" s="1" t="str">
        <f ca="1">IFERROR(__xludf.DUMMYFUNCTION("GOOGLETRANSLATE('대전도시공사_청년임대주택 현황_20240630'!B346,""ko"",""en"")"),"26")</f>
        <v>26</v>
      </c>
      <c r="C346" s="1" t="str">
        <f ca="1">IFERROR(__xludf.DUMMYFUNCTION("GOOGLETRANSLATE('대전도시공사_청년임대주택 현황_20240630'!C346,""ko"",""en"")"),"1")</f>
        <v>1</v>
      </c>
      <c r="D346" s="1" t="str">
        <f ca="1">IFERROR(__xludf.DUMMYFUNCTION("GOOGLETRANSLATE('대전도시공사_청년임대주택 현황_20240630'!D346,""ko"",""en"")"),"303")</f>
        <v>303</v>
      </c>
      <c r="E346" s="1" t="str">
        <f ca="1">IFERROR(__xludf.DUMMYFUNCTION("GOOGLETRANSLATE('대전도시공사_청년임대주택 현황_20240630'!E346,""ko"",""en"")"),"33.01")</f>
        <v>33.01</v>
      </c>
      <c r="F346" s="1" t="str">
        <f ca="1">IFERROR(__xludf.DUMMYFUNCTION("GOOGLETRANSLATE('대전도시공사_청년임대주택 현황_20240630'!F346,""ko"",""en"")"),"26.88")</f>
        <v>26.88</v>
      </c>
      <c r="G346" s="1" t="str">
        <f ca="1">IFERROR(__xludf.DUMMYFUNCTION("GOOGLETRANSLATE('대전도시공사_청년임대주택 현황_20240630'!G346,""ko"",""en"")"),"6.13")</f>
        <v>6.13</v>
      </c>
      <c r="H346" s="1" t="str">
        <f ca="1">IFERROR(__xludf.DUMMYFUNCTION("GOOGLETRANSLATE('대전도시공사_청년임대주택 현황_20240630'!H346,""ko"",""en"")"),"Youth Rental 2nd Place")</f>
        <v>Youth Rental 2nd Place</v>
      </c>
      <c r="I346" s="1" t="str">
        <f ca="1">IFERROR(__xludf.DUMMYFUNCTION("GOOGLETRANSLATE('대전도시공사_청년임대주택 현황_20240630'!I346,""ko"",""en"")"),"2000000")</f>
        <v>2000000</v>
      </c>
      <c r="J346" s="1" t="str">
        <f ca="1">IFERROR(__xludf.DUMMYFUNCTION("GOOGLETRANSLATE('대전도시공사_청년임대주택 현황_20240630'!J346,""ko"",""en"")"),"168600")</f>
        <v>168600</v>
      </c>
    </row>
    <row r="347" spans="1:10" ht="12.5" x14ac:dyDescent="0.25">
      <c r="A347" s="1" t="str">
        <f ca="1">IFERROR(__xludf.DUMMYFUNCTION("GOOGLETRANSLATE('대전도시공사_청년임대주택 현황_20240630'!A347,""ko"",""en"")"),"Ojeong-dong 442-18 (CJ Bill, youth rental)")</f>
        <v>Ojeong-dong 442-18 (CJ Bill, youth rental)</v>
      </c>
      <c r="B347" s="1" t="str">
        <f ca="1">IFERROR(__xludf.DUMMYFUNCTION("GOOGLETRANSLATE('대전도시공사_청년임대주택 현황_20240630'!B347,""ko"",""en"")"),"27")</f>
        <v>27</v>
      </c>
      <c r="C347" s="1" t="str">
        <f ca="1">IFERROR(__xludf.DUMMYFUNCTION("GOOGLETRANSLATE('대전도시공사_청년임대주택 현황_20240630'!C347,""ko"",""en"")"),"1")</f>
        <v>1</v>
      </c>
      <c r="D347" s="1" t="str">
        <f ca="1">IFERROR(__xludf.DUMMYFUNCTION("GOOGLETRANSLATE('대전도시공사_청년임대주택 현황_20240630'!D347,""ko"",""en"")"),"303")</f>
        <v>303</v>
      </c>
      <c r="E347" s="1" t="str">
        <f ca="1">IFERROR(__xludf.DUMMYFUNCTION("GOOGLETRANSLATE('대전도시공사_청년임대주택 현황_20240630'!E347,""ko"",""en"")"),"33.01")</f>
        <v>33.01</v>
      </c>
      <c r="F347" s="1" t="str">
        <f ca="1">IFERROR(__xludf.DUMMYFUNCTION("GOOGLETRANSLATE('대전도시공사_청년임대주택 현황_20240630'!F347,""ko"",""en"")"),"26.88")</f>
        <v>26.88</v>
      </c>
      <c r="G347" s="1" t="str">
        <f ca="1">IFERROR(__xludf.DUMMYFUNCTION("GOOGLETRANSLATE('대전도시공사_청년임대주택 현황_20240630'!G347,""ko"",""en"")"),"6.13")</f>
        <v>6.13</v>
      </c>
      <c r="H347" s="1" t="str">
        <f ca="1">IFERROR(__xludf.DUMMYFUNCTION("GOOGLETRANSLATE('대전도시공사_청년임대주택 현황_20240630'!H347,""ko"",""en"")"),"3rd place for youth rental")</f>
        <v>3rd place for youth rental</v>
      </c>
      <c r="I347" s="1" t="str">
        <f ca="1">IFERROR(__xludf.DUMMYFUNCTION("GOOGLETRANSLATE('대전도시공사_청년임대주택 현황_20240630'!I347,""ko"",""en"")"),"2000000")</f>
        <v>2000000</v>
      </c>
      <c r="J347" s="1" t="str">
        <f ca="1">IFERROR(__xludf.DUMMYFUNCTION("GOOGLETRANSLATE('대전도시공사_청년임대주택 현황_20240630'!J347,""ko"",""en"")"),"168600")</f>
        <v>168600</v>
      </c>
    </row>
    <row r="348" spans="1:10" ht="12.5" x14ac:dyDescent="0.25">
      <c r="A348" s="1" t="str">
        <f ca="1">IFERROR(__xludf.DUMMYFUNCTION("GOOGLETRANSLATE('대전도시공사_청년임대주택 현황_20240630'!A348,""ko"",""en"")"),"Ojeong-dong 442-18 (CJ Bill, youth rental)")</f>
        <v>Ojeong-dong 442-18 (CJ Bill, youth rental)</v>
      </c>
      <c r="B348" s="1" t="str">
        <f ca="1">IFERROR(__xludf.DUMMYFUNCTION("GOOGLETRANSLATE('대전도시공사_청년임대주택 현황_20240630'!B348,""ko"",""en"")"),"28")</f>
        <v>28</v>
      </c>
      <c r="C348" s="1" t="str">
        <f ca="1">IFERROR(__xludf.DUMMYFUNCTION("GOOGLETRANSLATE('대전도시공사_청년임대주택 현황_20240630'!C348,""ko"",""en"")"),"1")</f>
        <v>1</v>
      </c>
      <c r="D348" s="1" t="str">
        <f ca="1">IFERROR(__xludf.DUMMYFUNCTION("GOOGLETRANSLATE('대전도시공사_청년임대주택 현황_20240630'!D348,""ko"",""en"")"),"304")</f>
        <v>304</v>
      </c>
      <c r="E348" s="1" t="str">
        <f ca="1">IFERROR(__xludf.DUMMYFUNCTION("GOOGLETRANSLATE('대전도시공사_청년임대주택 현황_20240630'!E348,""ko"",""en"")"),"33.01")</f>
        <v>33.01</v>
      </c>
      <c r="F348" s="1" t="str">
        <f ca="1">IFERROR(__xludf.DUMMYFUNCTION("GOOGLETRANSLATE('대전도시공사_청년임대주택 현황_20240630'!F348,""ko"",""en"")"),"26.88")</f>
        <v>26.88</v>
      </c>
      <c r="G348" s="1" t="str">
        <f ca="1">IFERROR(__xludf.DUMMYFUNCTION("GOOGLETRANSLATE('대전도시공사_청년임대주택 현황_20240630'!G348,""ko"",""en"")"),"6.13")</f>
        <v>6.13</v>
      </c>
      <c r="H348" s="1" t="str">
        <f ca="1">IFERROR(__xludf.DUMMYFUNCTION("GOOGLETRANSLATE('대전도시공사_청년임대주택 현황_20240630'!H348,""ko"",""en"")"),"Youth Rent 1st Place")</f>
        <v>Youth Rent 1st Place</v>
      </c>
      <c r="I348" s="1" t="str">
        <f ca="1">IFERROR(__xludf.DUMMYFUNCTION("GOOGLETRANSLATE('대전도시공사_청년임대주택 현황_20240630'!I348,""ko"",""en"")"),"1000000")</f>
        <v>1000000</v>
      </c>
      <c r="J348" s="1" t="str">
        <f ca="1">IFERROR(__xludf.DUMMYFUNCTION("GOOGLETRANSLATE('대전도시공사_청년임대주택 현황_20240630'!J348,""ko"",""en"")"),"138700")</f>
        <v>138700</v>
      </c>
    </row>
    <row r="349" spans="1:10" ht="12.5" x14ac:dyDescent="0.25">
      <c r="A349" s="1" t="str">
        <f ca="1">IFERROR(__xludf.DUMMYFUNCTION("GOOGLETRANSLATE('대전도시공사_청년임대주택 현황_20240630'!A349,""ko"",""en"")"),"Ojeong-dong 442-18 (CJ Bill, youth rental)")</f>
        <v>Ojeong-dong 442-18 (CJ Bill, youth rental)</v>
      </c>
      <c r="B349" s="1" t="str">
        <f ca="1">IFERROR(__xludf.DUMMYFUNCTION("GOOGLETRANSLATE('대전도시공사_청년임대주택 현황_20240630'!B349,""ko"",""en"")"),"29")</f>
        <v>29</v>
      </c>
      <c r="C349" s="1" t="str">
        <f ca="1">IFERROR(__xludf.DUMMYFUNCTION("GOOGLETRANSLATE('대전도시공사_청년임대주택 현황_20240630'!C349,""ko"",""en"")"),"1")</f>
        <v>1</v>
      </c>
      <c r="D349" s="1" t="str">
        <f ca="1">IFERROR(__xludf.DUMMYFUNCTION("GOOGLETRANSLATE('대전도시공사_청년임대주택 현황_20240630'!D349,""ko"",""en"")"),"304")</f>
        <v>304</v>
      </c>
      <c r="E349" s="1" t="str">
        <f ca="1">IFERROR(__xludf.DUMMYFUNCTION("GOOGLETRANSLATE('대전도시공사_청년임대주택 현황_20240630'!E349,""ko"",""en"")"),"33.01")</f>
        <v>33.01</v>
      </c>
      <c r="F349" s="1" t="str">
        <f ca="1">IFERROR(__xludf.DUMMYFUNCTION("GOOGLETRANSLATE('대전도시공사_청년임대주택 현황_20240630'!F349,""ko"",""en"")"),"26.88")</f>
        <v>26.88</v>
      </c>
      <c r="G349" s="1" t="str">
        <f ca="1">IFERROR(__xludf.DUMMYFUNCTION("GOOGLETRANSLATE('대전도시공사_청년임대주택 현황_20240630'!G349,""ko"",""en"")"),"6.13")</f>
        <v>6.13</v>
      </c>
      <c r="H349" s="1" t="str">
        <f ca="1">IFERROR(__xludf.DUMMYFUNCTION("GOOGLETRANSLATE('대전도시공사_청년임대주택 현황_20240630'!H349,""ko"",""en"")"),"Youth Rental 2nd Place")</f>
        <v>Youth Rental 2nd Place</v>
      </c>
      <c r="I349" s="1" t="str">
        <f ca="1">IFERROR(__xludf.DUMMYFUNCTION("GOOGLETRANSLATE('대전도시공사_청년임대주택 현황_20240630'!I349,""ko"",""en"")"),"2000000")</f>
        <v>2000000</v>
      </c>
      <c r="J349" s="1" t="str">
        <f ca="1">IFERROR(__xludf.DUMMYFUNCTION("GOOGLETRANSLATE('대전도시공사_청년임대주택 현황_20240630'!J349,""ko"",""en"")"),"168600")</f>
        <v>168600</v>
      </c>
    </row>
    <row r="350" spans="1:10" ht="12.5" x14ac:dyDescent="0.25">
      <c r="A350" s="1" t="str">
        <f ca="1">IFERROR(__xludf.DUMMYFUNCTION("GOOGLETRANSLATE('대전도시공사_청년임대주택 현황_20240630'!A350,""ko"",""en"")"),"Ojeong-dong 442-18 (CJ Bill, youth rental)")</f>
        <v>Ojeong-dong 442-18 (CJ Bill, youth rental)</v>
      </c>
      <c r="B350" s="1" t="str">
        <f ca="1">IFERROR(__xludf.DUMMYFUNCTION("GOOGLETRANSLATE('대전도시공사_청년임대주택 현황_20240630'!B350,""ko"",""en"")"),"30")</f>
        <v>30</v>
      </c>
      <c r="C350" s="1" t="str">
        <f ca="1">IFERROR(__xludf.DUMMYFUNCTION("GOOGLETRANSLATE('대전도시공사_청년임대주택 현황_20240630'!C350,""ko"",""en"")"),"1")</f>
        <v>1</v>
      </c>
      <c r="D350" s="1" t="str">
        <f ca="1">IFERROR(__xludf.DUMMYFUNCTION("GOOGLETRANSLATE('대전도시공사_청년임대주택 현황_20240630'!D350,""ko"",""en"")"),"304")</f>
        <v>304</v>
      </c>
      <c r="E350" s="1" t="str">
        <f ca="1">IFERROR(__xludf.DUMMYFUNCTION("GOOGLETRANSLATE('대전도시공사_청년임대주택 현황_20240630'!E350,""ko"",""en"")"),"33.01")</f>
        <v>33.01</v>
      </c>
      <c r="F350" s="1" t="str">
        <f ca="1">IFERROR(__xludf.DUMMYFUNCTION("GOOGLETRANSLATE('대전도시공사_청년임대주택 현황_20240630'!F350,""ko"",""en"")"),"26.88")</f>
        <v>26.88</v>
      </c>
      <c r="G350" s="1" t="str">
        <f ca="1">IFERROR(__xludf.DUMMYFUNCTION("GOOGLETRANSLATE('대전도시공사_청년임대주택 현황_20240630'!G350,""ko"",""en"")"),"6.13")</f>
        <v>6.13</v>
      </c>
      <c r="H350" s="1" t="str">
        <f ca="1">IFERROR(__xludf.DUMMYFUNCTION("GOOGLETRANSLATE('대전도시공사_청년임대주택 현황_20240630'!H350,""ko"",""en"")"),"3rd place for youth rental")</f>
        <v>3rd place for youth rental</v>
      </c>
      <c r="I350" s="1" t="str">
        <f ca="1">IFERROR(__xludf.DUMMYFUNCTION("GOOGLETRANSLATE('대전도시공사_청년임대주택 현황_20240630'!I350,""ko"",""en"")"),"2000000")</f>
        <v>2000000</v>
      </c>
      <c r="J350" s="1" t="str">
        <f ca="1">IFERROR(__xludf.DUMMYFUNCTION("GOOGLETRANSLATE('대전도시공사_청년임대주택 현황_20240630'!J350,""ko"",""en"")"),"168600")</f>
        <v>168600</v>
      </c>
    </row>
    <row r="351" spans="1:10" ht="12.5" x14ac:dyDescent="0.25">
      <c r="A351" s="1" t="str">
        <f ca="1">IFERROR(__xludf.DUMMYFUNCTION("GOOGLETRANSLATE('대전도시공사_청년임대주택 현황_20240630'!A351,""ko"",""en"")"),"Ojeong-dong 442-18 (CJ Bill, youth rental)")</f>
        <v>Ojeong-dong 442-18 (CJ Bill, youth rental)</v>
      </c>
      <c r="B351" s="1" t="str">
        <f ca="1">IFERROR(__xludf.DUMMYFUNCTION("GOOGLETRANSLATE('대전도시공사_청년임대주택 현황_20240630'!B351,""ko"",""en"")"),"31")</f>
        <v>31</v>
      </c>
      <c r="C351" s="1" t="str">
        <f ca="1">IFERROR(__xludf.DUMMYFUNCTION("GOOGLETRANSLATE('대전도시공사_청년임대주택 현황_20240630'!C351,""ko"",""en"")"),"1")</f>
        <v>1</v>
      </c>
      <c r="D351" s="1" t="str">
        <f ca="1">IFERROR(__xludf.DUMMYFUNCTION("GOOGLETRANSLATE('대전도시공사_청년임대주택 현황_20240630'!D351,""ko"",""en"")"),"305")</f>
        <v>305</v>
      </c>
      <c r="E351" s="1" t="str">
        <f ca="1">IFERROR(__xludf.DUMMYFUNCTION("GOOGLETRANSLATE('대전도시공사_청년임대주택 현황_20240630'!E351,""ko"",""en"")"),"32.59")</f>
        <v>32.59</v>
      </c>
      <c r="F351" s="1" t="str">
        <f ca="1">IFERROR(__xludf.DUMMYFUNCTION("GOOGLETRANSLATE('대전도시공사_청년임대주택 현황_20240630'!F351,""ko"",""en"")"),"26.54")</f>
        <v>26.54</v>
      </c>
      <c r="G351" s="1" t="str">
        <f ca="1">IFERROR(__xludf.DUMMYFUNCTION("GOOGLETRANSLATE('대전도시공사_청년임대주택 현황_20240630'!G351,""ko"",""en"")"),"6.05")</f>
        <v>6.05</v>
      </c>
      <c r="H351" s="1" t="str">
        <f ca="1">IFERROR(__xludf.DUMMYFUNCTION("GOOGLETRANSLATE('대전도시공사_청년임대주택 현황_20240630'!H351,""ko"",""en"")"),"Beneficiary")</f>
        <v>Beneficiary</v>
      </c>
      <c r="I351" s="1" t="str">
        <f ca="1">IFERROR(__xludf.DUMMYFUNCTION("GOOGLETRANSLATE('대전도시공사_청년임대주택 현황_20240630'!I351,""ko"",""en"")"),"1000000")</f>
        <v>1000000</v>
      </c>
      <c r="J351" s="1" t="str">
        <f ca="1">IFERROR(__xludf.DUMMYFUNCTION("GOOGLETRANSLATE('대전도시공사_청년임대주택 현황_20240630'!J351,""ko"",""en"")"),"136900")</f>
        <v>136900</v>
      </c>
    </row>
    <row r="352" spans="1:10" ht="12.5" x14ac:dyDescent="0.25">
      <c r="A352" s="1" t="str">
        <f ca="1">IFERROR(__xludf.DUMMYFUNCTION("GOOGLETRANSLATE('대전도시공사_청년임대주택 현황_20240630'!A352,""ko"",""en"")"),"Ojeong-dong 442-18 (CJ Bill, youth rental)")</f>
        <v>Ojeong-dong 442-18 (CJ Bill, youth rental)</v>
      </c>
      <c r="B352" s="1" t="str">
        <f ca="1">IFERROR(__xludf.DUMMYFUNCTION("GOOGLETRANSLATE('대전도시공사_청년임대주택 현황_20240630'!B352,""ko"",""en"")"),"32")</f>
        <v>32</v>
      </c>
      <c r="C352" s="1" t="str">
        <f ca="1">IFERROR(__xludf.DUMMYFUNCTION("GOOGLETRANSLATE('대전도시공사_청년임대주택 현황_20240630'!C352,""ko"",""en"")"),"1")</f>
        <v>1</v>
      </c>
      <c r="D352" s="1" t="str">
        <f ca="1">IFERROR(__xludf.DUMMYFUNCTION("GOOGLETRANSLATE('대전도시공사_청년임대주택 현황_20240630'!D352,""ko"",""en"")"),"305")</f>
        <v>305</v>
      </c>
      <c r="E352" s="1" t="str">
        <f ca="1">IFERROR(__xludf.DUMMYFUNCTION("GOOGLETRANSLATE('대전도시공사_청년임대주택 현황_20240630'!E352,""ko"",""en"")"),"32.59")</f>
        <v>32.59</v>
      </c>
      <c r="F352" s="1" t="str">
        <f ca="1">IFERROR(__xludf.DUMMYFUNCTION("GOOGLETRANSLATE('대전도시공사_청년임대주택 현황_20240630'!F352,""ko"",""en"")"),"26.54")</f>
        <v>26.54</v>
      </c>
      <c r="G352" s="1" t="str">
        <f ca="1">IFERROR(__xludf.DUMMYFUNCTION("GOOGLETRANSLATE('대전도시공사_청년임대주택 현황_20240630'!G352,""ko"",""en"")"),"6.05")</f>
        <v>6.05</v>
      </c>
      <c r="H352" s="1" t="str">
        <f ca="1">IFERROR(__xludf.DUMMYFUNCTION("GOOGLETRANSLATE('대전도시공사_청년임대주택 현황_20240630'!H352,""ko"",""en"")"),"Youth Rent 1st Place")</f>
        <v>Youth Rent 1st Place</v>
      </c>
      <c r="I352" s="1" t="str">
        <f ca="1">IFERROR(__xludf.DUMMYFUNCTION("GOOGLETRANSLATE('대전도시공사_청년임대주택 현황_20240630'!I352,""ko"",""en"")"),"1000000")</f>
        <v>1000000</v>
      </c>
      <c r="J352" s="1" t="str">
        <f ca="1">IFERROR(__xludf.DUMMYFUNCTION("GOOGLETRANSLATE('대전도시공사_청년임대주택 현황_20240630'!J352,""ko"",""en"")"),"136900")</f>
        <v>136900</v>
      </c>
    </row>
    <row r="353" spans="1:10" ht="12.5" x14ac:dyDescent="0.25">
      <c r="A353" s="1" t="str">
        <f ca="1">IFERROR(__xludf.DUMMYFUNCTION("GOOGLETRANSLATE('대전도시공사_청년임대주택 현황_20240630'!A353,""ko"",""en"")"),"Ojeong-dong 442-18 (CJ Bill, youth rental)")</f>
        <v>Ojeong-dong 442-18 (CJ Bill, youth rental)</v>
      </c>
      <c r="B353" s="1" t="str">
        <f ca="1">IFERROR(__xludf.DUMMYFUNCTION("GOOGLETRANSLATE('대전도시공사_청년임대주택 현황_20240630'!B353,""ko"",""en"")"),"33")</f>
        <v>33</v>
      </c>
      <c r="C353" s="1" t="str">
        <f ca="1">IFERROR(__xludf.DUMMYFUNCTION("GOOGLETRANSLATE('대전도시공사_청년임대주택 현황_20240630'!C353,""ko"",""en"")"),"1")</f>
        <v>1</v>
      </c>
      <c r="D353" s="1" t="str">
        <f ca="1">IFERROR(__xludf.DUMMYFUNCTION("GOOGLETRANSLATE('대전도시공사_청년임대주택 현황_20240630'!D353,""ko"",""en"")"),"305")</f>
        <v>305</v>
      </c>
      <c r="E353" s="1" t="str">
        <f ca="1">IFERROR(__xludf.DUMMYFUNCTION("GOOGLETRANSLATE('대전도시공사_청년임대주택 현황_20240630'!E353,""ko"",""en"")"),"32.59")</f>
        <v>32.59</v>
      </c>
      <c r="F353" s="1" t="str">
        <f ca="1">IFERROR(__xludf.DUMMYFUNCTION("GOOGLETRANSLATE('대전도시공사_청년임대주택 현황_20240630'!F353,""ko"",""en"")"),"26.54")</f>
        <v>26.54</v>
      </c>
      <c r="G353" s="1" t="str">
        <f ca="1">IFERROR(__xludf.DUMMYFUNCTION("GOOGLETRANSLATE('대전도시공사_청년임대주택 현황_20240630'!G353,""ko"",""en"")"),"6.05")</f>
        <v>6.05</v>
      </c>
      <c r="H353" s="1" t="str">
        <f ca="1">IFERROR(__xludf.DUMMYFUNCTION("GOOGLETRANSLATE('대전도시공사_청년임대주택 현황_20240630'!H353,""ko"",""en"")"),"Youth Rental 2nd Place")</f>
        <v>Youth Rental 2nd Place</v>
      </c>
      <c r="I353" s="1" t="str">
        <f ca="1">IFERROR(__xludf.DUMMYFUNCTION("GOOGLETRANSLATE('대전도시공사_청년임대주택 현황_20240630'!I353,""ko"",""en"")"),"2000000")</f>
        <v>2000000</v>
      </c>
      <c r="J353" s="1" t="str">
        <f ca="1">IFERROR(__xludf.DUMMYFUNCTION("GOOGLETRANSLATE('대전도시공사_청년임대주택 현황_20240630'!J353,""ko"",""en"")"),"166400")</f>
        <v>166400</v>
      </c>
    </row>
    <row r="354" spans="1:10" ht="12.5" x14ac:dyDescent="0.25">
      <c r="A354" s="1" t="str">
        <f ca="1">IFERROR(__xludf.DUMMYFUNCTION("GOOGLETRANSLATE('대전도시공사_청년임대주택 현황_20240630'!A354,""ko"",""en"")"),"Ojeong-dong 442-18 (CJ Bill, youth rental)")</f>
        <v>Ojeong-dong 442-18 (CJ Bill, youth rental)</v>
      </c>
      <c r="B354" s="1" t="str">
        <f ca="1">IFERROR(__xludf.DUMMYFUNCTION("GOOGLETRANSLATE('대전도시공사_청년임대주택 현황_20240630'!B354,""ko"",""en"")"),"34")</f>
        <v>34</v>
      </c>
      <c r="C354" s="1" t="str">
        <f ca="1">IFERROR(__xludf.DUMMYFUNCTION("GOOGLETRANSLATE('대전도시공사_청년임대주택 현황_20240630'!C354,""ko"",""en"")"),"1")</f>
        <v>1</v>
      </c>
      <c r="D354" s="1" t="str">
        <f ca="1">IFERROR(__xludf.DUMMYFUNCTION("GOOGLETRANSLATE('대전도시공사_청년임대주택 현황_20240630'!D354,""ko"",""en"")"),"305")</f>
        <v>305</v>
      </c>
      <c r="E354" s="1" t="str">
        <f ca="1">IFERROR(__xludf.DUMMYFUNCTION("GOOGLETRANSLATE('대전도시공사_청년임대주택 현황_20240630'!E354,""ko"",""en"")"),"32.59")</f>
        <v>32.59</v>
      </c>
      <c r="F354" s="1" t="str">
        <f ca="1">IFERROR(__xludf.DUMMYFUNCTION("GOOGLETRANSLATE('대전도시공사_청년임대주택 현황_20240630'!F354,""ko"",""en"")"),"26.54")</f>
        <v>26.54</v>
      </c>
      <c r="G354" s="1" t="str">
        <f ca="1">IFERROR(__xludf.DUMMYFUNCTION("GOOGLETRANSLATE('대전도시공사_청년임대주택 현황_20240630'!G354,""ko"",""en"")"),"6.05")</f>
        <v>6.05</v>
      </c>
      <c r="H354" s="1" t="str">
        <f ca="1">IFERROR(__xludf.DUMMYFUNCTION("GOOGLETRANSLATE('대전도시공사_청년임대주택 현황_20240630'!H354,""ko"",""en"")"),"3rd place for youth rental")</f>
        <v>3rd place for youth rental</v>
      </c>
      <c r="I354" s="1" t="str">
        <f ca="1">IFERROR(__xludf.DUMMYFUNCTION("GOOGLETRANSLATE('대전도시공사_청년임대주택 현황_20240630'!I354,""ko"",""en"")"),"2000000")</f>
        <v>2000000</v>
      </c>
      <c r="J354" s="1" t="str">
        <f ca="1">IFERROR(__xludf.DUMMYFUNCTION("GOOGLETRANSLATE('대전도시공사_청년임대주택 현황_20240630'!J354,""ko"",""en"")"),"166400")</f>
        <v>166400</v>
      </c>
    </row>
    <row r="355" spans="1:10" ht="12.5" x14ac:dyDescent="0.25">
      <c r="A355" s="1" t="str">
        <f ca="1">IFERROR(__xludf.DUMMYFUNCTION("GOOGLETRANSLATE('대전도시공사_청년임대주택 현황_20240630'!A355,""ko"",""en"")"),"Ojeong-dong 442-18 (CJ Bill, youth rental)")</f>
        <v>Ojeong-dong 442-18 (CJ Bill, youth rental)</v>
      </c>
      <c r="B355" s="1" t="str">
        <f ca="1">IFERROR(__xludf.DUMMYFUNCTION("GOOGLETRANSLATE('대전도시공사_청년임대주택 현황_20240630'!B355,""ko"",""en"")"),"35")</f>
        <v>35</v>
      </c>
      <c r="C355" s="1" t="str">
        <f ca="1">IFERROR(__xludf.DUMMYFUNCTION("GOOGLETRANSLATE('대전도시공사_청년임대주택 현황_20240630'!C355,""ko"",""en"")"),"1")</f>
        <v>1</v>
      </c>
      <c r="D355" s="1" t="str">
        <f ca="1">IFERROR(__xludf.DUMMYFUNCTION("GOOGLETRANSLATE('대전도시공사_청년임대주택 현황_20240630'!D355,""ko"",""en"")"),"306")</f>
        <v>306</v>
      </c>
      <c r="E355" s="1" t="str">
        <f ca="1">IFERROR(__xludf.DUMMYFUNCTION("GOOGLETRANSLATE('대전도시공사_청년임대주택 현황_20240630'!E355,""ko"",""en"")"),"33.79")</f>
        <v>33.79</v>
      </c>
      <c r="F355" s="1" t="str">
        <f ca="1">IFERROR(__xludf.DUMMYFUNCTION("GOOGLETRANSLATE('대전도시공사_청년임대주택 현황_20240630'!F355,""ko"",""en"")"),"27.52")</f>
        <v>27.52</v>
      </c>
      <c r="G355" s="1" t="str">
        <f ca="1">IFERROR(__xludf.DUMMYFUNCTION("GOOGLETRANSLATE('대전도시공사_청년임대주택 현황_20240630'!G355,""ko"",""en"")"),"6.27")</f>
        <v>6.27</v>
      </c>
      <c r="H355" s="1" t="str">
        <f ca="1">IFERROR(__xludf.DUMMYFUNCTION("GOOGLETRANSLATE('대전도시공사_청년임대주택 현황_20240630'!H355,""ko"",""en"")"),"Beneficiary")</f>
        <v>Beneficiary</v>
      </c>
      <c r="I355" s="1" t="str">
        <f ca="1">IFERROR(__xludf.DUMMYFUNCTION("GOOGLETRANSLATE('대전도시공사_청년임대주택 현황_20240630'!I355,""ko"",""en"")"),"1000000")</f>
        <v>1000000</v>
      </c>
      <c r="J355" s="1" t="str">
        <f ca="1">IFERROR(__xludf.DUMMYFUNCTION("GOOGLETRANSLATE('대전도시공사_청년임대주택 현황_20240630'!J355,""ko"",""en"")"),"137900")</f>
        <v>137900</v>
      </c>
    </row>
    <row r="356" spans="1:10" ht="12.5" x14ac:dyDescent="0.25">
      <c r="A356" s="1" t="str">
        <f ca="1">IFERROR(__xludf.DUMMYFUNCTION("GOOGLETRANSLATE('대전도시공사_청년임대주택 현황_20240630'!A356,""ko"",""en"")"),"Ojeong-dong 442-18 (CJ Bill, youth rental)")</f>
        <v>Ojeong-dong 442-18 (CJ Bill, youth rental)</v>
      </c>
      <c r="B356" s="1" t="str">
        <f ca="1">IFERROR(__xludf.DUMMYFUNCTION("GOOGLETRANSLATE('대전도시공사_청년임대주택 현황_20240630'!B356,""ko"",""en"")"),"36")</f>
        <v>36</v>
      </c>
      <c r="C356" s="1" t="str">
        <f ca="1">IFERROR(__xludf.DUMMYFUNCTION("GOOGLETRANSLATE('대전도시공사_청년임대주택 현황_20240630'!C356,""ko"",""en"")"),"1")</f>
        <v>1</v>
      </c>
      <c r="D356" s="1" t="str">
        <f ca="1">IFERROR(__xludf.DUMMYFUNCTION("GOOGLETRANSLATE('대전도시공사_청년임대주택 현황_20240630'!D356,""ko"",""en"")"),"306")</f>
        <v>306</v>
      </c>
      <c r="E356" s="1" t="str">
        <f ca="1">IFERROR(__xludf.DUMMYFUNCTION("GOOGLETRANSLATE('대전도시공사_청년임대주택 현황_20240630'!E356,""ko"",""en"")"),"33.79")</f>
        <v>33.79</v>
      </c>
      <c r="F356" s="1" t="str">
        <f ca="1">IFERROR(__xludf.DUMMYFUNCTION("GOOGLETRANSLATE('대전도시공사_청년임대주택 현황_20240630'!F356,""ko"",""en"")"),"27.52")</f>
        <v>27.52</v>
      </c>
      <c r="G356" s="1" t="str">
        <f ca="1">IFERROR(__xludf.DUMMYFUNCTION("GOOGLETRANSLATE('대전도시공사_청년임대주택 현황_20240630'!G356,""ko"",""en"")"),"6.27")</f>
        <v>6.27</v>
      </c>
      <c r="H356" s="1" t="str">
        <f ca="1">IFERROR(__xludf.DUMMYFUNCTION("GOOGLETRANSLATE('대전도시공사_청년임대주택 현황_20240630'!H356,""ko"",""en"")"),"Youth Rent 1st Place")</f>
        <v>Youth Rent 1st Place</v>
      </c>
      <c r="I356" s="1" t="str">
        <f ca="1">IFERROR(__xludf.DUMMYFUNCTION("GOOGLETRANSLATE('대전도시공사_청년임대주택 현황_20240630'!I356,""ko"",""en"")"),"1000000")</f>
        <v>1000000</v>
      </c>
      <c r="J356" s="1" t="str">
        <f ca="1">IFERROR(__xludf.DUMMYFUNCTION("GOOGLETRANSLATE('대전도시공사_청년임대주택 현황_20240630'!J356,""ko"",""en"")"),"137900")</f>
        <v>137900</v>
      </c>
    </row>
    <row r="357" spans="1:10" ht="12.5" x14ac:dyDescent="0.25">
      <c r="A357" s="1" t="str">
        <f ca="1">IFERROR(__xludf.DUMMYFUNCTION("GOOGLETRANSLATE('대전도시공사_청년임대주택 현황_20240630'!A357,""ko"",""en"")"),"Ojeong-dong 442-18 (CJ Bill, youth rental)")</f>
        <v>Ojeong-dong 442-18 (CJ Bill, youth rental)</v>
      </c>
      <c r="B357" s="1" t="str">
        <f ca="1">IFERROR(__xludf.DUMMYFUNCTION("GOOGLETRANSLATE('대전도시공사_청년임대주택 현황_20240630'!B357,""ko"",""en"")"),"37")</f>
        <v>37</v>
      </c>
      <c r="C357" s="1" t="str">
        <f ca="1">IFERROR(__xludf.DUMMYFUNCTION("GOOGLETRANSLATE('대전도시공사_청년임대주택 현황_20240630'!C357,""ko"",""en"")"),"1")</f>
        <v>1</v>
      </c>
      <c r="D357" s="1" t="str">
        <f ca="1">IFERROR(__xludf.DUMMYFUNCTION("GOOGLETRANSLATE('대전도시공사_청년임대주택 현황_20240630'!D357,""ko"",""en"")"),"306")</f>
        <v>306</v>
      </c>
      <c r="E357" s="1" t="str">
        <f ca="1">IFERROR(__xludf.DUMMYFUNCTION("GOOGLETRANSLATE('대전도시공사_청년임대주택 현황_20240630'!E357,""ko"",""en"")"),"33.79")</f>
        <v>33.79</v>
      </c>
      <c r="F357" s="1" t="str">
        <f ca="1">IFERROR(__xludf.DUMMYFUNCTION("GOOGLETRANSLATE('대전도시공사_청년임대주택 현황_20240630'!F357,""ko"",""en"")"),"27.52")</f>
        <v>27.52</v>
      </c>
      <c r="G357" s="1" t="str">
        <f ca="1">IFERROR(__xludf.DUMMYFUNCTION("GOOGLETRANSLATE('대전도시공사_청년임대주택 현황_20240630'!G357,""ko"",""en"")"),"6.27")</f>
        <v>6.27</v>
      </c>
      <c r="H357" s="1" t="str">
        <f ca="1">IFERROR(__xludf.DUMMYFUNCTION("GOOGLETRANSLATE('대전도시공사_청년임대주택 현황_20240630'!H357,""ko"",""en"")"),"Youth Rental 2nd Place")</f>
        <v>Youth Rental 2nd Place</v>
      </c>
      <c r="I357" s="1" t="str">
        <f ca="1">IFERROR(__xludf.DUMMYFUNCTION("GOOGLETRANSLATE('대전도시공사_청년임대주택 현황_20240630'!I357,""ko"",""en"")"),"2000000")</f>
        <v>2000000</v>
      </c>
      <c r="J357" s="1" t="str">
        <f ca="1">IFERROR(__xludf.DUMMYFUNCTION("GOOGLETRANSLATE('대전도시공사_청년임대주택 현황_20240630'!J357,""ko"",""en"")"),"167700")</f>
        <v>167700</v>
      </c>
    </row>
    <row r="358" spans="1:10" ht="12.5" x14ac:dyDescent="0.25">
      <c r="A358" s="1" t="str">
        <f ca="1">IFERROR(__xludf.DUMMYFUNCTION("GOOGLETRANSLATE('대전도시공사_청년임대주택 현황_20240630'!A358,""ko"",""en"")"),"Ojeong-dong 442-18 (CJ Bill, youth rental)")</f>
        <v>Ojeong-dong 442-18 (CJ Bill, youth rental)</v>
      </c>
      <c r="B358" s="1" t="str">
        <f ca="1">IFERROR(__xludf.DUMMYFUNCTION("GOOGLETRANSLATE('대전도시공사_청년임대주택 현황_20240630'!B358,""ko"",""en"")"),"38")</f>
        <v>38</v>
      </c>
      <c r="C358" s="1" t="str">
        <f ca="1">IFERROR(__xludf.DUMMYFUNCTION("GOOGLETRANSLATE('대전도시공사_청년임대주택 현황_20240630'!C358,""ko"",""en"")"),"1")</f>
        <v>1</v>
      </c>
      <c r="D358" s="1" t="str">
        <f ca="1">IFERROR(__xludf.DUMMYFUNCTION("GOOGLETRANSLATE('대전도시공사_청년임대주택 현황_20240630'!D358,""ko"",""en"")"),"306")</f>
        <v>306</v>
      </c>
      <c r="E358" s="1" t="str">
        <f ca="1">IFERROR(__xludf.DUMMYFUNCTION("GOOGLETRANSLATE('대전도시공사_청년임대주택 현황_20240630'!E358,""ko"",""en"")"),"33.79")</f>
        <v>33.79</v>
      </c>
      <c r="F358" s="1" t="str">
        <f ca="1">IFERROR(__xludf.DUMMYFUNCTION("GOOGLETRANSLATE('대전도시공사_청년임대주택 현황_20240630'!F358,""ko"",""en"")"),"27.52")</f>
        <v>27.52</v>
      </c>
      <c r="G358" s="1" t="str">
        <f ca="1">IFERROR(__xludf.DUMMYFUNCTION("GOOGLETRANSLATE('대전도시공사_청년임대주택 현황_20240630'!G358,""ko"",""en"")"),"6.27")</f>
        <v>6.27</v>
      </c>
      <c r="H358" s="1" t="str">
        <f ca="1">IFERROR(__xludf.DUMMYFUNCTION("GOOGLETRANSLATE('대전도시공사_청년임대주택 현황_20240630'!H358,""ko"",""en"")"),"3rd place for youth rental")</f>
        <v>3rd place for youth rental</v>
      </c>
      <c r="I358" s="1" t="str">
        <f ca="1">IFERROR(__xludf.DUMMYFUNCTION("GOOGLETRANSLATE('대전도시공사_청년임대주택 현황_20240630'!I358,""ko"",""en"")"),"2000000")</f>
        <v>2000000</v>
      </c>
      <c r="J358" s="1" t="str">
        <f ca="1">IFERROR(__xludf.DUMMYFUNCTION("GOOGLETRANSLATE('대전도시공사_청년임대주택 현황_20240630'!J358,""ko"",""en"")"),"167700")</f>
        <v>167700</v>
      </c>
    </row>
    <row r="359" spans="1:10" ht="12.5" x14ac:dyDescent="0.25">
      <c r="A359" s="1" t="str">
        <f ca="1">IFERROR(__xludf.DUMMYFUNCTION("GOOGLETRANSLATE('대전도시공사_청년임대주택 현황_20240630'!A359,""ko"",""en"")"),"Ojeong-dong 442-18 (CJ Bill, youth rental)")</f>
        <v>Ojeong-dong 442-18 (CJ Bill, youth rental)</v>
      </c>
      <c r="B359" s="1" t="str">
        <f ca="1">IFERROR(__xludf.DUMMYFUNCTION("GOOGLETRANSLATE('대전도시공사_청년임대주택 현황_20240630'!B359,""ko"",""en"")"),"39")</f>
        <v>39</v>
      </c>
      <c r="C359" s="1" t="str">
        <f ca="1">IFERROR(__xludf.DUMMYFUNCTION("GOOGLETRANSLATE('대전도시공사_청년임대주택 현황_20240630'!C359,""ko"",""en"")"),"1")</f>
        <v>1</v>
      </c>
      <c r="D359" s="1" t="str">
        <f ca="1">IFERROR(__xludf.DUMMYFUNCTION("GOOGLETRANSLATE('대전도시공사_청년임대주택 현황_20240630'!D359,""ko"",""en"")"),"307")</f>
        <v>307</v>
      </c>
      <c r="E359" s="1" t="str">
        <f ca="1">IFERROR(__xludf.DUMMYFUNCTION("GOOGLETRANSLATE('대전도시공사_청년임대주택 현황_20240630'!E359,""ko"",""en"")"),"33.79")</f>
        <v>33.79</v>
      </c>
      <c r="F359" s="1" t="str">
        <f ca="1">IFERROR(__xludf.DUMMYFUNCTION("GOOGLETRANSLATE('대전도시공사_청년임대주택 현황_20240630'!F359,""ko"",""en"")"),"27.52")</f>
        <v>27.52</v>
      </c>
      <c r="G359" s="1" t="str">
        <f ca="1">IFERROR(__xludf.DUMMYFUNCTION("GOOGLETRANSLATE('대전도시공사_청년임대주택 현황_20240630'!G359,""ko"",""en"")"),"6.27")</f>
        <v>6.27</v>
      </c>
      <c r="H359" s="1" t="str">
        <f ca="1">IFERROR(__xludf.DUMMYFUNCTION("GOOGLETRANSLATE('대전도시공사_청년임대주택 현황_20240630'!H359,""ko"",""en"")"),"Youth Rent 1st Place")</f>
        <v>Youth Rent 1st Place</v>
      </c>
      <c r="I359" s="1" t="str">
        <f ca="1">IFERROR(__xludf.DUMMYFUNCTION("GOOGLETRANSLATE('대전도시공사_청년임대주택 현황_20240630'!I359,""ko"",""en"")"),"1000000")</f>
        <v>1000000</v>
      </c>
      <c r="J359" s="1" t="str">
        <f ca="1">IFERROR(__xludf.DUMMYFUNCTION("GOOGLETRANSLATE('대전도시공사_청년임대주택 현황_20240630'!J359,""ko"",""en"")"),"137900")</f>
        <v>137900</v>
      </c>
    </row>
    <row r="360" spans="1:10" ht="12.5" x14ac:dyDescent="0.25">
      <c r="A360" s="1" t="str">
        <f ca="1">IFERROR(__xludf.DUMMYFUNCTION("GOOGLETRANSLATE('대전도시공사_청년임대주택 현황_20240630'!A360,""ko"",""en"")"),"Ojeong-dong 442-18 (CJ Bill, youth rental)")</f>
        <v>Ojeong-dong 442-18 (CJ Bill, youth rental)</v>
      </c>
      <c r="B360" s="1" t="str">
        <f ca="1">IFERROR(__xludf.DUMMYFUNCTION("GOOGLETRANSLATE('대전도시공사_청년임대주택 현황_20240630'!B360,""ko"",""en"")"),"40")</f>
        <v>40</v>
      </c>
      <c r="C360" s="1" t="str">
        <f ca="1">IFERROR(__xludf.DUMMYFUNCTION("GOOGLETRANSLATE('대전도시공사_청년임대주택 현황_20240630'!C360,""ko"",""en"")"),"1")</f>
        <v>1</v>
      </c>
      <c r="D360" s="1" t="str">
        <f ca="1">IFERROR(__xludf.DUMMYFUNCTION("GOOGLETRANSLATE('대전도시공사_청년임대주택 현황_20240630'!D360,""ko"",""en"")"),"307")</f>
        <v>307</v>
      </c>
      <c r="E360" s="1" t="str">
        <f ca="1">IFERROR(__xludf.DUMMYFUNCTION("GOOGLETRANSLATE('대전도시공사_청년임대주택 현황_20240630'!E360,""ko"",""en"")"),"33.79")</f>
        <v>33.79</v>
      </c>
      <c r="F360" s="1" t="str">
        <f ca="1">IFERROR(__xludf.DUMMYFUNCTION("GOOGLETRANSLATE('대전도시공사_청년임대주택 현황_20240630'!F360,""ko"",""en"")"),"27.52")</f>
        <v>27.52</v>
      </c>
      <c r="G360" s="1" t="str">
        <f ca="1">IFERROR(__xludf.DUMMYFUNCTION("GOOGLETRANSLATE('대전도시공사_청년임대주택 현황_20240630'!G360,""ko"",""en"")"),"6.27")</f>
        <v>6.27</v>
      </c>
      <c r="H360" s="1" t="str">
        <f ca="1">IFERROR(__xludf.DUMMYFUNCTION("GOOGLETRANSLATE('대전도시공사_청년임대주택 현황_20240630'!H360,""ko"",""en"")"),"Youth Rental 2nd Place")</f>
        <v>Youth Rental 2nd Place</v>
      </c>
      <c r="I360" s="1" t="str">
        <f ca="1">IFERROR(__xludf.DUMMYFUNCTION("GOOGLETRANSLATE('대전도시공사_청년임대주택 현황_20240630'!I360,""ko"",""en"")"),"2000000")</f>
        <v>2000000</v>
      </c>
      <c r="J360" s="1" t="str">
        <f ca="1">IFERROR(__xludf.DUMMYFUNCTION("GOOGLETRANSLATE('대전도시공사_청년임대주택 현황_20240630'!J360,""ko"",""en"")"),"167700")</f>
        <v>167700</v>
      </c>
    </row>
    <row r="361" spans="1:10" ht="12.5" x14ac:dyDescent="0.25">
      <c r="A361" s="1" t="str">
        <f ca="1">IFERROR(__xludf.DUMMYFUNCTION("GOOGLETRANSLATE('대전도시공사_청년임대주택 현황_20240630'!A361,""ko"",""en"")"),"Ojeong-dong 442-18 (CJ Bill, youth rental)")</f>
        <v>Ojeong-dong 442-18 (CJ Bill, youth rental)</v>
      </c>
      <c r="B361" s="1" t="str">
        <f ca="1">IFERROR(__xludf.DUMMYFUNCTION("GOOGLETRANSLATE('대전도시공사_청년임대주택 현황_20240630'!B361,""ko"",""en"")"),"41")</f>
        <v>41</v>
      </c>
      <c r="C361" s="1" t="str">
        <f ca="1">IFERROR(__xludf.DUMMYFUNCTION("GOOGLETRANSLATE('대전도시공사_청년임대주택 현황_20240630'!C361,""ko"",""en"")"),"1")</f>
        <v>1</v>
      </c>
      <c r="D361" s="1" t="str">
        <f ca="1">IFERROR(__xludf.DUMMYFUNCTION("GOOGLETRANSLATE('대전도시공사_청년임대주택 현황_20240630'!D361,""ko"",""en"")"),"307")</f>
        <v>307</v>
      </c>
      <c r="E361" s="1" t="str">
        <f ca="1">IFERROR(__xludf.DUMMYFUNCTION("GOOGLETRANSLATE('대전도시공사_청년임대주택 현황_20240630'!E361,""ko"",""en"")"),"33.79")</f>
        <v>33.79</v>
      </c>
      <c r="F361" s="1" t="str">
        <f ca="1">IFERROR(__xludf.DUMMYFUNCTION("GOOGLETRANSLATE('대전도시공사_청년임대주택 현황_20240630'!F361,""ko"",""en"")"),"27.52")</f>
        <v>27.52</v>
      </c>
      <c r="G361" s="1" t="str">
        <f ca="1">IFERROR(__xludf.DUMMYFUNCTION("GOOGLETRANSLATE('대전도시공사_청년임대주택 현황_20240630'!G361,""ko"",""en"")"),"6.27")</f>
        <v>6.27</v>
      </c>
      <c r="H361" s="1" t="str">
        <f ca="1">IFERROR(__xludf.DUMMYFUNCTION("GOOGLETRANSLATE('대전도시공사_청년임대주택 현황_20240630'!H361,""ko"",""en"")"),"3rd place for youth rental")</f>
        <v>3rd place for youth rental</v>
      </c>
      <c r="I361" s="1" t="str">
        <f ca="1">IFERROR(__xludf.DUMMYFUNCTION("GOOGLETRANSLATE('대전도시공사_청년임대주택 현황_20240630'!I361,""ko"",""en"")"),"2000000")</f>
        <v>2000000</v>
      </c>
      <c r="J361" s="1" t="str">
        <f ca="1">IFERROR(__xludf.DUMMYFUNCTION("GOOGLETRANSLATE('대전도시공사_청년임대주택 현황_20240630'!J361,""ko"",""en"")"),"167700")</f>
        <v>167700</v>
      </c>
    </row>
    <row r="362" spans="1:10" ht="12.5" x14ac:dyDescent="0.25">
      <c r="A362" s="1" t="str">
        <f ca="1">IFERROR(__xludf.DUMMYFUNCTION("GOOGLETRANSLATE('대전도시공사_청년임대주택 현황_20240630'!A362,""ko"",""en"")"),"Ojeong-dong 442-18 (CJ Bill, youth rental)")</f>
        <v>Ojeong-dong 442-18 (CJ Bill, youth rental)</v>
      </c>
      <c r="B362" s="1" t="str">
        <f ca="1">IFERROR(__xludf.DUMMYFUNCTION("GOOGLETRANSLATE('대전도시공사_청년임대주택 현황_20240630'!B362,""ko"",""en"")"),"42")</f>
        <v>42</v>
      </c>
      <c r="C362" s="1" t="str">
        <f ca="1">IFERROR(__xludf.DUMMYFUNCTION("GOOGLETRANSLATE('대전도시공사_청년임대주택 현황_20240630'!C362,""ko"",""en"")"),"1")</f>
        <v>1</v>
      </c>
      <c r="D362" s="1" t="str">
        <f ca="1">IFERROR(__xludf.DUMMYFUNCTION("GOOGLETRANSLATE('대전도시공사_청년임대주택 현황_20240630'!D362,""ko"",""en"")"),"401")</f>
        <v>401</v>
      </c>
      <c r="E362" s="1" t="str">
        <f ca="1">IFERROR(__xludf.DUMMYFUNCTION("GOOGLETRANSLATE('대전도시공사_청년임대주택 현황_20240630'!E362,""ko"",""en"")"),"33.79")</f>
        <v>33.79</v>
      </c>
      <c r="F362" s="1" t="str">
        <f ca="1">IFERROR(__xludf.DUMMYFUNCTION("GOOGLETRANSLATE('대전도시공사_청년임대주택 현황_20240630'!F362,""ko"",""en"")"),"27.52")</f>
        <v>27.52</v>
      </c>
      <c r="G362" s="1" t="str">
        <f ca="1">IFERROR(__xludf.DUMMYFUNCTION("GOOGLETRANSLATE('대전도시공사_청년임대주택 현황_20240630'!G362,""ko"",""en"")"),"6.27")</f>
        <v>6.27</v>
      </c>
      <c r="H362" s="1" t="str">
        <f ca="1">IFERROR(__xludf.DUMMYFUNCTION("GOOGLETRANSLATE('대전도시공사_청년임대주택 현황_20240630'!H362,""ko"",""en"")"),"Youth Rent 1st Place")</f>
        <v>Youth Rent 1st Place</v>
      </c>
      <c r="I362" s="1" t="str">
        <f ca="1">IFERROR(__xludf.DUMMYFUNCTION("GOOGLETRANSLATE('대전도시공사_청년임대주택 현황_20240630'!I362,""ko"",""en"")"),"1000000")</f>
        <v>1000000</v>
      </c>
      <c r="J362" s="1" t="str">
        <f ca="1">IFERROR(__xludf.DUMMYFUNCTION("GOOGLETRANSLATE('대전도시공사_청년임대주택 현황_20240630'!J362,""ko"",""en"")"),"143600")</f>
        <v>143600</v>
      </c>
    </row>
    <row r="363" spans="1:10" ht="12.5" x14ac:dyDescent="0.25">
      <c r="A363" s="1" t="str">
        <f ca="1">IFERROR(__xludf.DUMMYFUNCTION("GOOGLETRANSLATE('대전도시공사_청년임대주택 현황_20240630'!A363,""ko"",""en"")"),"Ojeong-dong 442-18 (CJ Bill, youth rental)")</f>
        <v>Ojeong-dong 442-18 (CJ Bill, youth rental)</v>
      </c>
      <c r="B363" s="1" t="str">
        <f ca="1">IFERROR(__xludf.DUMMYFUNCTION("GOOGLETRANSLATE('대전도시공사_청년임대주택 현황_20240630'!B363,""ko"",""en"")"),"43")</f>
        <v>43</v>
      </c>
      <c r="C363" s="1" t="str">
        <f ca="1">IFERROR(__xludf.DUMMYFUNCTION("GOOGLETRANSLATE('대전도시공사_청년임대주택 현황_20240630'!C363,""ko"",""en"")"),"1")</f>
        <v>1</v>
      </c>
      <c r="D363" s="1" t="str">
        <f ca="1">IFERROR(__xludf.DUMMYFUNCTION("GOOGLETRANSLATE('대전도시공사_청년임대주택 현황_20240630'!D363,""ko"",""en"")"),"401")</f>
        <v>401</v>
      </c>
      <c r="E363" s="1" t="str">
        <f ca="1">IFERROR(__xludf.DUMMYFUNCTION("GOOGLETRANSLATE('대전도시공사_청년임대주택 현황_20240630'!E363,""ko"",""en"")"),"33.79")</f>
        <v>33.79</v>
      </c>
      <c r="F363" s="1" t="str">
        <f ca="1">IFERROR(__xludf.DUMMYFUNCTION("GOOGLETRANSLATE('대전도시공사_청년임대주택 현황_20240630'!F363,""ko"",""en"")"),"27.52")</f>
        <v>27.52</v>
      </c>
      <c r="G363" s="1" t="str">
        <f ca="1">IFERROR(__xludf.DUMMYFUNCTION("GOOGLETRANSLATE('대전도시공사_청년임대주택 현황_20240630'!G363,""ko"",""en"")"),"6.27")</f>
        <v>6.27</v>
      </c>
      <c r="H363" s="1" t="str">
        <f ca="1">IFERROR(__xludf.DUMMYFUNCTION("GOOGLETRANSLATE('대전도시공사_청년임대주택 현황_20240630'!H363,""ko"",""en"")"),"Youth Rental 2nd Place")</f>
        <v>Youth Rental 2nd Place</v>
      </c>
      <c r="I363" s="1" t="str">
        <f ca="1">IFERROR(__xludf.DUMMYFUNCTION("GOOGLETRANSLATE('대전도시공사_청년임대주택 현황_20240630'!I363,""ko"",""en"")"),"2000000")</f>
        <v>2000000</v>
      </c>
      <c r="J363" s="1" t="str">
        <f ca="1">IFERROR(__xludf.DUMMYFUNCTION("GOOGLETRANSLATE('대전도시공사_청년임대주택 현황_20240630'!J363,""ko"",""en"")"),"174800")</f>
        <v>174800</v>
      </c>
    </row>
    <row r="364" spans="1:10" ht="12.5" x14ac:dyDescent="0.25">
      <c r="A364" s="1" t="str">
        <f ca="1">IFERROR(__xludf.DUMMYFUNCTION("GOOGLETRANSLATE('대전도시공사_청년임대주택 현황_20240630'!A364,""ko"",""en"")"),"Ojeong-dong 442-18 (CJ Bill, youth rental)")</f>
        <v>Ojeong-dong 442-18 (CJ Bill, youth rental)</v>
      </c>
      <c r="B364" s="1" t="str">
        <f ca="1">IFERROR(__xludf.DUMMYFUNCTION("GOOGLETRANSLATE('대전도시공사_청년임대주택 현황_20240630'!B364,""ko"",""en"")"),"44")</f>
        <v>44</v>
      </c>
      <c r="C364" s="1" t="str">
        <f ca="1">IFERROR(__xludf.DUMMYFUNCTION("GOOGLETRANSLATE('대전도시공사_청년임대주택 현황_20240630'!C364,""ko"",""en"")"),"1")</f>
        <v>1</v>
      </c>
      <c r="D364" s="1" t="str">
        <f ca="1">IFERROR(__xludf.DUMMYFUNCTION("GOOGLETRANSLATE('대전도시공사_청년임대주택 현황_20240630'!D364,""ko"",""en"")"),"401")</f>
        <v>401</v>
      </c>
      <c r="E364" s="1" t="str">
        <f ca="1">IFERROR(__xludf.DUMMYFUNCTION("GOOGLETRANSLATE('대전도시공사_청년임대주택 현황_20240630'!E364,""ko"",""en"")"),"33.79")</f>
        <v>33.79</v>
      </c>
      <c r="F364" s="1" t="str">
        <f ca="1">IFERROR(__xludf.DUMMYFUNCTION("GOOGLETRANSLATE('대전도시공사_청년임대주택 현황_20240630'!F364,""ko"",""en"")"),"27.52")</f>
        <v>27.52</v>
      </c>
      <c r="G364" s="1" t="str">
        <f ca="1">IFERROR(__xludf.DUMMYFUNCTION("GOOGLETRANSLATE('대전도시공사_청년임대주택 현황_20240630'!G364,""ko"",""en"")"),"6.27")</f>
        <v>6.27</v>
      </c>
      <c r="H364" s="1" t="str">
        <f ca="1">IFERROR(__xludf.DUMMYFUNCTION("GOOGLETRANSLATE('대전도시공사_청년임대주택 현황_20240630'!H364,""ko"",""en"")"),"3rd place for youth rental")</f>
        <v>3rd place for youth rental</v>
      </c>
      <c r="I364" s="1" t="str">
        <f ca="1">IFERROR(__xludf.DUMMYFUNCTION("GOOGLETRANSLATE('대전도시공사_청년임대주택 현황_20240630'!I364,""ko"",""en"")"),"2000000")</f>
        <v>2000000</v>
      </c>
      <c r="J364" s="1" t="str">
        <f ca="1">IFERROR(__xludf.DUMMYFUNCTION("GOOGLETRANSLATE('대전도시공사_청년임대주택 현황_20240630'!J364,""ko"",""en"")"),"174800")</f>
        <v>174800</v>
      </c>
    </row>
    <row r="365" spans="1:10" ht="12.5" x14ac:dyDescent="0.25">
      <c r="A365" s="1" t="str">
        <f ca="1">IFERROR(__xludf.DUMMYFUNCTION("GOOGLETRANSLATE('대전도시공사_청년임대주택 현황_20240630'!A365,""ko"",""en"")"),"Ojeong-dong 442-18 (CJ Bill, youth rental)")</f>
        <v>Ojeong-dong 442-18 (CJ Bill, youth rental)</v>
      </c>
      <c r="B365" s="1" t="str">
        <f ca="1">IFERROR(__xludf.DUMMYFUNCTION("GOOGLETRANSLATE('대전도시공사_청년임대주택 현황_20240630'!B365,""ko"",""en"")"),"45")</f>
        <v>45</v>
      </c>
      <c r="C365" s="1" t="str">
        <f ca="1">IFERROR(__xludf.DUMMYFUNCTION("GOOGLETRANSLATE('대전도시공사_청년임대주택 현황_20240630'!C365,""ko"",""en"")"),"1")</f>
        <v>1</v>
      </c>
      <c r="D365" s="1" t="str">
        <f ca="1">IFERROR(__xludf.DUMMYFUNCTION("GOOGLETRANSLATE('대전도시공사_청년임대주택 현황_20240630'!D365,""ko"",""en"")"),"402")</f>
        <v>402</v>
      </c>
      <c r="E365" s="1" t="str">
        <f ca="1">IFERROR(__xludf.DUMMYFUNCTION("GOOGLETRANSLATE('대전도시공사_청년임대주택 현황_20240630'!E365,""ko"",""en"")"),"33.79")</f>
        <v>33.79</v>
      </c>
      <c r="F365" s="1" t="str">
        <f ca="1">IFERROR(__xludf.DUMMYFUNCTION("GOOGLETRANSLATE('대전도시공사_청년임대주택 현황_20240630'!F365,""ko"",""en"")"),"27.52")</f>
        <v>27.52</v>
      </c>
      <c r="G365" s="1" t="str">
        <f ca="1">IFERROR(__xludf.DUMMYFUNCTION("GOOGLETRANSLATE('대전도시공사_청년임대주택 현황_20240630'!G365,""ko"",""en"")"),"6.27")</f>
        <v>6.27</v>
      </c>
      <c r="H365" s="1" t="str">
        <f ca="1">IFERROR(__xludf.DUMMYFUNCTION("GOOGLETRANSLATE('대전도시공사_청년임대주택 현황_20240630'!H365,""ko"",""en"")"),"Youth Rent 1st Place")</f>
        <v>Youth Rent 1st Place</v>
      </c>
      <c r="I365" s="1" t="str">
        <f ca="1">IFERROR(__xludf.DUMMYFUNCTION("GOOGLETRANSLATE('대전도시공사_청년임대주택 현황_20240630'!I365,""ko"",""en"")"),"1000000")</f>
        <v>1000000</v>
      </c>
      <c r="J365" s="1" t="str">
        <f ca="1">IFERROR(__xludf.DUMMYFUNCTION("GOOGLETRANSLATE('대전도시공사_청년임대주택 현황_20240630'!J365,""ko"",""en"")"),"145100")</f>
        <v>145100</v>
      </c>
    </row>
    <row r="366" spans="1:10" ht="12.5" x14ac:dyDescent="0.25">
      <c r="A366" s="1" t="str">
        <f ca="1">IFERROR(__xludf.DUMMYFUNCTION("GOOGLETRANSLATE('대전도시공사_청년임대주택 현황_20240630'!A366,""ko"",""en"")"),"Ojeong-dong 442-18 (CJ Bill, youth rental)")</f>
        <v>Ojeong-dong 442-18 (CJ Bill, youth rental)</v>
      </c>
      <c r="B366" s="1" t="str">
        <f ca="1">IFERROR(__xludf.DUMMYFUNCTION("GOOGLETRANSLATE('대전도시공사_청년임대주택 현황_20240630'!B366,""ko"",""en"")"),"46")</f>
        <v>46</v>
      </c>
      <c r="C366" s="1" t="str">
        <f ca="1">IFERROR(__xludf.DUMMYFUNCTION("GOOGLETRANSLATE('대전도시공사_청년임대주택 현황_20240630'!C366,""ko"",""en"")"),"1")</f>
        <v>1</v>
      </c>
      <c r="D366" s="1" t="str">
        <f ca="1">IFERROR(__xludf.DUMMYFUNCTION("GOOGLETRANSLATE('대전도시공사_청년임대주택 현황_20240630'!D366,""ko"",""en"")"),"402")</f>
        <v>402</v>
      </c>
      <c r="E366" s="1" t="str">
        <f ca="1">IFERROR(__xludf.DUMMYFUNCTION("GOOGLETRANSLATE('대전도시공사_청년임대주택 현황_20240630'!E366,""ko"",""en"")"),"33.79")</f>
        <v>33.79</v>
      </c>
      <c r="F366" s="1" t="str">
        <f ca="1">IFERROR(__xludf.DUMMYFUNCTION("GOOGLETRANSLATE('대전도시공사_청년임대주택 현황_20240630'!F366,""ko"",""en"")"),"27.52")</f>
        <v>27.52</v>
      </c>
      <c r="G366" s="1" t="str">
        <f ca="1">IFERROR(__xludf.DUMMYFUNCTION("GOOGLETRANSLATE('대전도시공사_청년임대주택 현황_20240630'!G366,""ko"",""en"")"),"6.27")</f>
        <v>6.27</v>
      </c>
      <c r="H366" s="1" t="str">
        <f ca="1">IFERROR(__xludf.DUMMYFUNCTION("GOOGLETRANSLATE('대전도시공사_청년임대주택 현황_20240630'!H366,""ko"",""en"")"),"Youth Rental 2nd Place")</f>
        <v>Youth Rental 2nd Place</v>
      </c>
      <c r="I366" s="1" t="str">
        <f ca="1">IFERROR(__xludf.DUMMYFUNCTION("GOOGLETRANSLATE('대전도시공사_청년임대주택 현황_20240630'!I366,""ko"",""en"")"),"2000000")</f>
        <v>2000000</v>
      </c>
      <c r="J366" s="1" t="str">
        <f ca="1">IFERROR(__xludf.DUMMYFUNCTION("GOOGLETRANSLATE('대전도시공사_청년임대주택 현황_20240630'!J366,""ko"",""en"")"),"176600")</f>
        <v>176600</v>
      </c>
    </row>
    <row r="367" spans="1:10" ht="12.5" x14ac:dyDescent="0.25">
      <c r="A367" s="1" t="str">
        <f ca="1">IFERROR(__xludf.DUMMYFUNCTION("GOOGLETRANSLATE('대전도시공사_청년임대주택 현황_20240630'!A367,""ko"",""en"")"),"Ojeong-dong 442-18 (CJ Bill, youth rental)")</f>
        <v>Ojeong-dong 442-18 (CJ Bill, youth rental)</v>
      </c>
      <c r="B367" s="1" t="str">
        <f ca="1">IFERROR(__xludf.DUMMYFUNCTION("GOOGLETRANSLATE('대전도시공사_청년임대주택 현황_20240630'!B367,""ko"",""en"")"),"47")</f>
        <v>47</v>
      </c>
      <c r="C367" s="1" t="str">
        <f ca="1">IFERROR(__xludf.DUMMYFUNCTION("GOOGLETRANSLATE('대전도시공사_청년임대주택 현황_20240630'!C367,""ko"",""en"")"),"1")</f>
        <v>1</v>
      </c>
      <c r="D367" s="1" t="str">
        <f ca="1">IFERROR(__xludf.DUMMYFUNCTION("GOOGLETRANSLATE('대전도시공사_청년임대주택 현황_20240630'!D367,""ko"",""en"")"),"402")</f>
        <v>402</v>
      </c>
      <c r="E367" s="1" t="str">
        <f ca="1">IFERROR(__xludf.DUMMYFUNCTION("GOOGLETRANSLATE('대전도시공사_청년임대주택 현황_20240630'!E367,""ko"",""en"")"),"33.79")</f>
        <v>33.79</v>
      </c>
      <c r="F367" s="1" t="str">
        <f ca="1">IFERROR(__xludf.DUMMYFUNCTION("GOOGLETRANSLATE('대전도시공사_청년임대주택 현황_20240630'!F367,""ko"",""en"")"),"27.52")</f>
        <v>27.52</v>
      </c>
      <c r="G367" s="1" t="str">
        <f ca="1">IFERROR(__xludf.DUMMYFUNCTION("GOOGLETRANSLATE('대전도시공사_청년임대주택 현황_20240630'!G367,""ko"",""en"")"),"6.27")</f>
        <v>6.27</v>
      </c>
      <c r="H367" s="1" t="str">
        <f ca="1">IFERROR(__xludf.DUMMYFUNCTION("GOOGLETRANSLATE('대전도시공사_청년임대주택 현황_20240630'!H367,""ko"",""en"")"),"3rd place for youth rental")</f>
        <v>3rd place for youth rental</v>
      </c>
      <c r="I367" s="1" t="str">
        <f ca="1">IFERROR(__xludf.DUMMYFUNCTION("GOOGLETRANSLATE('대전도시공사_청년임대주택 현황_20240630'!I367,""ko"",""en"")"),"2000000")</f>
        <v>2000000</v>
      </c>
      <c r="J367" s="1" t="str">
        <f ca="1">IFERROR(__xludf.DUMMYFUNCTION("GOOGLETRANSLATE('대전도시공사_청년임대주택 현황_20240630'!J367,""ko"",""en"")"),"176600")</f>
        <v>176600</v>
      </c>
    </row>
    <row r="368" spans="1:10" ht="12.5" x14ac:dyDescent="0.25">
      <c r="A368" s="1" t="str">
        <f ca="1">IFERROR(__xludf.DUMMYFUNCTION("GOOGLETRANSLATE('대전도시공사_청년임대주택 현황_20240630'!A368,""ko"",""en"")"),"Ojeong-dong 442-18 (CJ Bill, youth rental)")</f>
        <v>Ojeong-dong 442-18 (CJ Bill, youth rental)</v>
      </c>
      <c r="B368" s="1" t="str">
        <f ca="1">IFERROR(__xludf.DUMMYFUNCTION("GOOGLETRANSLATE('대전도시공사_청년임대주택 현황_20240630'!B368,""ko"",""en"")"),"48")</f>
        <v>48</v>
      </c>
      <c r="C368" s="1" t="str">
        <f ca="1">IFERROR(__xludf.DUMMYFUNCTION("GOOGLETRANSLATE('대전도시공사_청년임대주택 현황_20240630'!C368,""ko"",""en"")"),"1")</f>
        <v>1</v>
      </c>
      <c r="D368" s="1" t="str">
        <f ca="1">IFERROR(__xludf.DUMMYFUNCTION("GOOGLETRANSLATE('대전도시공사_청년임대주택 현황_20240630'!D368,""ko"",""en"")"),"403")</f>
        <v>403</v>
      </c>
      <c r="E368" s="1" t="str">
        <f ca="1">IFERROR(__xludf.DUMMYFUNCTION("GOOGLETRANSLATE('대전도시공사_청년임대주택 현황_20240630'!E368,""ko"",""en"")"),"33.01")</f>
        <v>33.01</v>
      </c>
      <c r="F368" s="1" t="str">
        <f ca="1">IFERROR(__xludf.DUMMYFUNCTION("GOOGLETRANSLATE('대전도시공사_청년임대주택 현황_20240630'!F368,""ko"",""en"")"),"26.88")</f>
        <v>26.88</v>
      </c>
      <c r="G368" s="1" t="str">
        <f ca="1">IFERROR(__xludf.DUMMYFUNCTION("GOOGLETRANSLATE('대전도시공사_청년임대주택 현황_20240630'!G368,""ko"",""en"")"),"6.13")</f>
        <v>6.13</v>
      </c>
      <c r="H368" s="1" t="str">
        <f ca="1">IFERROR(__xludf.DUMMYFUNCTION("GOOGLETRANSLATE('대전도시공사_청년임대주택 현황_20240630'!H368,""ko"",""en"")"),"Youth Rent 1st Place")</f>
        <v>Youth Rent 1st Place</v>
      </c>
      <c r="I368" s="1" t="str">
        <f ca="1">IFERROR(__xludf.DUMMYFUNCTION("GOOGLETRANSLATE('대전도시공사_청년임대주택 현황_20240630'!I368,""ko"",""en"")"),"1000000")</f>
        <v>1000000</v>
      </c>
      <c r="J368" s="1" t="str">
        <f ca="1">IFERROR(__xludf.DUMMYFUNCTION("GOOGLETRANSLATE('대전도시공사_청년임대주택 현황_20240630'!J368,""ko"",""en"")"),"140200")</f>
        <v>140200</v>
      </c>
    </row>
    <row r="369" spans="1:10" ht="12.5" x14ac:dyDescent="0.25">
      <c r="A369" s="1" t="str">
        <f ca="1">IFERROR(__xludf.DUMMYFUNCTION("GOOGLETRANSLATE('대전도시공사_청년임대주택 현황_20240630'!A369,""ko"",""en"")"),"Ojeong-dong 442-18 (CJ Bill, youth rental)")</f>
        <v>Ojeong-dong 442-18 (CJ Bill, youth rental)</v>
      </c>
      <c r="B369" s="1" t="str">
        <f ca="1">IFERROR(__xludf.DUMMYFUNCTION("GOOGLETRANSLATE('대전도시공사_청년임대주택 현황_20240630'!B369,""ko"",""en"")"),"49")</f>
        <v>49</v>
      </c>
      <c r="C369" s="1" t="str">
        <f ca="1">IFERROR(__xludf.DUMMYFUNCTION("GOOGLETRANSLATE('대전도시공사_청년임대주택 현황_20240630'!C369,""ko"",""en"")"),"1")</f>
        <v>1</v>
      </c>
      <c r="D369" s="1" t="str">
        <f ca="1">IFERROR(__xludf.DUMMYFUNCTION("GOOGLETRANSLATE('대전도시공사_청년임대주택 현황_20240630'!D369,""ko"",""en"")"),"403")</f>
        <v>403</v>
      </c>
      <c r="E369" s="1" t="str">
        <f ca="1">IFERROR(__xludf.DUMMYFUNCTION("GOOGLETRANSLATE('대전도시공사_청년임대주택 현황_20240630'!E369,""ko"",""en"")"),"33.01")</f>
        <v>33.01</v>
      </c>
      <c r="F369" s="1" t="str">
        <f ca="1">IFERROR(__xludf.DUMMYFUNCTION("GOOGLETRANSLATE('대전도시공사_청년임대주택 현황_20240630'!F369,""ko"",""en"")"),"26.88")</f>
        <v>26.88</v>
      </c>
      <c r="G369" s="1" t="str">
        <f ca="1">IFERROR(__xludf.DUMMYFUNCTION("GOOGLETRANSLATE('대전도시공사_청년임대주택 현황_20240630'!G369,""ko"",""en"")"),"6.13")</f>
        <v>6.13</v>
      </c>
      <c r="H369" s="1" t="str">
        <f ca="1">IFERROR(__xludf.DUMMYFUNCTION("GOOGLETRANSLATE('대전도시공사_청년임대주택 현황_20240630'!H369,""ko"",""en"")"),"Youth Rental 2nd Place")</f>
        <v>Youth Rental 2nd Place</v>
      </c>
      <c r="I369" s="1" t="str">
        <f ca="1">IFERROR(__xludf.DUMMYFUNCTION("GOOGLETRANSLATE('대전도시공사_청년임대주택 현황_20240630'!I369,""ko"",""en"")"),"2000000")</f>
        <v>2000000</v>
      </c>
      <c r="J369" s="1" t="str">
        <f ca="1">IFERROR(__xludf.DUMMYFUNCTION("GOOGLETRANSLATE('대전도시공사_청년임대주택 현황_20240630'!J369,""ko"",""en"")"),"170400")</f>
        <v>170400</v>
      </c>
    </row>
    <row r="370" spans="1:10" ht="12.5" x14ac:dyDescent="0.25">
      <c r="A370" s="1" t="str">
        <f ca="1">IFERROR(__xludf.DUMMYFUNCTION("GOOGLETRANSLATE('대전도시공사_청년임대주택 현황_20240630'!A370,""ko"",""en"")"),"Ojeong-dong 442-18 (CJ Bill, youth rental)")</f>
        <v>Ojeong-dong 442-18 (CJ Bill, youth rental)</v>
      </c>
      <c r="B370" s="1" t="str">
        <f ca="1">IFERROR(__xludf.DUMMYFUNCTION("GOOGLETRANSLATE('대전도시공사_청년임대주택 현황_20240630'!B370,""ko"",""en"")"),"50")</f>
        <v>50</v>
      </c>
      <c r="C370" s="1" t="str">
        <f ca="1">IFERROR(__xludf.DUMMYFUNCTION("GOOGLETRANSLATE('대전도시공사_청년임대주택 현황_20240630'!C370,""ko"",""en"")"),"1")</f>
        <v>1</v>
      </c>
      <c r="D370" s="1" t="str">
        <f ca="1">IFERROR(__xludf.DUMMYFUNCTION("GOOGLETRANSLATE('대전도시공사_청년임대주택 현황_20240630'!D370,""ko"",""en"")"),"403")</f>
        <v>403</v>
      </c>
      <c r="E370" s="1" t="str">
        <f ca="1">IFERROR(__xludf.DUMMYFUNCTION("GOOGLETRANSLATE('대전도시공사_청년임대주택 현황_20240630'!E370,""ko"",""en"")"),"33.01")</f>
        <v>33.01</v>
      </c>
      <c r="F370" s="1" t="str">
        <f ca="1">IFERROR(__xludf.DUMMYFUNCTION("GOOGLETRANSLATE('대전도시공사_청년임대주택 현황_20240630'!F370,""ko"",""en"")"),"26.88")</f>
        <v>26.88</v>
      </c>
      <c r="G370" s="1" t="str">
        <f ca="1">IFERROR(__xludf.DUMMYFUNCTION("GOOGLETRANSLATE('대전도시공사_청년임대주택 현황_20240630'!G370,""ko"",""en"")"),"6.13")</f>
        <v>6.13</v>
      </c>
      <c r="H370" s="1" t="str">
        <f ca="1">IFERROR(__xludf.DUMMYFUNCTION("GOOGLETRANSLATE('대전도시공사_청년임대주택 현황_20240630'!H370,""ko"",""en"")"),"3rd place for youth rental")</f>
        <v>3rd place for youth rental</v>
      </c>
      <c r="I370" s="1" t="str">
        <f ca="1">IFERROR(__xludf.DUMMYFUNCTION("GOOGLETRANSLATE('대전도시공사_청년임대주택 현황_20240630'!I370,""ko"",""en"")"),"2000000")</f>
        <v>2000000</v>
      </c>
      <c r="J370" s="1" t="str">
        <f ca="1">IFERROR(__xludf.DUMMYFUNCTION("GOOGLETRANSLATE('대전도시공사_청년임대주택 현황_20240630'!J370,""ko"",""en"")"),"170400")</f>
        <v>170400</v>
      </c>
    </row>
    <row r="371" spans="1:10" ht="12.5" x14ac:dyDescent="0.25">
      <c r="A371" s="1" t="str">
        <f ca="1">IFERROR(__xludf.DUMMYFUNCTION("GOOGLETRANSLATE('대전도시공사_청년임대주택 현황_20240630'!A371,""ko"",""en"")"),"Ojeong-dong 442-18 (CJ Bill, youth rental)")</f>
        <v>Ojeong-dong 442-18 (CJ Bill, youth rental)</v>
      </c>
      <c r="B371" s="1" t="str">
        <f ca="1">IFERROR(__xludf.DUMMYFUNCTION("GOOGLETRANSLATE('대전도시공사_청년임대주택 현황_20240630'!B371,""ko"",""en"")"),"51")</f>
        <v>51</v>
      </c>
      <c r="C371" s="1" t="str">
        <f ca="1">IFERROR(__xludf.DUMMYFUNCTION("GOOGLETRANSLATE('대전도시공사_청년임대주택 현황_20240630'!C371,""ko"",""en"")"),"1")</f>
        <v>1</v>
      </c>
      <c r="D371" s="1" t="str">
        <f ca="1">IFERROR(__xludf.DUMMYFUNCTION("GOOGLETRANSLATE('대전도시공사_청년임대주택 현황_20240630'!D371,""ko"",""en"")"),"404")</f>
        <v>404</v>
      </c>
      <c r="E371" s="1" t="str">
        <f ca="1">IFERROR(__xludf.DUMMYFUNCTION("GOOGLETRANSLATE('대전도시공사_청년임대주택 현황_20240630'!E371,""ko"",""en"")"),"33.01")</f>
        <v>33.01</v>
      </c>
      <c r="F371" s="1" t="str">
        <f ca="1">IFERROR(__xludf.DUMMYFUNCTION("GOOGLETRANSLATE('대전도시공사_청년임대주택 현황_20240630'!F371,""ko"",""en"")"),"26.88")</f>
        <v>26.88</v>
      </c>
      <c r="G371" s="1" t="str">
        <f ca="1">IFERROR(__xludf.DUMMYFUNCTION("GOOGLETRANSLATE('대전도시공사_청년임대주택 현황_20240630'!G371,""ko"",""en"")"),"6.13")</f>
        <v>6.13</v>
      </c>
      <c r="H371" s="1" t="str">
        <f ca="1">IFERROR(__xludf.DUMMYFUNCTION("GOOGLETRANSLATE('대전도시공사_청년임대주택 현황_20240630'!H371,""ko"",""en"")"),"Youth Rent 1st Place")</f>
        <v>Youth Rent 1st Place</v>
      </c>
      <c r="I371" s="1" t="str">
        <f ca="1">IFERROR(__xludf.DUMMYFUNCTION("GOOGLETRANSLATE('대전도시공사_청년임대주택 현황_20240630'!I371,""ko"",""en"")"),"1000000")</f>
        <v>1000000</v>
      </c>
      <c r="J371" s="1" t="str">
        <f ca="1">IFERROR(__xludf.DUMMYFUNCTION("GOOGLETRANSLATE('대전도시공사_청년임대주택 현황_20240630'!J371,""ko"",""en"")"),"140200")</f>
        <v>140200</v>
      </c>
    </row>
    <row r="372" spans="1:10" ht="12.5" x14ac:dyDescent="0.25">
      <c r="A372" s="1" t="str">
        <f ca="1">IFERROR(__xludf.DUMMYFUNCTION("GOOGLETRANSLATE('대전도시공사_청년임대주택 현황_20240630'!A372,""ko"",""en"")"),"Ojeong-dong 442-18 (CJ Bill, youth rental)")</f>
        <v>Ojeong-dong 442-18 (CJ Bill, youth rental)</v>
      </c>
      <c r="B372" s="1" t="str">
        <f ca="1">IFERROR(__xludf.DUMMYFUNCTION("GOOGLETRANSLATE('대전도시공사_청년임대주택 현황_20240630'!B372,""ko"",""en"")"),"52")</f>
        <v>52</v>
      </c>
      <c r="C372" s="1" t="str">
        <f ca="1">IFERROR(__xludf.DUMMYFUNCTION("GOOGLETRANSLATE('대전도시공사_청년임대주택 현황_20240630'!C372,""ko"",""en"")"),"1")</f>
        <v>1</v>
      </c>
      <c r="D372" s="1" t="str">
        <f ca="1">IFERROR(__xludf.DUMMYFUNCTION("GOOGLETRANSLATE('대전도시공사_청년임대주택 현황_20240630'!D372,""ko"",""en"")"),"404")</f>
        <v>404</v>
      </c>
      <c r="E372" s="1" t="str">
        <f ca="1">IFERROR(__xludf.DUMMYFUNCTION("GOOGLETRANSLATE('대전도시공사_청년임대주택 현황_20240630'!E372,""ko"",""en"")"),"33.01")</f>
        <v>33.01</v>
      </c>
      <c r="F372" s="1" t="str">
        <f ca="1">IFERROR(__xludf.DUMMYFUNCTION("GOOGLETRANSLATE('대전도시공사_청년임대주택 현황_20240630'!F372,""ko"",""en"")"),"26.88")</f>
        <v>26.88</v>
      </c>
      <c r="G372" s="1" t="str">
        <f ca="1">IFERROR(__xludf.DUMMYFUNCTION("GOOGLETRANSLATE('대전도시공사_청년임대주택 현황_20240630'!G372,""ko"",""en"")"),"6.13")</f>
        <v>6.13</v>
      </c>
      <c r="H372" s="1" t="str">
        <f ca="1">IFERROR(__xludf.DUMMYFUNCTION("GOOGLETRANSLATE('대전도시공사_청년임대주택 현황_20240630'!H372,""ko"",""en"")"),"Youth Rental 2nd Place")</f>
        <v>Youth Rental 2nd Place</v>
      </c>
      <c r="I372" s="1" t="str">
        <f ca="1">IFERROR(__xludf.DUMMYFUNCTION("GOOGLETRANSLATE('대전도시공사_청년임대주택 현황_20240630'!I372,""ko"",""en"")"),"2000000")</f>
        <v>2000000</v>
      </c>
      <c r="J372" s="1" t="str">
        <f ca="1">IFERROR(__xludf.DUMMYFUNCTION("GOOGLETRANSLATE('대전도시공사_청년임대주택 현황_20240630'!J372,""ko"",""en"")"),"170400")</f>
        <v>170400</v>
      </c>
    </row>
    <row r="373" spans="1:10" ht="12.5" x14ac:dyDescent="0.25">
      <c r="A373" s="1" t="str">
        <f ca="1">IFERROR(__xludf.DUMMYFUNCTION("GOOGLETRANSLATE('대전도시공사_청년임대주택 현황_20240630'!A373,""ko"",""en"")"),"Ojeong-dong 442-18 (CJ Bill, youth rental)")</f>
        <v>Ojeong-dong 442-18 (CJ Bill, youth rental)</v>
      </c>
      <c r="B373" s="1" t="str">
        <f ca="1">IFERROR(__xludf.DUMMYFUNCTION("GOOGLETRANSLATE('대전도시공사_청년임대주택 현황_20240630'!B373,""ko"",""en"")"),"53")</f>
        <v>53</v>
      </c>
      <c r="C373" s="1" t="str">
        <f ca="1">IFERROR(__xludf.DUMMYFUNCTION("GOOGLETRANSLATE('대전도시공사_청년임대주택 현황_20240630'!C373,""ko"",""en"")"),"1")</f>
        <v>1</v>
      </c>
      <c r="D373" s="1" t="str">
        <f ca="1">IFERROR(__xludf.DUMMYFUNCTION("GOOGLETRANSLATE('대전도시공사_청년임대주택 현황_20240630'!D373,""ko"",""en"")"),"404")</f>
        <v>404</v>
      </c>
      <c r="E373" s="1" t="str">
        <f ca="1">IFERROR(__xludf.DUMMYFUNCTION("GOOGLETRANSLATE('대전도시공사_청년임대주택 현황_20240630'!E373,""ko"",""en"")"),"33.01")</f>
        <v>33.01</v>
      </c>
      <c r="F373" s="1" t="str">
        <f ca="1">IFERROR(__xludf.DUMMYFUNCTION("GOOGLETRANSLATE('대전도시공사_청년임대주택 현황_20240630'!F373,""ko"",""en"")"),"26.88")</f>
        <v>26.88</v>
      </c>
      <c r="G373" s="1" t="str">
        <f ca="1">IFERROR(__xludf.DUMMYFUNCTION("GOOGLETRANSLATE('대전도시공사_청년임대주택 현황_20240630'!G373,""ko"",""en"")"),"6.13")</f>
        <v>6.13</v>
      </c>
      <c r="H373" s="1" t="str">
        <f ca="1">IFERROR(__xludf.DUMMYFUNCTION("GOOGLETRANSLATE('대전도시공사_청년임대주택 현황_20240630'!H373,""ko"",""en"")"),"3rd place for youth rental")</f>
        <v>3rd place for youth rental</v>
      </c>
      <c r="I373" s="1" t="str">
        <f ca="1">IFERROR(__xludf.DUMMYFUNCTION("GOOGLETRANSLATE('대전도시공사_청년임대주택 현황_20240630'!I373,""ko"",""en"")"),"2000000")</f>
        <v>2000000</v>
      </c>
      <c r="J373" s="1" t="str">
        <f ca="1">IFERROR(__xludf.DUMMYFUNCTION("GOOGLETRANSLATE('대전도시공사_청년임대주택 현황_20240630'!J373,""ko"",""en"")"),"170400")</f>
        <v>170400</v>
      </c>
    </row>
    <row r="374" spans="1:10" ht="12.5" x14ac:dyDescent="0.25">
      <c r="A374" s="1" t="str">
        <f ca="1">IFERROR(__xludf.DUMMYFUNCTION("GOOGLETRANSLATE('대전도시공사_청년임대주택 현황_20240630'!A374,""ko"",""en"")"),"Ojeong-dong 442-18 (CJ Bill, youth rental)")</f>
        <v>Ojeong-dong 442-18 (CJ Bill, youth rental)</v>
      </c>
      <c r="B374" s="1" t="str">
        <f ca="1">IFERROR(__xludf.DUMMYFUNCTION("GOOGLETRANSLATE('대전도시공사_청년임대주택 현황_20240630'!B374,""ko"",""en"")"),"54")</f>
        <v>54</v>
      </c>
      <c r="C374" s="1" t="str">
        <f ca="1">IFERROR(__xludf.DUMMYFUNCTION("GOOGLETRANSLATE('대전도시공사_청년임대주택 현황_20240630'!C374,""ko"",""en"")"),"1")</f>
        <v>1</v>
      </c>
      <c r="D374" s="1" t="str">
        <f ca="1">IFERROR(__xludf.DUMMYFUNCTION("GOOGLETRANSLATE('대전도시공사_청년임대주택 현황_20240630'!D374,""ko"",""en"")"),"405")</f>
        <v>405</v>
      </c>
      <c r="E374" s="1" t="str">
        <f ca="1">IFERROR(__xludf.DUMMYFUNCTION("GOOGLETRANSLATE('대전도시공사_청년임대주택 현황_20240630'!E374,""ko"",""en"")"),"40.94")</f>
        <v>40.94</v>
      </c>
      <c r="F374" s="1" t="str">
        <f ca="1">IFERROR(__xludf.DUMMYFUNCTION("GOOGLETRANSLATE('대전도시공사_청년임대주택 현황_20240630'!F374,""ko"",""en"")"),"13.32")</f>
        <v>13.32</v>
      </c>
      <c r="G374" s="1" t="str">
        <f ca="1">IFERROR(__xludf.DUMMYFUNCTION("GOOGLETRANSLATE('대전도시공사_청년임대주택 현황_20240630'!G374,""ko"",""en"")"),"27.62")</f>
        <v>27.62</v>
      </c>
      <c r="H374" s="1" t="str">
        <f ca="1">IFERROR(__xludf.DUMMYFUNCTION("GOOGLETRANSLATE('대전도시공사_청년임대주택 현황_20240630'!H374,""ko"",""en"")"),"Youth Rent 1st Place")</f>
        <v>Youth Rent 1st Place</v>
      </c>
      <c r="I374" s="1" t="str">
        <f ca="1">IFERROR(__xludf.DUMMYFUNCTION("GOOGLETRANSLATE('대전도시공사_청년임대주택 현황_20240630'!I374,""ko"",""en"")"),"1000000")</f>
        <v>1000000</v>
      </c>
      <c r="J374" s="1" t="str">
        <f ca="1">IFERROR(__xludf.DUMMYFUNCTION("GOOGLETRANSLATE('대전도시공사_청년임대주택 현황_20240630'!J374,""ko"",""en"")"),"139300")</f>
        <v>139300</v>
      </c>
    </row>
    <row r="375" spans="1:10" ht="12.5" x14ac:dyDescent="0.25">
      <c r="A375" s="1" t="str">
        <f ca="1">IFERROR(__xludf.DUMMYFUNCTION("GOOGLETRANSLATE('대전도시공사_청년임대주택 현황_20240630'!A375,""ko"",""en"")"),"Ojeong-dong 442-18 (CJ Bill, youth rental)")</f>
        <v>Ojeong-dong 442-18 (CJ Bill, youth rental)</v>
      </c>
      <c r="B375" s="1" t="str">
        <f ca="1">IFERROR(__xludf.DUMMYFUNCTION("GOOGLETRANSLATE('대전도시공사_청년임대주택 현황_20240630'!B375,""ko"",""en"")"),"55")</f>
        <v>55</v>
      </c>
      <c r="C375" s="1" t="str">
        <f ca="1">IFERROR(__xludf.DUMMYFUNCTION("GOOGLETRANSLATE('대전도시공사_청년임대주택 현황_20240630'!C375,""ko"",""en"")"),"1")</f>
        <v>1</v>
      </c>
      <c r="D375" s="1" t="str">
        <f ca="1">IFERROR(__xludf.DUMMYFUNCTION("GOOGLETRANSLATE('대전도시공사_청년임대주택 현황_20240630'!D375,""ko"",""en"")"),"405")</f>
        <v>405</v>
      </c>
      <c r="E375" s="1" t="str">
        <f ca="1">IFERROR(__xludf.DUMMYFUNCTION("GOOGLETRANSLATE('대전도시공사_청년임대주택 현황_20240630'!E375,""ko"",""en"")"),"40.94")</f>
        <v>40.94</v>
      </c>
      <c r="F375" s="1" t="str">
        <f ca="1">IFERROR(__xludf.DUMMYFUNCTION("GOOGLETRANSLATE('대전도시공사_청년임대주택 현황_20240630'!F375,""ko"",""en"")"),"13.32")</f>
        <v>13.32</v>
      </c>
      <c r="G375" s="1" t="str">
        <f ca="1">IFERROR(__xludf.DUMMYFUNCTION("GOOGLETRANSLATE('대전도시공사_청년임대주택 현황_20240630'!G375,""ko"",""en"")"),"27.62")</f>
        <v>27.62</v>
      </c>
      <c r="H375" s="1" t="str">
        <f ca="1">IFERROR(__xludf.DUMMYFUNCTION("GOOGLETRANSLATE('대전도시공사_청년임대주택 현황_20240630'!H375,""ko"",""en"")"),"Youth Rental 2nd Place")</f>
        <v>Youth Rental 2nd Place</v>
      </c>
      <c r="I375" s="1" t="str">
        <f ca="1">IFERROR(__xludf.DUMMYFUNCTION("GOOGLETRANSLATE('대전도시공사_청년임대주택 현황_20240630'!I375,""ko"",""en"")"),"2000000")</f>
        <v>2000000</v>
      </c>
      <c r="J375" s="1" t="str">
        <f ca="1">IFERROR(__xludf.DUMMYFUNCTION("GOOGLETRANSLATE('대전도시공사_청년임대주택 현황_20240630'!J375,""ko"",""en"")"),"169300")</f>
        <v>169300</v>
      </c>
    </row>
    <row r="376" spans="1:10" ht="12.5" x14ac:dyDescent="0.25">
      <c r="A376" s="1" t="str">
        <f ca="1">IFERROR(__xludf.DUMMYFUNCTION("GOOGLETRANSLATE('대전도시공사_청년임대주택 현황_20240630'!A376,""ko"",""en"")"),"Ojeong-dong 442-18 (CJ Bill, youth rental)")</f>
        <v>Ojeong-dong 442-18 (CJ Bill, youth rental)</v>
      </c>
      <c r="B376" s="1" t="str">
        <f ca="1">IFERROR(__xludf.DUMMYFUNCTION("GOOGLETRANSLATE('대전도시공사_청년임대주택 현황_20240630'!B376,""ko"",""en"")"),"56")</f>
        <v>56</v>
      </c>
      <c r="C376" s="1" t="str">
        <f ca="1">IFERROR(__xludf.DUMMYFUNCTION("GOOGLETRANSLATE('대전도시공사_청년임대주택 현황_20240630'!C376,""ko"",""en"")"),"1")</f>
        <v>1</v>
      </c>
      <c r="D376" s="1" t="str">
        <f ca="1">IFERROR(__xludf.DUMMYFUNCTION("GOOGLETRANSLATE('대전도시공사_청년임대주택 현황_20240630'!D376,""ko"",""en"")"),"405")</f>
        <v>405</v>
      </c>
      <c r="E376" s="1" t="str">
        <f ca="1">IFERROR(__xludf.DUMMYFUNCTION("GOOGLETRANSLATE('대전도시공사_청년임대주택 현황_20240630'!E376,""ko"",""en"")"),"40.94")</f>
        <v>40.94</v>
      </c>
      <c r="F376" s="1" t="str">
        <f ca="1">IFERROR(__xludf.DUMMYFUNCTION("GOOGLETRANSLATE('대전도시공사_청년임대주택 현황_20240630'!F376,""ko"",""en"")"),"13.32")</f>
        <v>13.32</v>
      </c>
      <c r="G376" s="1" t="str">
        <f ca="1">IFERROR(__xludf.DUMMYFUNCTION("GOOGLETRANSLATE('대전도시공사_청년임대주택 현황_20240630'!G376,""ko"",""en"")"),"27.62")</f>
        <v>27.62</v>
      </c>
      <c r="H376" s="1" t="str">
        <f ca="1">IFERROR(__xludf.DUMMYFUNCTION("GOOGLETRANSLATE('대전도시공사_청년임대주택 현황_20240630'!H376,""ko"",""en"")"),"3rd place for youth rental")</f>
        <v>3rd place for youth rental</v>
      </c>
      <c r="I376" s="1" t="str">
        <f ca="1">IFERROR(__xludf.DUMMYFUNCTION("GOOGLETRANSLATE('대전도시공사_청년임대주택 현황_20240630'!I376,""ko"",""en"")"),"2000000")</f>
        <v>2000000</v>
      </c>
      <c r="J376" s="1" t="str">
        <f ca="1">IFERROR(__xludf.DUMMYFUNCTION("GOOGLETRANSLATE('대전도시공사_청년임대주택 현황_20240630'!J376,""ko"",""en"")"),"169300")</f>
        <v>169300</v>
      </c>
    </row>
    <row r="377" spans="1:10" ht="12.5" x14ac:dyDescent="0.25">
      <c r="A377" s="1" t="str">
        <f ca="1">IFERROR(__xludf.DUMMYFUNCTION("GOOGLETRANSLATE('대전도시공사_청년임대주택 현황_20240630'!A377,""ko"",""en"")"),"Ojeong-dong 442-18 (CJ Bill, youth rental)")</f>
        <v>Ojeong-dong 442-18 (CJ Bill, youth rental)</v>
      </c>
      <c r="B377" s="1" t="str">
        <f ca="1">IFERROR(__xludf.DUMMYFUNCTION("GOOGLETRANSLATE('대전도시공사_청년임대주택 현황_20240630'!B377,""ko"",""en"")"),"57")</f>
        <v>57</v>
      </c>
      <c r="C377" s="1" t="str">
        <f ca="1">IFERROR(__xludf.DUMMYFUNCTION("GOOGLETRANSLATE('대전도시공사_청년임대주택 현황_20240630'!C377,""ko"",""en"")"),"1")</f>
        <v>1</v>
      </c>
      <c r="D377" s="1" t="str">
        <f ca="1">IFERROR(__xludf.DUMMYFUNCTION("GOOGLETRANSLATE('대전도시공사_청년임대주택 현황_20240630'!D377,""ko"",""en"")"),"405")</f>
        <v>405</v>
      </c>
      <c r="E377" s="1" t="str">
        <f ca="1">IFERROR(__xludf.DUMMYFUNCTION("GOOGLETRANSLATE('대전도시공사_청년임대주택 현황_20240630'!E377,""ko"",""en"")"),"28.58")</f>
        <v>28.58</v>
      </c>
      <c r="F377" s="1" t="str">
        <f ca="1">IFERROR(__xludf.DUMMYFUNCTION("GOOGLETRANSLATE('대전도시공사_청년임대주택 현황_20240630'!F377,""ko"",""en"")"),"9.3")</f>
        <v>9.3</v>
      </c>
      <c r="G377" s="1" t="str">
        <f ca="1">IFERROR(__xludf.DUMMYFUNCTION("GOOGLETRANSLATE('대전도시공사_청년임대주택 현황_20240630'!G377,""ko"",""en"")"),"19.28")</f>
        <v>19.28</v>
      </c>
      <c r="H377" s="1" t="str">
        <f ca="1">IFERROR(__xludf.DUMMYFUNCTION("GOOGLETRANSLATE('대전도시공사_청년임대주택 현황_20240630'!H377,""ko"",""en"")"),"Youth Rent 1st Place")</f>
        <v>Youth Rent 1st Place</v>
      </c>
      <c r="I377" s="1" t="str">
        <f ca="1">IFERROR(__xludf.DUMMYFUNCTION("GOOGLETRANSLATE('대전도시공사_청년임대주택 현황_20240630'!I377,""ko"",""en"")"),"1000000")</f>
        <v>1000000</v>
      </c>
      <c r="J377" s="1" t="str">
        <f ca="1">IFERROR(__xludf.DUMMYFUNCTION("GOOGLETRANSLATE('대전도시공사_청년임대주택 현황_20240630'!J377,""ko"",""en"")"),"90500")</f>
        <v>90500</v>
      </c>
    </row>
    <row r="378" spans="1:10" ht="12.5" x14ac:dyDescent="0.25">
      <c r="A378" s="1" t="str">
        <f ca="1">IFERROR(__xludf.DUMMYFUNCTION("GOOGLETRANSLATE('대전도시공사_청년임대주택 현황_20240630'!A378,""ko"",""en"")"),"Ojeong-dong 442-18 (CJ Bill, youth rental)")</f>
        <v>Ojeong-dong 442-18 (CJ Bill, youth rental)</v>
      </c>
      <c r="B378" s="1" t="str">
        <f ca="1">IFERROR(__xludf.DUMMYFUNCTION("GOOGLETRANSLATE('대전도시공사_청년임대주택 현황_20240630'!B378,""ko"",""en"")"),"58")</f>
        <v>58</v>
      </c>
      <c r="C378" s="1" t="str">
        <f ca="1">IFERROR(__xludf.DUMMYFUNCTION("GOOGLETRANSLATE('대전도시공사_청년임대주택 현황_20240630'!C378,""ko"",""en"")"),"1")</f>
        <v>1</v>
      </c>
      <c r="D378" s="1" t="str">
        <f ca="1">IFERROR(__xludf.DUMMYFUNCTION("GOOGLETRANSLATE('대전도시공사_청년임대주택 현황_20240630'!D378,""ko"",""en"")"),"405")</f>
        <v>405</v>
      </c>
      <c r="E378" s="1" t="str">
        <f ca="1">IFERROR(__xludf.DUMMYFUNCTION("GOOGLETRANSLATE('대전도시공사_청년임대주택 현황_20240630'!E378,""ko"",""en"")"),"28.58")</f>
        <v>28.58</v>
      </c>
      <c r="F378" s="1" t="str">
        <f ca="1">IFERROR(__xludf.DUMMYFUNCTION("GOOGLETRANSLATE('대전도시공사_청년임대주택 현황_20240630'!F378,""ko"",""en"")"),"9.3")</f>
        <v>9.3</v>
      </c>
      <c r="G378" s="1" t="str">
        <f ca="1">IFERROR(__xludf.DUMMYFUNCTION("GOOGLETRANSLATE('대전도시공사_청년임대주택 현황_20240630'!G378,""ko"",""en"")"),"19.28")</f>
        <v>19.28</v>
      </c>
      <c r="H378" s="1" t="str">
        <f ca="1">IFERROR(__xludf.DUMMYFUNCTION("GOOGLETRANSLATE('대전도시공사_청년임대주택 현황_20240630'!H378,""ko"",""en"")"),"Youth Rental 2nd Place")</f>
        <v>Youth Rental 2nd Place</v>
      </c>
      <c r="I378" s="1" t="str">
        <f ca="1">IFERROR(__xludf.DUMMYFUNCTION("GOOGLETRANSLATE('대전도시공사_청년임대주택 현황_20240630'!I378,""ko"",""en"")"),"2000000")</f>
        <v>2000000</v>
      </c>
      <c r="J378" s="1" t="str">
        <f ca="1">IFERROR(__xludf.DUMMYFUNCTION("GOOGLETRANSLATE('대전도시공사_청년임대주택 현황_20240630'!J378,""ko"",""en"")"),"108400")</f>
        <v>108400</v>
      </c>
    </row>
    <row r="379" spans="1:10" ht="12.5" x14ac:dyDescent="0.25">
      <c r="A379" s="1" t="str">
        <f ca="1">IFERROR(__xludf.DUMMYFUNCTION("GOOGLETRANSLATE('대전도시공사_청년임대주택 현황_20240630'!A379,""ko"",""en"")"),"Ojeong-dong 442-18 (CJ Bill, youth rental)")</f>
        <v>Ojeong-dong 442-18 (CJ Bill, youth rental)</v>
      </c>
      <c r="B379" s="1" t="str">
        <f ca="1">IFERROR(__xludf.DUMMYFUNCTION("GOOGLETRANSLATE('대전도시공사_청년임대주택 현황_20240630'!B379,""ko"",""en"")"),"59")</f>
        <v>59</v>
      </c>
      <c r="C379" s="1" t="str">
        <f ca="1">IFERROR(__xludf.DUMMYFUNCTION("GOOGLETRANSLATE('대전도시공사_청년임대주택 현황_20240630'!C379,""ko"",""en"")"),"1")</f>
        <v>1</v>
      </c>
      <c r="D379" s="1" t="str">
        <f ca="1">IFERROR(__xludf.DUMMYFUNCTION("GOOGLETRANSLATE('대전도시공사_청년임대주택 현황_20240630'!D379,""ko"",""en"")"),"405")</f>
        <v>405</v>
      </c>
      <c r="E379" s="1" t="str">
        <f ca="1">IFERROR(__xludf.DUMMYFUNCTION("GOOGLETRANSLATE('대전도시공사_청년임대주택 현황_20240630'!E379,""ko"",""en"")"),"28.58")</f>
        <v>28.58</v>
      </c>
      <c r="F379" s="1" t="str">
        <f ca="1">IFERROR(__xludf.DUMMYFUNCTION("GOOGLETRANSLATE('대전도시공사_청년임대주택 현황_20240630'!F379,""ko"",""en"")"),"9.3")</f>
        <v>9.3</v>
      </c>
      <c r="G379" s="1" t="str">
        <f ca="1">IFERROR(__xludf.DUMMYFUNCTION("GOOGLETRANSLATE('대전도시공사_청년임대주택 현황_20240630'!G379,""ko"",""en"")"),"19.28")</f>
        <v>19.28</v>
      </c>
      <c r="H379" s="1" t="str">
        <f ca="1">IFERROR(__xludf.DUMMYFUNCTION("GOOGLETRANSLATE('대전도시공사_청년임대주택 현황_20240630'!H379,""ko"",""en"")"),"3rd place for youth rental")</f>
        <v>3rd place for youth rental</v>
      </c>
      <c r="I379" s="1" t="str">
        <f ca="1">IFERROR(__xludf.DUMMYFUNCTION("GOOGLETRANSLATE('대전도시공사_청년임대주택 현황_20240630'!I379,""ko"",""en"")"),"2000000")</f>
        <v>2000000</v>
      </c>
      <c r="J379" s="1" t="str">
        <f ca="1">IFERROR(__xludf.DUMMYFUNCTION("GOOGLETRANSLATE('대전도시공사_청년임대주택 현황_20240630'!J379,""ko"",""en"")"),"108400")</f>
        <v>108400</v>
      </c>
    </row>
    <row r="380" spans="1:10" ht="12.5" x14ac:dyDescent="0.25">
      <c r="A380" s="1" t="str">
        <f ca="1">IFERROR(__xludf.DUMMYFUNCTION("GOOGLETRANSLATE('대전도시공사_청년임대주택 현황_20240630'!A380,""ko"",""en"")"),"Yongdu-dong 12-1, 12-8 (Dream Stay, Youth Rental)")</f>
        <v>Yongdu-dong 12-1, 12-8 (Dream Stay, Youth Rental)</v>
      </c>
      <c r="B380" s="1" t="str">
        <f ca="1">IFERROR(__xludf.DUMMYFUNCTION("GOOGLETRANSLATE('대전도시공사_청년임대주택 현황_20240630'!B380,""ko"",""en"")"),"1")</f>
        <v>1</v>
      </c>
      <c r="C380" s="1" t="str">
        <f ca="1">IFERROR(__xludf.DUMMYFUNCTION("GOOGLETRANSLATE('대전도시공사_청년임대주택 현황_20240630'!C380,""ko"",""en"")"),"1")</f>
        <v>1</v>
      </c>
      <c r="D380" s="1" t="str">
        <f ca="1">IFERROR(__xludf.DUMMYFUNCTION("GOOGLETRANSLATE('대전도시공사_청년임대주택 현황_20240630'!D380,""ko"",""en"")"),"501")</f>
        <v>501</v>
      </c>
      <c r="E380" s="1" t="str">
        <f ca="1">IFERROR(__xludf.DUMMYFUNCTION("GOOGLETRANSLATE('대전도시공사_청년임대주택 현황_20240630'!E380,""ko"",""en"")"),"32.38")</f>
        <v>32.38</v>
      </c>
      <c r="F380" s="1" t="str">
        <f ca="1">IFERROR(__xludf.DUMMYFUNCTION("GOOGLETRANSLATE('대전도시공사_청년임대주택 현황_20240630'!F380,""ko"",""en"")"),"22.95")</f>
        <v>22.95</v>
      </c>
      <c r="G380" s="1" t="str">
        <f ca="1">IFERROR(__xludf.DUMMYFUNCTION("GOOGLETRANSLATE('대전도시공사_청년임대주택 현황_20240630'!G380,""ko"",""en"")"),"9.43")</f>
        <v>9.43</v>
      </c>
      <c r="H380" s="1" t="str">
        <f ca="1">IFERROR(__xludf.DUMMYFUNCTION("GOOGLETRANSLATE('대전도시공사_청년임대주택 현황_20240630'!H380,""ko"",""en"")"),"Youth Rent 1st Place")</f>
        <v>Youth Rent 1st Place</v>
      </c>
      <c r="I380" s="1" t="str">
        <f ca="1">IFERROR(__xludf.DUMMYFUNCTION("GOOGLETRANSLATE('대전도시공사_청년임대주택 현황_20240630'!I380,""ko"",""en"")"),"1000000")</f>
        <v>1000000</v>
      </c>
      <c r="J380" s="1" t="str">
        <f ca="1">IFERROR(__xludf.DUMMYFUNCTION("GOOGLETRANSLATE('대전도시공사_청년임대주택 현황_20240630'!J380,""ko"",""en"")"),"165600")</f>
        <v>165600</v>
      </c>
    </row>
    <row r="381" spans="1:10" ht="12.5" x14ac:dyDescent="0.25">
      <c r="A381" s="1" t="str">
        <f ca="1">IFERROR(__xludf.DUMMYFUNCTION("GOOGLETRANSLATE('대전도시공사_청년임대주택 현황_20240630'!A381,""ko"",""en"")"),"Yongdu-dong 12-1, 12-8 (Dream Stay, Youth Rental)")</f>
        <v>Yongdu-dong 12-1, 12-8 (Dream Stay, Youth Rental)</v>
      </c>
      <c r="B381" s="1" t="str">
        <f ca="1">IFERROR(__xludf.DUMMYFUNCTION("GOOGLETRANSLATE('대전도시공사_청년임대주택 현황_20240630'!B381,""ko"",""en"")"),"2")</f>
        <v>2</v>
      </c>
      <c r="C381" s="1" t="str">
        <f ca="1">IFERROR(__xludf.DUMMYFUNCTION("GOOGLETRANSLATE('대전도시공사_청년임대주택 현황_20240630'!C381,""ko"",""en"")"),"1")</f>
        <v>1</v>
      </c>
      <c r="D381" s="1" t="str">
        <f ca="1">IFERROR(__xludf.DUMMYFUNCTION("GOOGLETRANSLATE('대전도시공사_청년임대주택 현황_20240630'!D381,""ko"",""en"")"),"501")</f>
        <v>501</v>
      </c>
      <c r="E381" s="1" t="str">
        <f ca="1">IFERROR(__xludf.DUMMYFUNCTION("GOOGLETRANSLATE('대전도시공사_청년임대주택 현황_20240630'!E381,""ko"",""en"")"),"32.38")</f>
        <v>32.38</v>
      </c>
      <c r="F381" s="1" t="str">
        <f ca="1">IFERROR(__xludf.DUMMYFUNCTION("GOOGLETRANSLATE('대전도시공사_청년임대주택 현황_20240630'!F381,""ko"",""en"")"),"22.95")</f>
        <v>22.95</v>
      </c>
      <c r="G381" s="1" t="str">
        <f ca="1">IFERROR(__xludf.DUMMYFUNCTION("GOOGLETRANSLATE('대전도시공사_청년임대주택 현황_20240630'!G381,""ko"",""en"")"),"9.43")</f>
        <v>9.43</v>
      </c>
      <c r="H381" s="1" t="str">
        <f ca="1">IFERROR(__xludf.DUMMYFUNCTION("GOOGLETRANSLATE('대전도시공사_청년임대주택 현황_20240630'!H381,""ko"",""en"")"),"Youth Rental 2nd Place")</f>
        <v>Youth Rental 2nd Place</v>
      </c>
      <c r="I381" s="1" t="str">
        <f ca="1">IFERROR(__xludf.DUMMYFUNCTION("GOOGLETRANSLATE('대전도시공사_청년임대주택 현황_20240630'!I381,""ko"",""en"")"),"2000000")</f>
        <v>2000000</v>
      </c>
      <c r="J381" s="1" t="str">
        <f ca="1">IFERROR(__xludf.DUMMYFUNCTION("GOOGLETRANSLATE('대전도시공사_청년임대주택 현황_20240630'!J381,""ko"",""en"")"),"202900")</f>
        <v>202900</v>
      </c>
    </row>
    <row r="382" spans="1:10" ht="12.5" x14ac:dyDescent="0.25">
      <c r="A382" s="1" t="str">
        <f ca="1">IFERROR(__xludf.DUMMYFUNCTION("GOOGLETRANSLATE('대전도시공사_청년임대주택 현황_20240630'!A382,""ko"",""en"")"),"Yongdu-dong 12-1, 12-8 (Dream Stay, Youth Rental)")</f>
        <v>Yongdu-dong 12-1, 12-8 (Dream Stay, Youth Rental)</v>
      </c>
      <c r="B382" s="1" t="str">
        <f ca="1">IFERROR(__xludf.DUMMYFUNCTION("GOOGLETRANSLATE('대전도시공사_청년임대주택 현황_20240630'!B382,""ko"",""en"")"),"3")</f>
        <v>3</v>
      </c>
      <c r="C382" s="1" t="str">
        <f ca="1">IFERROR(__xludf.DUMMYFUNCTION("GOOGLETRANSLATE('대전도시공사_청년임대주택 현황_20240630'!C382,""ko"",""en"")"),"1")</f>
        <v>1</v>
      </c>
      <c r="D382" s="1" t="str">
        <f ca="1">IFERROR(__xludf.DUMMYFUNCTION("GOOGLETRANSLATE('대전도시공사_청년임대주택 현황_20240630'!D382,""ko"",""en"")"),"501")</f>
        <v>501</v>
      </c>
      <c r="E382" s="1" t="str">
        <f ca="1">IFERROR(__xludf.DUMMYFUNCTION("GOOGLETRANSLATE('대전도시공사_청년임대주택 현황_20240630'!E382,""ko"",""en"")"),"32.38")</f>
        <v>32.38</v>
      </c>
      <c r="F382" s="1" t="str">
        <f ca="1">IFERROR(__xludf.DUMMYFUNCTION("GOOGLETRANSLATE('대전도시공사_청년임대주택 현황_20240630'!F382,""ko"",""en"")"),"22.95")</f>
        <v>22.95</v>
      </c>
      <c r="G382" s="1" t="str">
        <f ca="1">IFERROR(__xludf.DUMMYFUNCTION("GOOGLETRANSLATE('대전도시공사_청년임대주택 현황_20240630'!G382,""ko"",""en"")"),"9.43")</f>
        <v>9.43</v>
      </c>
      <c r="H382" s="1" t="str">
        <f ca="1">IFERROR(__xludf.DUMMYFUNCTION("GOOGLETRANSLATE('대전도시공사_청년임대주택 현황_20240630'!H382,""ko"",""en"")"),"3rd place for youth rental")</f>
        <v>3rd place for youth rental</v>
      </c>
      <c r="I382" s="1" t="str">
        <f ca="1">IFERROR(__xludf.DUMMYFUNCTION("GOOGLETRANSLATE('대전도시공사_청년임대주택 현황_20240630'!I382,""ko"",""en"")"),"2000000")</f>
        <v>2000000</v>
      </c>
      <c r="J382" s="1" t="str">
        <f ca="1">IFERROR(__xludf.DUMMYFUNCTION("GOOGLETRANSLATE('대전도시공사_청년임대주택 현황_20240630'!J382,""ko"",""en"")"),"202900")</f>
        <v>202900</v>
      </c>
    </row>
    <row r="383" spans="1:10" ht="12.5" x14ac:dyDescent="0.25">
      <c r="A383" s="1" t="str">
        <f ca="1">IFERROR(__xludf.DUMMYFUNCTION("GOOGLETRANSLATE('대전도시공사_청년임대주택 현황_20240630'!A383,""ko"",""en"")"),"Yongdu-dong 12-1, 12-8 (Dream Stay, Youth Rental)")</f>
        <v>Yongdu-dong 12-1, 12-8 (Dream Stay, Youth Rental)</v>
      </c>
      <c r="B383" s="1" t="str">
        <f ca="1">IFERROR(__xludf.DUMMYFUNCTION("GOOGLETRANSLATE('대전도시공사_청년임대주택 현황_20240630'!B383,""ko"",""en"")"),"4")</f>
        <v>4</v>
      </c>
      <c r="C383" s="1" t="str">
        <f ca="1">IFERROR(__xludf.DUMMYFUNCTION("GOOGLETRANSLATE('대전도시공사_청년임대주택 현황_20240630'!C383,""ko"",""en"")"),"1")</f>
        <v>1</v>
      </c>
      <c r="D383" s="1" t="str">
        <f ca="1">IFERROR(__xludf.DUMMYFUNCTION("GOOGLETRANSLATE('대전도시공사_청년임대주택 현황_20240630'!D383,""ko"",""en"")"),"508")</f>
        <v>508</v>
      </c>
      <c r="E383" s="1" t="str">
        <f ca="1">IFERROR(__xludf.DUMMYFUNCTION("GOOGLETRANSLATE('대전도시공사_청년임대주택 현황_20240630'!E383,""ko"",""en"")"),"31.22")</f>
        <v>31.22</v>
      </c>
      <c r="F383" s="1" t="str">
        <f ca="1">IFERROR(__xludf.DUMMYFUNCTION("GOOGLETRANSLATE('대전도시공사_청년임대주택 현황_20240630'!F383,""ko"",""en"")"),"22.13")</f>
        <v>22.13</v>
      </c>
      <c r="G383" s="1" t="str">
        <f ca="1">IFERROR(__xludf.DUMMYFUNCTION("GOOGLETRANSLATE('대전도시공사_청년임대주택 현황_20240630'!G383,""ko"",""en"")"),"9.09")</f>
        <v>9.09</v>
      </c>
      <c r="H383" s="1" t="str">
        <f ca="1">IFERROR(__xludf.DUMMYFUNCTION("GOOGLETRANSLATE('대전도시공사_청년임대주택 현황_20240630'!H383,""ko"",""en"")"),"Youth Rent 1st Place")</f>
        <v>Youth Rent 1st Place</v>
      </c>
      <c r="I383" s="1" t="str">
        <f ca="1">IFERROR(__xludf.DUMMYFUNCTION("GOOGLETRANSLATE('대전도시공사_청년임대주택 현황_20240630'!I383,""ko"",""en"")"),"1000000")</f>
        <v>1000000</v>
      </c>
      <c r="J383" s="1" t="str">
        <f ca="1">IFERROR(__xludf.DUMMYFUNCTION("GOOGLETRANSLATE('대전도시공사_청년임대주택 현황_20240630'!J383,""ko"",""en"")"),"159300")</f>
        <v>159300</v>
      </c>
    </row>
    <row r="384" spans="1:10" ht="12.5" x14ac:dyDescent="0.25">
      <c r="A384" s="1" t="str">
        <f ca="1">IFERROR(__xludf.DUMMYFUNCTION("GOOGLETRANSLATE('대전도시공사_청년임대주택 현황_20240630'!A384,""ko"",""en"")"),"Yongdu-dong 12-1, 12-8 (Dream Stay, Youth Rental)")</f>
        <v>Yongdu-dong 12-1, 12-8 (Dream Stay, Youth Rental)</v>
      </c>
      <c r="B384" s="1" t="str">
        <f ca="1">IFERROR(__xludf.DUMMYFUNCTION("GOOGLETRANSLATE('대전도시공사_청년임대주택 현황_20240630'!B384,""ko"",""en"")"),"5")</f>
        <v>5</v>
      </c>
      <c r="C384" s="1" t="str">
        <f ca="1">IFERROR(__xludf.DUMMYFUNCTION("GOOGLETRANSLATE('대전도시공사_청년임대주택 현황_20240630'!C384,""ko"",""en"")"),"1")</f>
        <v>1</v>
      </c>
      <c r="D384" s="1" t="str">
        <f ca="1">IFERROR(__xludf.DUMMYFUNCTION("GOOGLETRANSLATE('대전도시공사_청년임대주택 현황_20240630'!D384,""ko"",""en"")"),"508")</f>
        <v>508</v>
      </c>
      <c r="E384" s="1" t="str">
        <f ca="1">IFERROR(__xludf.DUMMYFUNCTION("GOOGLETRANSLATE('대전도시공사_청년임대주택 현황_20240630'!E384,""ko"",""en"")"),"31.22")</f>
        <v>31.22</v>
      </c>
      <c r="F384" s="1" t="str">
        <f ca="1">IFERROR(__xludf.DUMMYFUNCTION("GOOGLETRANSLATE('대전도시공사_청년임대주택 현황_20240630'!F384,""ko"",""en"")"),"22.13")</f>
        <v>22.13</v>
      </c>
      <c r="G384" s="1" t="str">
        <f ca="1">IFERROR(__xludf.DUMMYFUNCTION("GOOGLETRANSLATE('대전도시공사_청년임대주택 현황_20240630'!G384,""ko"",""en"")"),"9.09")</f>
        <v>9.09</v>
      </c>
      <c r="H384" s="1" t="str">
        <f ca="1">IFERROR(__xludf.DUMMYFUNCTION("GOOGLETRANSLATE('대전도시공사_청년임대주택 현황_20240630'!H384,""ko"",""en"")"),"Youth Rental 2nd Place")</f>
        <v>Youth Rental 2nd Place</v>
      </c>
      <c r="I384" s="1" t="str">
        <f ca="1">IFERROR(__xludf.DUMMYFUNCTION("GOOGLETRANSLATE('대전도시공사_청년임대주택 현황_20240630'!I384,""ko"",""en"")"),"2000000")</f>
        <v>2000000</v>
      </c>
      <c r="J384" s="1" t="str">
        <f ca="1">IFERROR(__xludf.DUMMYFUNCTION("GOOGLETRANSLATE('대전도시공사_청년임대주택 현황_20240630'!J384,""ko"",""en"")"),"195000")</f>
        <v>195000</v>
      </c>
    </row>
    <row r="385" spans="1:10" ht="12.5" x14ac:dyDescent="0.25">
      <c r="A385" s="1" t="str">
        <f ca="1">IFERROR(__xludf.DUMMYFUNCTION("GOOGLETRANSLATE('대전도시공사_청년임대주택 현황_20240630'!A385,""ko"",""en"")"),"Yongdu-dong 12-1, 12-8 (Dream Stay, Youth Rental)")</f>
        <v>Yongdu-dong 12-1, 12-8 (Dream Stay, Youth Rental)</v>
      </c>
      <c r="B385" s="1" t="str">
        <f ca="1">IFERROR(__xludf.DUMMYFUNCTION("GOOGLETRANSLATE('대전도시공사_청년임대주택 현황_20240630'!B385,""ko"",""en"")"),"6")</f>
        <v>6</v>
      </c>
      <c r="C385" s="1" t="str">
        <f ca="1">IFERROR(__xludf.DUMMYFUNCTION("GOOGLETRANSLATE('대전도시공사_청년임대주택 현황_20240630'!C385,""ko"",""en"")"),"1")</f>
        <v>1</v>
      </c>
      <c r="D385" s="1" t="str">
        <f ca="1">IFERROR(__xludf.DUMMYFUNCTION("GOOGLETRANSLATE('대전도시공사_청년임대주택 현황_20240630'!D385,""ko"",""en"")"),"508")</f>
        <v>508</v>
      </c>
      <c r="E385" s="1" t="str">
        <f ca="1">IFERROR(__xludf.DUMMYFUNCTION("GOOGLETRANSLATE('대전도시공사_청년임대주택 현황_20240630'!E385,""ko"",""en"")"),"31.22")</f>
        <v>31.22</v>
      </c>
      <c r="F385" s="1" t="str">
        <f ca="1">IFERROR(__xludf.DUMMYFUNCTION("GOOGLETRANSLATE('대전도시공사_청년임대주택 현황_20240630'!F385,""ko"",""en"")"),"22.13")</f>
        <v>22.13</v>
      </c>
      <c r="G385" s="1" t="str">
        <f ca="1">IFERROR(__xludf.DUMMYFUNCTION("GOOGLETRANSLATE('대전도시공사_청년임대주택 현황_20240630'!G385,""ko"",""en"")"),"9.09")</f>
        <v>9.09</v>
      </c>
      <c r="H385" s="1" t="str">
        <f ca="1">IFERROR(__xludf.DUMMYFUNCTION("GOOGLETRANSLATE('대전도시공사_청년임대주택 현황_20240630'!H385,""ko"",""en"")"),"3rd place for youth rental")</f>
        <v>3rd place for youth rental</v>
      </c>
      <c r="I385" s="1" t="str">
        <f ca="1">IFERROR(__xludf.DUMMYFUNCTION("GOOGLETRANSLATE('대전도시공사_청년임대주택 현황_20240630'!I385,""ko"",""en"")"),"2000000")</f>
        <v>2000000</v>
      </c>
      <c r="J385" s="1" t="str">
        <f ca="1">IFERROR(__xludf.DUMMYFUNCTION("GOOGLETRANSLATE('대전도시공사_청년임대주택 현황_20240630'!J385,""ko"",""en"")"),"195000")</f>
        <v>195000</v>
      </c>
    </row>
    <row r="386" spans="1:10" ht="12.5" x14ac:dyDescent="0.25">
      <c r="A386" s="1" t="str">
        <f ca="1">IFERROR(__xludf.DUMMYFUNCTION("GOOGLETRANSLATE('대전도시공사_청년임대주택 현황_20240630'!A386,""ko"",""en"")"),"Yongdu-dong 12-1, 12-8 (Dream Stay, Youth Rental)")</f>
        <v>Yongdu-dong 12-1, 12-8 (Dream Stay, Youth Rental)</v>
      </c>
      <c r="B386" s="1" t="str">
        <f ca="1">IFERROR(__xludf.DUMMYFUNCTION("GOOGLETRANSLATE('대전도시공사_청년임대주택 현황_20240630'!B386,""ko"",""en"")"),"7")</f>
        <v>7</v>
      </c>
      <c r="C386" s="1" t="str">
        <f ca="1">IFERROR(__xludf.DUMMYFUNCTION("GOOGLETRANSLATE('대전도시공사_청년임대주택 현황_20240630'!C386,""ko"",""en"")"),"1")</f>
        <v>1</v>
      </c>
      <c r="D386" s="1" t="str">
        <f ca="1">IFERROR(__xludf.DUMMYFUNCTION("GOOGLETRANSLATE('대전도시공사_청년임대주택 현황_20240630'!D386,""ko"",""en"")"),"518")</f>
        <v>518</v>
      </c>
      <c r="E386" s="1" t="str">
        <f ca="1">IFERROR(__xludf.DUMMYFUNCTION("GOOGLETRANSLATE('대전도시공사_청년임대주택 현황_20240630'!E386,""ko"",""en"")"),"34.04")</f>
        <v>34.04</v>
      </c>
      <c r="F386" s="1" t="str">
        <f ca="1">IFERROR(__xludf.DUMMYFUNCTION("GOOGLETRANSLATE('대전도시공사_청년임대주택 현황_20240630'!F386,""ko"",""en"")"),"24.13")</f>
        <v>24.13</v>
      </c>
      <c r="G386" s="1" t="str">
        <f ca="1">IFERROR(__xludf.DUMMYFUNCTION("GOOGLETRANSLATE('대전도시공사_청년임대주택 현황_20240630'!G386,""ko"",""en"")"),"9.91")</f>
        <v>9.91</v>
      </c>
      <c r="H386" s="1" t="str">
        <f ca="1">IFERROR(__xludf.DUMMYFUNCTION("GOOGLETRANSLATE('대전도시공사_청년임대주택 현황_20240630'!H386,""ko"",""en"")"),"Youth Rent 1st Place")</f>
        <v>Youth Rent 1st Place</v>
      </c>
      <c r="I386" s="1" t="str">
        <f ca="1">IFERROR(__xludf.DUMMYFUNCTION("GOOGLETRANSLATE('대전도시공사_청년임대주택 현황_20240630'!I386,""ko"",""en"")"),"1000000")</f>
        <v>1000000</v>
      </c>
      <c r="J386" s="1" t="str">
        <f ca="1">IFERROR(__xludf.DUMMYFUNCTION("GOOGLETRANSLATE('대전도시공사_청년임대주택 현황_20240630'!J386,""ko"",""en"")"),"172000")</f>
        <v>172000</v>
      </c>
    </row>
    <row r="387" spans="1:10" ht="12.5" x14ac:dyDescent="0.25">
      <c r="A387" s="1" t="str">
        <f ca="1">IFERROR(__xludf.DUMMYFUNCTION("GOOGLETRANSLATE('대전도시공사_청년임대주택 현황_20240630'!A387,""ko"",""en"")"),"Yongdu-dong 12-1, 12-8 (Dream Stay, Youth Rental)")</f>
        <v>Yongdu-dong 12-1, 12-8 (Dream Stay, Youth Rental)</v>
      </c>
      <c r="B387" s="1" t="str">
        <f ca="1">IFERROR(__xludf.DUMMYFUNCTION("GOOGLETRANSLATE('대전도시공사_청년임대주택 현황_20240630'!B387,""ko"",""en"")"),"8")</f>
        <v>8</v>
      </c>
      <c r="C387" s="1" t="str">
        <f ca="1">IFERROR(__xludf.DUMMYFUNCTION("GOOGLETRANSLATE('대전도시공사_청년임대주택 현황_20240630'!C387,""ko"",""en"")"),"1")</f>
        <v>1</v>
      </c>
      <c r="D387" s="1" t="str">
        <f ca="1">IFERROR(__xludf.DUMMYFUNCTION("GOOGLETRANSLATE('대전도시공사_청년임대주택 현황_20240630'!D387,""ko"",""en"")"),"518")</f>
        <v>518</v>
      </c>
      <c r="E387" s="1" t="str">
        <f ca="1">IFERROR(__xludf.DUMMYFUNCTION("GOOGLETRANSLATE('대전도시공사_청년임대주택 현황_20240630'!E387,""ko"",""en"")"),"34.04")</f>
        <v>34.04</v>
      </c>
      <c r="F387" s="1" t="str">
        <f ca="1">IFERROR(__xludf.DUMMYFUNCTION("GOOGLETRANSLATE('대전도시공사_청년임대주택 현황_20240630'!F387,""ko"",""en"")"),"24.13")</f>
        <v>24.13</v>
      </c>
      <c r="G387" s="1" t="str">
        <f ca="1">IFERROR(__xludf.DUMMYFUNCTION("GOOGLETRANSLATE('대전도시공사_청년임대주택 현황_20240630'!G387,""ko"",""en"")"),"9.91")</f>
        <v>9.91</v>
      </c>
      <c r="H387" s="1" t="str">
        <f ca="1">IFERROR(__xludf.DUMMYFUNCTION("GOOGLETRANSLATE('대전도시공사_청년임대주택 현황_20240630'!H387,""ko"",""en"")"),"Youth Rental 2nd Place")</f>
        <v>Youth Rental 2nd Place</v>
      </c>
      <c r="I387" s="1" t="str">
        <f ca="1">IFERROR(__xludf.DUMMYFUNCTION("GOOGLETRANSLATE('대전도시공사_청년임대주택 현황_20240630'!I387,""ko"",""en"")"),"2000000")</f>
        <v>2000000</v>
      </c>
      <c r="J387" s="1" t="str">
        <f ca="1">IFERROR(__xludf.DUMMYFUNCTION("GOOGLETRANSLATE('대전도시공사_청년임대주택 현황_20240630'!J387,""ko"",""en"")"),"210800")</f>
        <v>210800</v>
      </c>
    </row>
    <row r="388" spans="1:10" ht="12.5" x14ac:dyDescent="0.25">
      <c r="A388" s="1" t="str">
        <f ca="1">IFERROR(__xludf.DUMMYFUNCTION("GOOGLETRANSLATE('대전도시공사_청년임대주택 현황_20240630'!A388,""ko"",""en"")"),"Yongdu-dong 12-1, 12-8 (Dream Stay, Youth Rental)")</f>
        <v>Yongdu-dong 12-1, 12-8 (Dream Stay, Youth Rental)</v>
      </c>
      <c r="B388" s="1" t="str">
        <f ca="1">IFERROR(__xludf.DUMMYFUNCTION("GOOGLETRANSLATE('대전도시공사_청년임대주택 현황_20240630'!B388,""ko"",""en"")"),"9")</f>
        <v>9</v>
      </c>
      <c r="C388" s="1" t="str">
        <f ca="1">IFERROR(__xludf.DUMMYFUNCTION("GOOGLETRANSLATE('대전도시공사_청년임대주택 현황_20240630'!C388,""ko"",""en"")"),"1")</f>
        <v>1</v>
      </c>
      <c r="D388" s="1" t="str">
        <f ca="1">IFERROR(__xludf.DUMMYFUNCTION("GOOGLETRANSLATE('대전도시공사_청년임대주택 현황_20240630'!D388,""ko"",""en"")"),"518")</f>
        <v>518</v>
      </c>
      <c r="E388" s="1" t="str">
        <f ca="1">IFERROR(__xludf.DUMMYFUNCTION("GOOGLETRANSLATE('대전도시공사_청년임대주택 현황_20240630'!E388,""ko"",""en"")"),"34.04")</f>
        <v>34.04</v>
      </c>
      <c r="F388" s="1" t="str">
        <f ca="1">IFERROR(__xludf.DUMMYFUNCTION("GOOGLETRANSLATE('대전도시공사_청년임대주택 현황_20240630'!F388,""ko"",""en"")"),"24.13")</f>
        <v>24.13</v>
      </c>
      <c r="G388" s="1" t="str">
        <f ca="1">IFERROR(__xludf.DUMMYFUNCTION("GOOGLETRANSLATE('대전도시공사_청년임대주택 현황_20240630'!G388,""ko"",""en"")"),"9.91")</f>
        <v>9.91</v>
      </c>
      <c r="H388" s="1" t="str">
        <f ca="1">IFERROR(__xludf.DUMMYFUNCTION("GOOGLETRANSLATE('대전도시공사_청년임대주택 현황_20240630'!H388,""ko"",""en"")"),"3rd place for youth rental")</f>
        <v>3rd place for youth rental</v>
      </c>
      <c r="I388" s="1" t="str">
        <f ca="1">IFERROR(__xludf.DUMMYFUNCTION("GOOGLETRANSLATE('대전도시공사_청년임대주택 현황_20240630'!I388,""ko"",""en"")"),"2000000")</f>
        <v>2000000</v>
      </c>
      <c r="J388" s="1" t="str">
        <f ca="1">IFERROR(__xludf.DUMMYFUNCTION("GOOGLETRANSLATE('대전도시공사_청년임대주택 현황_20240630'!J388,""ko"",""en"")"),"210800")</f>
        <v>210800</v>
      </c>
    </row>
    <row r="389" spans="1:10" ht="12.5" x14ac:dyDescent="0.25">
      <c r="A389" s="1" t="str">
        <f ca="1">IFERROR(__xludf.DUMMYFUNCTION("GOOGLETRANSLATE('대전도시공사_청년임대주택 현황_20240630'!A389,""ko"",""en"")"),"Yongdu-dong 12-1, 12-8 (Dream Stay, Youth Rental)")</f>
        <v>Yongdu-dong 12-1, 12-8 (Dream Stay, Youth Rental)</v>
      </c>
      <c r="B389" s="1" t="str">
        <f ca="1">IFERROR(__xludf.DUMMYFUNCTION("GOOGLETRANSLATE('대전도시공사_청년임대주택 현황_20240630'!B389,""ko"",""en"")"),"10")</f>
        <v>10</v>
      </c>
      <c r="C389" s="1" t="str">
        <f ca="1">IFERROR(__xludf.DUMMYFUNCTION("GOOGLETRANSLATE('대전도시공사_청년임대주택 현황_20240630'!C389,""ko"",""en"")"),"1")</f>
        <v>1</v>
      </c>
      <c r="D389" s="1" t="str">
        <f ca="1">IFERROR(__xludf.DUMMYFUNCTION("GOOGLETRANSLATE('대전도시공사_청년임대주택 현황_20240630'!D389,""ko"",""en"")"),"601")</f>
        <v>601</v>
      </c>
      <c r="E389" s="1" t="str">
        <f ca="1">IFERROR(__xludf.DUMMYFUNCTION("GOOGLETRANSLATE('대전도시공사_청년임대주택 현황_20240630'!E389,""ko"",""en"")"),"32.38")</f>
        <v>32.38</v>
      </c>
      <c r="F389" s="1" t="str">
        <f ca="1">IFERROR(__xludf.DUMMYFUNCTION("GOOGLETRANSLATE('대전도시공사_청년임대주택 현황_20240630'!F389,""ko"",""en"")"),"22.95")</f>
        <v>22.95</v>
      </c>
      <c r="G389" s="1" t="str">
        <f ca="1">IFERROR(__xludf.DUMMYFUNCTION("GOOGLETRANSLATE('대전도시공사_청년임대주택 현황_20240630'!G389,""ko"",""en"")"),"9.43")</f>
        <v>9.43</v>
      </c>
      <c r="H389" s="1" t="str">
        <f ca="1">IFERROR(__xludf.DUMMYFUNCTION("GOOGLETRANSLATE('대전도시공사_청년임대주택 현황_20240630'!H389,""ko"",""en"")"),"Youth Rent 1st Place")</f>
        <v>Youth Rent 1st Place</v>
      </c>
      <c r="I389" s="1" t="str">
        <f ca="1">IFERROR(__xludf.DUMMYFUNCTION("GOOGLETRANSLATE('대전도시공사_청년임대주택 현황_20240630'!I389,""ko"",""en"")"),"1000000")</f>
        <v>1000000</v>
      </c>
      <c r="J389" s="1" t="str">
        <f ca="1">IFERROR(__xludf.DUMMYFUNCTION("GOOGLETRANSLATE('대전도시공사_청년임대주택 현황_20240630'!J389,""ko"",""en"")"),"165600")</f>
        <v>165600</v>
      </c>
    </row>
    <row r="390" spans="1:10" ht="12.5" x14ac:dyDescent="0.25">
      <c r="A390" s="1" t="str">
        <f ca="1">IFERROR(__xludf.DUMMYFUNCTION("GOOGLETRANSLATE('대전도시공사_청년임대주택 현황_20240630'!A390,""ko"",""en"")"),"Yongdu-dong 12-1, 12-8 (Dream Stay, Youth Rental)")</f>
        <v>Yongdu-dong 12-1, 12-8 (Dream Stay, Youth Rental)</v>
      </c>
      <c r="B390" s="1" t="str">
        <f ca="1">IFERROR(__xludf.DUMMYFUNCTION("GOOGLETRANSLATE('대전도시공사_청년임대주택 현황_20240630'!B390,""ko"",""en"")"),"11")</f>
        <v>11</v>
      </c>
      <c r="C390" s="1" t="str">
        <f ca="1">IFERROR(__xludf.DUMMYFUNCTION("GOOGLETRANSLATE('대전도시공사_청년임대주택 현황_20240630'!C390,""ko"",""en"")"),"1")</f>
        <v>1</v>
      </c>
      <c r="D390" s="1" t="str">
        <f ca="1">IFERROR(__xludf.DUMMYFUNCTION("GOOGLETRANSLATE('대전도시공사_청년임대주택 현황_20240630'!D390,""ko"",""en"")"),"601")</f>
        <v>601</v>
      </c>
      <c r="E390" s="1" t="str">
        <f ca="1">IFERROR(__xludf.DUMMYFUNCTION("GOOGLETRANSLATE('대전도시공사_청년임대주택 현황_20240630'!E390,""ko"",""en"")"),"32.38")</f>
        <v>32.38</v>
      </c>
      <c r="F390" s="1" t="str">
        <f ca="1">IFERROR(__xludf.DUMMYFUNCTION("GOOGLETRANSLATE('대전도시공사_청년임대주택 현황_20240630'!F390,""ko"",""en"")"),"22.95")</f>
        <v>22.95</v>
      </c>
      <c r="G390" s="1" t="str">
        <f ca="1">IFERROR(__xludf.DUMMYFUNCTION("GOOGLETRANSLATE('대전도시공사_청년임대주택 현황_20240630'!G390,""ko"",""en"")"),"9.43")</f>
        <v>9.43</v>
      </c>
      <c r="H390" s="1" t="str">
        <f ca="1">IFERROR(__xludf.DUMMYFUNCTION("GOOGLETRANSLATE('대전도시공사_청년임대주택 현황_20240630'!H390,""ko"",""en"")"),"Youth Rental 2nd Place")</f>
        <v>Youth Rental 2nd Place</v>
      </c>
      <c r="I390" s="1" t="str">
        <f ca="1">IFERROR(__xludf.DUMMYFUNCTION("GOOGLETRANSLATE('대전도시공사_청년임대주택 현황_20240630'!I390,""ko"",""en"")"),"2000000")</f>
        <v>2000000</v>
      </c>
      <c r="J390" s="1" t="str">
        <f ca="1">IFERROR(__xludf.DUMMYFUNCTION("GOOGLETRANSLATE('대전도시공사_청년임대주택 현황_20240630'!J390,""ko"",""en"")"),"202900")</f>
        <v>202900</v>
      </c>
    </row>
    <row r="391" spans="1:10" ht="12.5" x14ac:dyDescent="0.25">
      <c r="A391" s="1" t="str">
        <f ca="1">IFERROR(__xludf.DUMMYFUNCTION("GOOGLETRANSLATE('대전도시공사_청년임대주택 현황_20240630'!A391,""ko"",""en"")"),"Yongdu-dong 12-1, 12-8 (Dream Stay, Youth Rental)")</f>
        <v>Yongdu-dong 12-1, 12-8 (Dream Stay, Youth Rental)</v>
      </c>
      <c r="B391" s="1" t="str">
        <f ca="1">IFERROR(__xludf.DUMMYFUNCTION("GOOGLETRANSLATE('대전도시공사_청년임대주택 현황_20240630'!B391,""ko"",""en"")"),"12")</f>
        <v>12</v>
      </c>
      <c r="C391" s="1" t="str">
        <f ca="1">IFERROR(__xludf.DUMMYFUNCTION("GOOGLETRANSLATE('대전도시공사_청년임대주택 현황_20240630'!C391,""ko"",""en"")"),"1")</f>
        <v>1</v>
      </c>
      <c r="D391" s="1" t="str">
        <f ca="1">IFERROR(__xludf.DUMMYFUNCTION("GOOGLETRANSLATE('대전도시공사_청년임대주택 현황_20240630'!D391,""ko"",""en"")"),"601")</f>
        <v>601</v>
      </c>
      <c r="E391" s="1" t="str">
        <f ca="1">IFERROR(__xludf.DUMMYFUNCTION("GOOGLETRANSLATE('대전도시공사_청년임대주택 현황_20240630'!E391,""ko"",""en"")"),"32.38")</f>
        <v>32.38</v>
      </c>
      <c r="F391" s="1" t="str">
        <f ca="1">IFERROR(__xludf.DUMMYFUNCTION("GOOGLETRANSLATE('대전도시공사_청년임대주택 현황_20240630'!F391,""ko"",""en"")"),"22.95")</f>
        <v>22.95</v>
      </c>
      <c r="G391" s="1" t="str">
        <f ca="1">IFERROR(__xludf.DUMMYFUNCTION("GOOGLETRANSLATE('대전도시공사_청년임대주택 현황_20240630'!G391,""ko"",""en"")"),"9.43")</f>
        <v>9.43</v>
      </c>
      <c r="H391" s="1" t="str">
        <f ca="1">IFERROR(__xludf.DUMMYFUNCTION("GOOGLETRANSLATE('대전도시공사_청년임대주택 현황_20240630'!H391,""ko"",""en"")"),"3rd place for youth rental")</f>
        <v>3rd place for youth rental</v>
      </c>
      <c r="I391" s="1" t="str">
        <f ca="1">IFERROR(__xludf.DUMMYFUNCTION("GOOGLETRANSLATE('대전도시공사_청년임대주택 현황_20240630'!I391,""ko"",""en"")"),"2000000")</f>
        <v>2000000</v>
      </c>
      <c r="J391" s="1" t="str">
        <f ca="1">IFERROR(__xludf.DUMMYFUNCTION("GOOGLETRANSLATE('대전도시공사_청년임대주택 현황_20240630'!J391,""ko"",""en"")"),"202900")</f>
        <v>202900</v>
      </c>
    </row>
    <row r="392" spans="1:10" ht="12.5" x14ac:dyDescent="0.25">
      <c r="A392" s="1" t="str">
        <f ca="1">IFERROR(__xludf.DUMMYFUNCTION("GOOGLETRANSLATE('대전도시공사_청년임대주택 현황_20240630'!A392,""ko"",""en"")"),"Yongdu-dong 12-1, 12-8 (Dream Stay, Youth Rental)")</f>
        <v>Yongdu-dong 12-1, 12-8 (Dream Stay, Youth Rental)</v>
      </c>
      <c r="B392" s="1" t="str">
        <f ca="1">IFERROR(__xludf.DUMMYFUNCTION("GOOGLETRANSLATE('대전도시공사_청년임대주택 현황_20240630'!B392,""ko"",""en"")"),"13")</f>
        <v>13</v>
      </c>
      <c r="C392" s="1" t="str">
        <f ca="1">IFERROR(__xludf.DUMMYFUNCTION("GOOGLETRANSLATE('대전도시공사_청년임대주택 현황_20240630'!C392,""ko"",""en"")"),"1")</f>
        <v>1</v>
      </c>
      <c r="D392" s="1" t="str">
        <f ca="1">IFERROR(__xludf.DUMMYFUNCTION("GOOGLETRANSLATE('대전도시공사_청년임대주택 현황_20240630'!D392,""ko"",""en"")"),"608")</f>
        <v>608</v>
      </c>
      <c r="E392" s="1" t="str">
        <f ca="1">IFERROR(__xludf.DUMMYFUNCTION("GOOGLETRANSLATE('대전도시공사_청년임대주택 현황_20240630'!E392,""ko"",""en"")"),"31.22")</f>
        <v>31.22</v>
      </c>
      <c r="F392" s="1" t="str">
        <f ca="1">IFERROR(__xludf.DUMMYFUNCTION("GOOGLETRANSLATE('대전도시공사_청년임대주택 현황_20240630'!F392,""ko"",""en"")"),"22.13")</f>
        <v>22.13</v>
      </c>
      <c r="G392" s="1" t="str">
        <f ca="1">IFERROR(__xludf.DUMMYFUNCTION("GOOGLETRANSLATE('대전도시공사_청년임대주택 현황_20240630'!G392,""ko"",""en"")"),"9.09")</f>
        <v>9.09</v>
      </c>
      <c r="H392" s="1" t="str">
        <f ca="1">IFERROR(__xludf.DUMMYFUNCTION("GOOGLETRANSLATE('대전도시공사_청년임대주택 현황_20240630'!H392,""ko"",""en"")"),"Youth Rent 1st Place")</f>
        <v>Youth Rent 1st Place</v>
      </c>
      <c r="I392" s="1" t="str">
        <f ca="1">IFERROR(__xludf.DUMMYFUNCTION("GOOGLETRANSLATE('대전도시공사_청년임대주택 현황_20240630'!I392,""ko"",""en"")"),"1000000")</f>
        <v>1000000</v>
      </c>
      <c r="J392" s="1" t="str">
        <f ca="1">IFERROR(__xludf.DUMMYFUNCTION("GOOGLETRANSLATE('대전도시공사_청년임대주택 현황_20240630'!J392,""ko"",""en"")"),"159300")</f>
        <v>159300</v>
      </c>
    </row>
    <row r="393" spans="1:10" ht="12.5" x14ac:dyDescent="0.25">
      <c r="A393" s="1" t="str">
        <f ca="1">IFERROR(__xludf.DUMMYFUNCTION("GOOGLETRANSLATE('대전도시공사_청년임대주택 현황_20240630'!A393,""ko"",""en"")"),"Yongdu-dong 12-1, 12-8 (Dream Stay, Youth Rental)")</f>
        <v>Yongdu-dong 12-1, 12-8 (Dream Stay, Youth Rental)</v>
      </c>
      <c r="B393" s="1" t="str">
        <f ca="1">IFERROR(__xludf.DUMMYFUNCTION("GOOGLETRANSLATE('대전도시공사_청년임대주택 현황_20240630'!B393,""ko"",""en"")"),"14")</f>
        <v>14</v>
      </c>
      <c r="C393" s="1" t="str">
        <f ca="1">IFERROR(__xludf.DUMMYFUNCTION("GOOGLETRANSLATE('대전도시공사_청년임대주택 현황_20240630'!C393,""ko"",""en"")"),"1")</f>
        <v>1</v>
      </c>
      <c r="D393" s="1" t="str">
        <f ca="1">IFERROR(__xludf.DUMMYFUNCTION("GOOGLETRANSLATE('대전도시공사_청년임대주택 현황_20240630'!D393,""ko"",""en"")"),"608")</f>
        <v>608</v>
      </c>
      <c r="E393" s="1" t="str">
        <f ca="1">IFERROR(__xludf.DUMMYFUNCTION("GOOGLETRANSLATE('대전도시공사_청년임대주택 현황_20240630'!E393,""ko"",""en"")"),"31.22")</f>
        <v>31.22</v>
      </c>
      <c r="F393" s="1" t="str">
        <f ca="1">IFERROR(__xludf.DUMMYFUNCTION("GOOGLETRANSLATE('대전도시공사_청년임대주택 현황_20240630'!F393,""ko"",""en"")"),"22.13")</f>
        <v>22.13</v>
      </c>
      <c r="G393" s="1" t="str">
        <f ca="1">IFERROR(__xludf.DUMMYFUNCTION("GOOGLETRANSLATE('대전도시공사_청년임대주택 현황_20240630'!G393,""ko"",""en"")"),"9.09")</f>
        <v>9.09</v>
      </c>
      <c r="H393" s="1" t="str">
        <f ca="1">IFERROR(__xludf.DUMMYFUNCTION("GOOGLETRANSLATE('대전도시공사_청년임대주택 현황_20240630'!H393,""ko"",""en"")"),"Youth Rental 2nd Place")</f>
        <v>Youth Rental 2nd Place</v>
      </c>
      <c r="I393" s="1" t="str">
        <f ca="1">IFERROR(__xludf.DUMMYFUNCTION("GOOGLETRANSLATE('대전도시공사_청년임대주택 현황_20240630'!I393,""ko"",""en"")"),"2000000")</f>
        <v>2000000</v>
      </c>
      <c r="J393" s="1" t="str">
        <f ca="1">IFERROR(__xludf.DUMMYFUNCTION("GOOGLETRANSLATE('대전도시공사_청년임대주택 현황_20240630'!J393,""ko"",""en"")"),"195000")</f>
        <v>195000</v>
      </c>
    </row>
    <row r="394" spans="1:10" ht="12.5" x14ac:dyDescent="0.25">
      <c r="A394" s="1" t="str">
        <f ca="1">IFERROR(__xludf.DUMMYFUNCTION("GOOGLETRANSLATE('대전도시공사_청년임대주택 현황_20240630'!A394,""ko"",""en"")"),"Yongdu-dong 12-1, 12-8 (Dream Stay, Youth Rental)")</f>
        <v>Yongdu-dong 12-1, 12-8 (Dream Stay, Youth Rental)</v>
      </c>
      <c r="B394" s="1" t="str">
        <f ca="1">IFERROR(__xludf.DUMMYFUNCTION("GOOGLETRANSLATE('대전도시공사_청년임대주택 현황_20240630'!B394,""ko"",""en"")"),"15")</f>
        <v>15</v>
      </c>
      <c r="C394" s="1" t="str">
        <f ca="1">IFERROR(__xludf.DUMMYFUNCTION("GOOGLETRANSLATE('대전도시공사_청년임대주택 현황_20240630'!C394,""ko"",""en"")"),"1")</f>
        <v>1</v>
      </c>
      <c r="D394" s="1" t="str">
        <f ca="1">IFERROR(__xludf.DUMMYFUNCTION("GOOGLETRANSLATE('대전도시공사_청년임대주택 현황_20240630'!D394,""ko"",""en"")"),"608")</f>
        <v>608</v>
      </c>
      <c r="E394" s="1" t="str">
        <f ca="1">IFERROR(__xludf.DUMMYFUNCTION("GOOGLETRANSLATE('대전도시공사_청년임대주택 현황_20240630'!E394,""ko"",""en"")"),"31.22")</f>
        <v>31.22</v>
      </c>
      <c r="F394" s="1" t="str">
        <f ca="1">IFERROR(__xludf.DUMMYFUNCTION("GOOGLETRANSLATE('대전도시공사_청년임대주택 현황_20240630'!F394,""ko"",""en"")"),"22.13")</f>
        <v>22.13</v>
      </c>
      <c r="G394" s="1" t="str">
        <f ca="1">IFERROR(__xludf.DUMMYFUNCTION("GOOGLETRANSLATE('대전도시공사_청년임대주택 현황_20240630'!G394,""ko"",""en"")"),"9.09")</f>
        <v>9.09</v>
      </c>
      <c r="H394" s="1" t="str">
        <f ca="1">IFERROR(__xludf.DUMMYFUNCTION("GOOGLETRANSLATE('대전도시공사_청년임대주택 현황_20240630'!H394,""ko"",""en"")"),"3rd place for youth rental")</f>
        <v>3rd place for youth rental</v>
      </c>
      <c r="I394" s="1" t="str">
        <f ca="1">IFERROR(__xludf.DUMMYFUNCTION("GOOGLETRANSLATE('대전도시공사_청년임대주택 현황_20240630'!I394,""ko"",""en"")"),"2000000")</f>
        <v>2000000</v>
      </c>
      <c r="J394" s="1" t="str">
        <f ca="1">IFERROR(__xludf.DUMMYFUNCTION("GOOGLETRANSLATE('대전도시공사_청년임대주택 현황_20240630'!J394,""ko"",""en"")"),"195000")</f>
        <v>195000</v>
      </c>
    </row>
    <row r="395" spans="1:10" ht="12.5" x14ac:dyDescent="0.25">
      <c r="A395" s="1" t="str">
        <f ca="1">IFERROR(__xludf.DUMMYFUNCTION("GOOGLETRANSLATE('대전도시공사_청년임대주택 현황_20240630'!A395,""ko"",""en"")"),"Yongdu-dong 12-1, 12-8 (Dream Stay, Youth Rental)")</f>
        <v>Yongdu-dong 12-1, 12-8 (Dream Stay, Youth Rental)</v>
      </c>
      <c r="B395" s="1" t="str">
        <f ca="1">IFERROR(__xludf.DUMMYFUNCTION("GOOGLETRANSLATE('대전도시공사_청년임대주택 현황_20240630'!B395,""ko"",""en"")"),"16")</f>
        <v>16</v>
      </c>
      <c r="C395" s="1" t="str">
        <f ca="1">IFERROR(__xludf.DUMMYFUNCTION("GOOGLETRANSLATE('대전도시공사_청년임대주택 현황_20240630'!C395,""ko"",""en"")"),"1")</f>
        <v>1</v>
      </c>
      <c r="D395" s="1" t="str">
        <f ca="1">IFERROR(__xludf.DUMMYFUNCTION("GOOGLETRANSLATE('대전도시공사_청년임대주택 현황_20240630'!D395,""ko"",""en"")"),"701")</f>
        <v>701</v>
      </c>
      <c r="E395" s="1" t="str">
        <f ca="1">IFERROR(__xludf.DUMMYFUNCTION("GOOGLETRANSLATE('대전도시공사_청년임대주택 현황_20240630'!E395,""ko"",""en"")"),"32.38")</f>
        <v>32.38</v>
      </c>
      <c r="F395" s="1" t="str">
        <f ca="1">IFERROR(__xludf.DUMMYFUNCTION("GOOGLETRANSLATE('대전도시공사_청년임대주택 현황_20240630'!F395,""ko"",""en"")"),"22.95")</f>
        <v>22.95</v>
      </c>
      <c r="G395" s="1" t="str">
        <f ca="1">IFERROR(__xludf.DUMMYFUNCTION("GOOGLETRANSLATE('대전도시공사_청년임대주택 현황_20240630'!G395,""ko"",""en"")"),"9.43")</f>
        <v>9.43</v>
      </c>
      <c r="H395" s="1" t="str">
        <f ca="1">IFERROR(__xludf.DUMMYFUNCTION("GOOGLETRANSLATE('대전도시공사_청년임대주택 현황_20240630'!H395,""ko"",""en"")"),"Youth Rent 1st Place")</f>
        <v>Youth Rent 1st Place</v>
      </c>
      <c r="I395" s="1" t="str">
        <f ca="1">IFERROR(__xludf.DUMMYFUNCTION("GOOGLETRANSLATE('대전도시공사_청년임대주택 현황_20240630'!I395,""ko"",""en"")"),"1000000")</f>
        <v>1000000</v>
      </c>
      <c r="J395" s="1" t="str">
        <f ca="1">IFERROR(__xludf.DUMMYFUNCTION("GOOGLETRANSLATE('대전도시공사_청년임대주택 현황_20240630'!J395,""ko"",""en"")"),"169800")</f>
        <v>169800</v>
      </c>
    </row>
    <row r="396" spans="1:10" ht="12.5" x14ac:dyDescent="0.25">
      <c r="A396" s="1" t="str">
        <f ca="1">IFERROR(__xludf.DUMMYFUNCTION("GOOGLETRANSLATE('대전도시공사_청년임대주택 현황_20240630'!A396,""ko"",""en"")"),"Yongdu-dong 12-1, 12-8 (Dream Stay, Youth Rental)")</f>
        <v>Yongdu-dong 12-1, 12-8 (Dream Stay, Youth Rental)</v>
      </c>
      <c r="B396" s="1" t="str">
        <f ca="1">IFERROR(__xludf.DUMMYFUNCTION("GOOGLETRANSLATE('대전도시공사_청년임대주택 현황_20240630'!B396,""ko"",""en"")"),"17")</f>
        <v>17</v>
      </c>
      <c r="C396" s="1" t="str">
        <f ca="1">IFERROR(__xludf.DUMMYFUNCTION("GOOGLETRANSLATE('대전도시공사_청년임대주택 현황_20240630'!C396,""ko"",""en"")"),"1")</f>
        <v>1</v>
      </c>
      <c r="D396" s="1" t="str">
        <f ca="1">IFERROR(__xludf.DUMMYFUNCTION("GOOGLETRANSLATE('대전도시공사_청년임대주택 현황_20240630'!D396,""ko"",""en"")"),"701")</f>
        <v>701</v>
      </c>
      <c r="E396" s="1" t="str">
        <f ca="1">IFERROR(__xludf.DUMMYFUNCTION("GOOGLETRANSLATE('대전도시공사_청년임대주택 현황_20240630'!E396,""ko"",""en"")"),"32.38")</f>
        <v>32.38</v>
      </c>
      <c r="F396" s="1" t="str">
        <f ca="1">IFERROR(__xludf.DUMMYFUNCTION("GOOGLETRANSLATE('대전도시공사_청년임대주택 현황_20240630'!F396,""ko"",""en"")"),"22.95")</f>
        <v>22.95</v>
      </c>
      <c r="G396" s="1" t="str">
        <f ca="1">IFERROR(__xludf.DUMMYFUNCTION("GOOGLETRANSLATE('대전도시공사_청년임대주택 현황_20240630'!G396,""ko"",""en"")"),"9.43")</f>
        <v>9.43</v>
      </c>
      <c r="H396" s="1" t="str">
        <f ca="1">IFERROR(__xludf.DUMMYFUNCTION("GOOGLETRANSLATE('대전도시공사_청년임대주택 현황_20240630'!H396,""ko"",""en"")"),"Youth Rental 2nd Place")</f>
        <v>Youth Rental 2nd Place</v>
      </c>
      <c r="I396" s="1" t="str">
        <f ca="1">IFERROR(__xludf.DUMMYFUNCTION("GOOGLETRANSLATE('대전도시공사_청년임대주택 현황_20240630'!I396,""ko"",""en"")"),"2000000")</f>
        <v>2000000</v>
      </c>
      <c r="J396" s="1" t="str">
        <f ca="1">IFERROR(__xludf.DUMMYFUNCTION("GOOGLETRANSLATE('대전도시공사_청년임대주택 현황_20240630'!J396,""ko"",""en"")"),"208200")</f>
        <v>208200</v>
      </c>
    </row>
    <row r="397" spans="1:10" ht="12.5" x14ac:dyDescent="0.25">
      <c r="A397" s="1" t="str">
        <f ca="1">IFERROR(__xludf.DUMMYFUNCTION("GOOGLETRANSLATE('대전도시공사_청년임대주택 현황_20240630'!A397,""ko"",""en"")"),"Yongdu-dong 12-1, 12-8 (Dream Stay, Youth Rental)")</f>
        <v>Yongdu-dong 12-1, 12-8 (Dream Stay, Youth Rental)</v>
      </c>
      <c r="B397" s="1" t="str">
        <f ca="1">IFERROR(__xludf.DUMMYFUNCTION("GOOGLETRANSLATE('대전도시공사_청년임대주택 현황_20240630'!B397,""ko"",""en"")"),"18")</f>
        <v>18</v>
      </c>
      <c r="C397" s="1" t="str">
        <f ca="1">IFERROR(__xludf.DUMMYFUNCTION("GOOGLETRANSLATE('대전도시공사_청년임대주택 현황_20240630'!C397,""ko"",""en"")"),"1")</f>
        <v>1</v>
      </c>
      <c r="D397" s="1" t="str">
        <f ca="1">IFERROR(__xludf.DUMMYFUNCTION("GOOGLETRANSLATE('대전도시공사_청년임대주택 현황_20240630'!D397,""ko"",""en"")"),"701")</f>
        <v>701</v>
      </c>
      <c r="E397" s="1" t="str">
        <f ca="1">IFERROR(__xludf.DUMMYFUNCTION("GOOGLETRANSLATE('대전도시공사_청년임대주택 현황_20240630'!E397,""ko"",""en"")"),"32.38")</f>
        <v>32.38</v>
      </c>
      <c r="F397" s="1" t="str">
        <f ca="1">IFERROR(__xludf.DUMMYFUNCTION("GOOGLETRANSLATE('대전도시공사_청년임대주택 현황_20240630'!F397,""ko"",""en"")"),"22.95")</f>
        <v>22.95</v>
      </c>
      <c r="G397" s="1" t="str">
        <f ca="1">IFERROR(__xludf.DUMMYFUNCTION("GOOGLETRANSLATE('대전도시공사_청년임대주택 현황_20240630'!G397,""ko"",""en"")"),"9.43")</f>
        <v>9.43</v>
      </c>
      <c r="H397" s="1" t="str">
        <f ca="1">IFERROR(__xludf.DUMMYFUNCTION("GOOGLETRANSLATE('대전도시공사_청년임대주택 현황_20240630'!H397,""ko"",""en"")"),"3rd place for youth rental")</f>
        <v>3rd place for youth rental</v>
      </c>
      <c r="I397" s="1" t="str">
        <f ca="1">IFERROR(__xludf.DUMMYFUNCTION("GOOGLETRANSLATE('대전도시공사_청년임대주택 현황_20240630'!I397,""ko"",""en"")"),"2000000")</f>
        <v>2000000</v>
      </c>
      <c r="J397" s="1" t="str">
        <f ca="1">IFERROR(__xludf.DUMMYFUNCTION("GOOGLETRANSLATE('대전도시공사_청년임대주택 현황_20240630'!J397,""ko"",""en"")"),"208200")</f>
        <v>208200</v>
      </c>
    </row>
    <row r="398" spans="1:10" ht="12.5" x14ac:dyDescent="0.25">
      <c r="A398" s="1" t="str">
        <f ca="1">IFERROR(__xludf.DUMMYFUNCTION("GOOGLETRANSLATE('대전도시공사_청년임대주택 현황_20240630'!A398,""ko"",""en"")"),"Yongdu-dong 12-1, 12-8 (Dream Stay, Youth Rental)")</f>
        <v>Yongdu-dong 12-1, 12-8 (Dream Stay, Youth Rental)</v>
      </c>
      <c r="B398" s="1" t="str">
        <f ca="1">IFERROR(__xludf.DUMMYFUNCTION("GOOGLETRANSLATE('대전도시공사_청년임대주택 현황_20240630'!B398,""ko"",""en"")"),"19")</f>
        <v>19</v>
      </c>
      <c r="C398" s="1" t="str">
        <f ca="1">IFERROR(__xludf.DUMMYFUNCTION("GOOGLETRANSLATE('대전도시공사_청년임대주택 현황_20240630'!C398,""ko"",""en"")"),"1")</f>
        <v>1</v>
      </c>
      <c r="D398" s="1" t="str">
        <f ca="1">IFERROR(__xludf.DUMMYFUNCTION("GOOGLETRANSLATE('대전도시공사_청년임대주택 현황_20240630'!D398,""ko"",""en"")"),"708")</f>
        <v>708</v>
      </c>
      <c r="E398" s="1" t="str">
        <f ca="1">IFERROR(__xludf.DUMMYFUNCTION("GOOGLETRANSLATE('대전도시공사_청년임대주택 현황_20240630'!E398,""ko"",""en"")"),"31.22")</f>
        <v>31.22</v>
      </c>
      <c r="F398" s="1" t="str">
        <f ca="1">IFERROR(__xludf.DUMMYFUNCTION("GOOGLETRANSLATE('대전도시공사_청년임대주택 현황_20240630'!F398,""ko"",""en"")"),"22.13")</f>
        <v>22.13</v>
      </c>
      <c r="G398" s="1" t="str">
        <f ca="1">IFERROR(__xludf.DUMMYFUNCTION("GOOGLETRANSLATE('대전도시공사_청년임대주택 현황_20240630'!G398,""ko"",""en"")"),"9.09")</f>
        <v>9.09</v>
      </c>
      <c r="H398" s="1" t="str">
        <f ca="1">IFERROR(__xludf.DUMMYFUNCTION("GOOGLETRANSLATE('대전도시공사_청년임대주택 현황_20240630'!H398,""ko"",""en"")"),"Youth Rent 1st Place")</f>
        <v>Youth Rent 1st Place</v>
      </c>
      <c r="I398" s="1" t="str">
        <f ca="1">IFERROR(__xludf.DUMMYFUNCTION("GOOGLETRANSLATE('대전도시공사_청년임대주택 현황_20240630'!I398,""ko"",""en"")"),"1000000")</f>
        <v>1000000</v>
      </c>
      <c r="J398" s="1" t="str">
        <f ca="1">IFERROR(__xludf.DUMMYFUNCTION("GOOGLETRANSLATE('대전도시공사_청년임대주택 현황_20240630'!J398,""ko"",""en"")"),"163500")</f>
        <v>163500</v>
      </c>
    </row>
    <row r="399" spans="1:10" ht="12.5" x14ac:dyDescent="0.25">
      <c r="A399" s="1" t="str">
        <f ca="1">IFERROR(__xludf.DUMMYFUNCTION("GOOGLETRANSLATE('대전도시공사_청년임대주택 현황_20240630'!A399,""ko"",""en"")"),"Yongdu-dong 12-1, 12-8 (Dream Stay, Youth Rental)")</f>
        <v>Yongdu-dong 12-1, 12-8 (Dream Stay, Youth Rental)</v>
      </c>
      <c r="B399" s="1" t="str">
        <f ca="1">IFERROR(__xludf.DUMMYFUNCTION("GOOGLETRANSLATE('대전도시공사_청년임대주택 현황_20240630'!B399,""ko"",""en"")"),"20")</f>
        <v>20</v>
      </c>
      <c r="C399" s="1" t="str">
        <f ca="1">IFERROR(__xludf.DUMMYFUNCTION("GOOGLETRANSLATE('대전도시공사_청년임대주택 현황_20240630'!C399,""ko"",""en"")"),"1")</f>
        <v>1</v>
      </c>
      <c r="D399" s="1" t="str">
        <f ca="1">IFERROR(__xludf.DUMMYFUNCTION("GOOGLETRANSLATE('대전도시공사_청년임대주택 현황_20240630'!D399,""ko"",""en"")"),"708")</f>
        <v>708</v>
      </c>
      <c r="E399" s="1" t="str">
        <f ca="1">IFERROR(__xludf.DUMMYFUNCTION("GOOGLETRANSLATE('대전도시공사_청년임대주택 현황_20240630'!E399,""ko"",""en"")"),"31.22")</f>
        <v>31.22</v>
      </c>
      <c r="F399" s="1" t="str">
        <f ca="1">IFERROR(__xludf.DUMMYFUNCTION("GOOGLETRANSLATE('대전도시공사_청년임대주택 현황_20240630'!F399,""ko"",""en"")"),"22.13")</f>
        <v>22.13</v>
      </c>
      <c r="G399" s="1" t="str">
        <f ca="1">IFERROR(__xludf.DUMMYFUNCTION("GOOGLETRANSLATE('대전도시공사_청년임대주택 현황_20240630'!G399,""ko"",""en"")"),"9.09")</f>
        <v>9.09</v>
      </c>
      <c r="H399" s="1" t="str">
        <f ca="1">IFERROR(__xludf.DUMMYFUNCTION("GOOGLETRANSLATE('대전도시공사_청년임대주택 현황_20240630'!H399,""ko"",""en"")"),"Youth Rental 2nd Place")</f>
        <v>Youth Rental 2nd Place</v>
      </c>
      <c r="I399" s="1" t="str">
        <f ca="1">IFERROR(__xludf.DUMMYFUNCTION("GOOGLETRANSLATE('대전도시공사_청년임대주택 현황_20240630'!I399,""ko"",""en"")"),"2000000")</f>
        <v>2000000</v>
      </c>
      <c r="J399" s="1" t="str">
        <f ca="1">IFERROR(__xludf.DUMMYFUNCTION("GOOGLETRANSLATE('대전도시공사_청년임대주택 현황_20240630'!J399,""ko"",""en"")"),"200300")</f>
        <v>200300</v>
      </c>
    </row>
    <row r="400" spans="1:10" ht="12.5" x14ac:dyDescent="0.25">
      <c r="A400" s="1" t="str">
        <f ca="1">IFERROR(__xludf.DUMMYFUNCTION("GOOGLETRANSLATE('대전도시공사_청년임대주택 현황_20240630'!A400,""ko"",""en"")"),"Yongdu-dong 12-1, 12-8 (Dream Stay, Youth Rental)")</f>
        <v>Yongdu-dong 12-1, 12-8 (Dream Stay, Youth Rental)</v>
      </c>
      <c r="B400" s="1" t="str">
        <f ca="1">IFERROR(__xludf.DUMMYFUNCTION("GOOGLETRANSLATE('대전도시공사_청년임대주택 현황_20240630'!B400,""ko"",""en"")"),"21")</f>
        <v>21</v>
      </c>
      <c r="C400" s="1" t="str">
        <f ca="1">IFERROR(__xludf.DUMMYFUNCTION("GOOGLETRANSLATE('대전도시공사_청년임대주택 현황_20240630'!C400,""ko"",""en"")"),"1")</f>
        <v>1</v>
      </c>
      <c r="D400" s="1" t="str">
        <f ca="1">IFERROR(__xludf.DUMMYFUNCTION("GOOGLETRANSLATE('대전도시공사_청년임대주택 현황_20240630'!D400,""ko"",""en"")"),"708")</f>
        <v>708</v>
      </c>
      <c r="E400" s="1" t="str">
        <f ca="1">IFERROR(__xludf.DUMMYFUNCTION("GOOGLETRANSLATE('대전도시공사_청년임대주택 현황_20240630'!E400,""ko"",""en"")"),"31.22")</f>
        <v>31.22</v>
      </c>
      <c r="F400" s="1" t="str">
        <f ca="1">IFERROR(__xludf.DUMMYFUNCTION("GOOGLETRANSLATE('대전도시공사_청년임대주택 현황_20240630'!F400,""ko"",""en"")"),"22.13")</f>
        <v>22.13</v>
      </c>
      <c r="G400" s="1" t="str">
        <f ca="1">IFERROR(__xludf.DUMMYFUNCTION("GOOGLETRANSLATE('대전도시공사_청년임대주택 현황_20240630'!G400,""ko"",""en"")"),"9.09")</f>
        <v>9.09</v>
      </c>
      <c r="H400" s="1" t="str">
        <f ca="1">IFERROR(__xludf.DUMMYFUNCTION("GOOGLETRANSLATE('대전도시공사_청년임대주택 현황_20240630'!H400,""ko"",""en"")"),"3rd place for youth rental")</f>
        <v>3rd place for youth rental</v>
      </c>
      <c r="I400" s="1" t="str">
        <f ca="1">IFERROR(__xludf.DUMMYFUNCTION("GOOGLETRANSLATE('대전도시공사_청년임대주택 현황_20240630'!I400,""ko"",""en"")"),"2000000")</f>
        <v>2000000</v>
      </c>
      <c r="J400" s="1" t="str">
        <f ca="1">IFERROR(__xludf.DUMMYFUNCTION("GOOGLETRANSLATE('대전도시공사_청년임대주택 현황_20240630'!J400,""ko"",""en"")"),"200300")</f>
        <v>200300</v>
      </c>
    </row>
    <row r="401" spans="1:10" ht="12.5" x14ac:dyDescent="0.25">
      <c r="A401" s="1" t="str">
        <f ca="1">IFERROR(__xludf.DUMMYFUNCTION("GOOGLETRANSLATE('대전도시공사_청년임대주택 현황_20240630'!A401,""ko"",""en"")"),"Yongdu-dong 12-1, 12-8 (Dream Stay, Youth Rental)")</f>
        <v>Yongdu-dong 12-1, 12-8 (Dream Stay, Youth Rental)</v>
      </c>
      <c r="B401" s="1" t="str">
        <f ca="1">IFERROR(__xludf.DUMMYFUNCTION("GOOGLETRANSLATE('대전도시공사_청년임대주택 현황_20240630'!B401,""ko"",""en"")"),"22")</f>
        <v>22</v>
      </c>
      <c r="C401" s="1" t="str">
        <f ca="1">IFERROR(__xludf.DUMMYFUNCTION("GOOGLETRANSLATE('대전도시공사_청년임대주택 현황_20240630'!C401,""ko"",""en"")"),"1")</f>
        <v>1</v>
      </c>
      <c r="D401" s="1" t="str">
        <f ca="1">IFERROR(__xludf.DUMMYFUNCTION("GOOGLETRANSLATE('대전도시공사_청년임대주택 현황_20240630'!D401,""ko"",""en"")"),"801")</f>
        <v>801</v>
      </c>
      <c r="E401" s="1" t="str">
        <f ca="1">IFERROR(__xludf.DUMMYFUNCTION("GOOGLETRANSLATE('대전도시공사_청년임대주택 현황_20240630'!E401,""ko"",""en"")"),"32.38")</f>
        <v>32.38</v>
      </c>
      <c r="F401" s="1" t="str">
        <f ca="1">IFERROR(__xludf.DUMMYFUNCTION("GOOGLETRANSLATE('대전도시공사_청년임대주택 현황_20240630'!F401,""ko"",""en"")"),"22.95")</f>
        <v>22.95</v>
      </c>
      <c r="G401" s="1" t="str">
        <f ca="1">IFERROR(__xludf.DUMMYFUNCTION("GOOGLETRANSLATE('대전도시공사_청년임대주택 현황_20240630'!G401,""ko"",""en"")"),"9.43")</f>
        <v>9.43</v>
      </c>
      <c r="H401" s="1" t="str">
        <f ca="1">IFERROR(__xludf.DUMMYFUNCTION("GOOGLETRANSLATE('대전도시공사_청년임대주택 현황_20240630'!H401,""ko"",""en"")"),"Youth Rent 1st Place")</f>
        <v>Youth Rent 1st Place</v>
      </c>
      <c r="I401" s="1" t="str">
        <f ca="1">IFERROR(__xludf.DUMMYFUNCTION("GOOGLETRANSLATE('대전도시공사_청년임대주택 현황_20240630'!I401,""ko"",""en"")"),"1000000")</f>
        <v>1000000</v>
      </c>
      <c r="J401" s="1" t="str">
        <f ca="1">IFERROR(__xludf.DUMMYFUNCTION("GOOGLETRANSLATE('대전도시공사_청년임대주택 현황_20240630'!J401,""ko"",""en"")"),"169800")</f>
        <v>169800</v>
      </c>
    </row>
    <row r="402" spans="1:10" ht="12.5" x14ac:dyDescent="0.25">
      <c r="A402" s="1" t="str">
        <f ca="1">IFERROR(__xludf.DUMMYFUNCTION("GOOGLETRANSLATE('대전도시공사_청년임대주택 현황_20240630'!A402,""ko"",""en"")"),"Yongdu-dong 12-1, 12-8 (Dream Stay, Youth Rental)")</f>
        <v>Yongdu-dong 12-1, 12-8 (Dream Stay, Youth Rental)</v>
      </c>
      <c r="B402" s="1" t="str">
        <f ca="1">IFERROR(__xludf.DUMMYFUNCTION("GOOGLETRANSLATE('대전도시공사_청년임대주택 현황_20240630'!B402,""ko"",""en"")"),"23")</f>
        <v>23</v>
      </c>
      <c r="C402" s="1" t="str">
        <f ca="1">IFERROR(__xludf.DUMMYFUNCTION("GOOGLETRANSLATE('대전도시공사_청년임대주택 현황_20240630'!C402,""ko"",""en"")"),"1")</f>
        <v>1</v>
      </c>
      <c r="D402" s="1" t="str">
        <f ca="1">IFERROR(__xludf.DUMMYFUNCTION("GOOGLETRANSLATE('대전도시공사_청년임대주택 현황_20240630'!D402,""ko"",""en"")"),"801")</f>
        <v>801</v>
      </c>
      <c r="E402" s="1" t="str">
        <f ca="1">IFERROR(__xludf.DUMMYFUNCTION("GOOGLETRANSLATE('대전도시공사_청년임대주택 현황_20240630'!E402,""ko"",""en"")"),"32.38")</f>
        <v>32.38</v>
      </c>
      <c r="F402" s="1" t="str">
        <f ca="1">IFERROR(__xludf.DUMMYFUNCTION("GOOGLETRANSLATE('대전도시공사_청년임대주택 현황_20240630'!F402,""ko"",""en"")"),"22.95")</f>
        <v>22.95</v>
      </c>
      <c r="G402" s="1" t="str">
        <f ca="1">IFERROR(__xludf.DUMMYFUNCTION("GOOGLETRANSLATE('대전도시공사_청년임대주택 현황_20240630'!G402,""ko"",""en"")"),"9.43")</f>
        <v>9.43</v>
      </c>
      <c r="H402" s="1" t="str">
        <f ca="1">IFERROR(__xludf.DUMMYFUNCTION("GOOGLETRANSLATE('대전도시공사_청년임대주택 현황_20240630'!H402,""ko"",""en"")"),"Youth Rental 2nd Place")</f>
        <v>Youth Rental 2nd Place</v>
      </c>
      <c r="I402" s="1" t="str">
        <f ca="1">IFERROR(__xludf.DUMMYFUNCTION("GOOGLETRANSLATE('대전도시공사_청년임대주택 현황_20240630'!I402,""ko"",""en"")"),"2000000")</f>
        <v>2000000</v>
      </c>
      <c r="J402" s="1" t="str">
        <f ca="1">IFERROR(__xludf.DUMMYFUNCTION("GOOGLETRANSLATE('대전도시공사_청년임대주택 현황_20240630'!J402,""ko"",""en"")"),"208200")</f>
        <v>208200</v>
      </c>
    </row>
    <row r="403" spans="1:10" ht="12.5" x14ac:dyDescent="0.25">
      <c r="A403" s="1" t="str">
        <f ca="1">IFERROR(__xludf.DUMMYFUNCTION("GOOGLETRANSLATE('대전도시공사_청년임대주택 현황_20240630'!A403,""ko"",""en"")"),"Yongdu-dong 12-1, 12-8 (Dream Stay, Youth Rental)")</f>
        <v>Yongdu-dong 12-1, 12-8 (Dream Stay, Youth Rental)</v>
      </c>
      <c r="B403" s="1" t="str">
        <f ca="1">IFERROR(__xludf.DUMMYFUNCTION("GOOGLETRANSLATE('대전도시공사_청년임대주택 현황_20240630'!B403,""ko"",""en"")"),"24")</f>
        <v>24</v>
      </c>
      <c r="C403" s="1" t="str">
        <f ca="1">IFERROR(__xludf.DUMMYFUNCTION("GOOGLETRANSLATE('대전도시공사_청년임대주택 현황_20240630'!C403,""ko"",""en"")"),"1")</f>
        <v>1</v>
      </c>
      <c r="D403" s="1" t="str">
        <f ca="1">IFERROR(__xludf.DUMMYFUNCTION("GOOGLETRANSLATE('대전도시공사_청년임대주택 현황_20240630'!D403,""ko"",""en"")"),"801")</f>
        <v>801</v>
      </c>
      <c r="E403" s="1" t="str">
        <f ca="1">IFERROR(__xludf.DUMMYFUNCTION("GOOGLETRANSLATE('대전도시공사_청년임대주택 현황_20240630'!E403,""ko"",""en"")"),"32.38")</f>
        <v>32.38</v>
      </c>
      <c r="F403" s="1" t="str">
        <f ca="1">IFERROR(__xludf.DUMMYFUNCTION("GOOGLETRANSLATE('대전도시공사_청년임대주택 현황_20240630'!F403,""ko"",""en"")"),"22.95")</f>
        <v>22.95</v>
      </c>
      <c r="G403" s="1" t="str">
        <f ca="1">IFERROR(__xludf.DUMMYFUNCTION("GOOGLETRANSLATE('대전도시공사_청년임대주택 현황_20240630'!G403,""ko"",""en"")"),"9.43")</f>
        <v>9.43</v>
      </c>
      <c r="H403" s="1" t="str">
        <f ca="1">IFERROR(__xludf.DUMMYFUNCTION("GOOGLETRANSLATE('대전도시공사_청년임대주택 현황_20240630'!H403,""ko"",""en"")"),"3rd place for youth rental")</f>
        <v>3rd place for youth rental</v>
      </c>
      <c r="I403" s="1" t="str">
        <f ca="1">IFERROR(__xludf.DUMMYFUNCTION("GOOGLETRANSLATE('대전도시공사_청년임대주택 현황_20240630'!I403,""ko"",""en"")"),"2000000")</f>
        <v>2000000</v>
      </c>
      <c r="J403" s="1" t="str">
        <f ca="1">IFERROR(__xludf.DUMMYFUNCTION("GOOGLETRANSLATE('대전도시공사_청년임대주택 현황_20240630'!J403,""ko"",""en"")"),"208200")</f>
        <v>208200</v>
      </c>
    </row>
    <row r="404" spans="1:10" ht="12.5" x14ac:dyDescent="0.25">
      <c r="A404" s="1" t="str">
        <f ca="1">IFERROR(__xludf.DUMMYFUNCTION("GOOGLETRANSLATE('대전도시공사_청년임대주택 현황_20240630'!A404,""ko"",""en"")"),"Yongdu-dong 12-1, 12-8 (Dream Stay, Youth Rental)")</f>
        <v>Yongdu-dong 12-1, 12-8 (Dream Stay, Youth Rental)</v>
      </c>
      <c r="B404" s="1" t="str">
        <f ca="1">IFERROR(__xludf.DUMMYFUNCTION("GOOGLETRANSLATE('대전도시공사_청년임대주택 현황_20240630'!B404,""ko"",""en"")"),"25")</f>
        <v>25</v>
      </c>
      <c r="C404" s="1" t="str">
        <f ca="1">IFERROR(__xludf.DUMMYFUNCTION("GOOGLETRANSLATE('대전도시공사_청년임대주택 현황_20240630'!C404,""ko"",""en"")"),"1")</f>
        <v>1</v>
      </c>
      <c r="D404" s="1" t="str">
        <f ca="1">IFERROR(__xludf.DUMMYFUNCTION("GOOGLETRANSLATE('대전도시공사_청년임대주택 현황_20240630'!D404,""ko"",""en"")"),"808")</f>
        <v>808</v>
      </c>
      <c r="E404" s="1" t="str">
        <f ca="1">IFERROR(__xludf.DUMMYFUNCTION("GOOGLETRANSLATE('대전도시공사_청년임대주택 현황_20240630'!E404,""ko"",""en"")"),"31.22")</f>
        <v>31.22</v>
      </c>
      <c r="F404" s="1" t="str">
        <f ca="1">IFERROR(__xludf.DUMMYFUNCTION("GOOGLETRANSLATE('대전도시공사_청년임대주택 현황_20240630'!F404,""ko"",""en"")"),"22.13")</f>
        <v>22.13</v>
      </c>
      <c r="G404" s="1" t="str">
        <f ca="1">IFERROR(__xludf.DUMMYFUNCTION("GOOGLETRANSLATE('대전도시공사_청년임대주택 현황_20240630'!G404,""ko"",""en"")"),"9.09")</f>
        <v>9.09</v>
      </c>
      <c r="H404" s="1" t="str">
        <f ca="1">IFERROR(__xludf.DUMMYFUNCTION("GOOGLETRANSLATE('대전도시공사_청년임대주택 현황_20240630'!H404,""ko"",""en"")"),"Youth Rent 1st Place")</f>
        <v>Youth Rent 1st Place</v>
      </c>
      <c r="I404" s="1" t="str">
        <f ca="1">IFERROR(__xludf.DUMMYFUNCTION("GOOGLETRANSLATE('대전도시공사_청년임대주택 현황_20240630'!I404,""ko"",""en"")"),"1000000")</f>
        <v>1000000</v>
      </c>
      <c r="J404" s="1" t="str">
        <f ca="1">IFERROR(__xludf.DUMMYFUNCTION("GOOGLETRANSLATE('대전도시공사_청년임대주택 현황_20240630'!J404,""ko"",""en"")"),"163500")</f>
        <v>163500</v>
      </c>
    </row>
    <row r="405" spans="1:10" ht="12.5" x14ac:dyDescent="0.25">
      <c r="A405" s="1" t="str">
        <f ca="1">IFERROR(__xludf.DUMMYFUNCTION("GOOGLETRANSLATE('대전도시공사_청년임대주택 현황_20240630'!A405,""ko"",""en"")"),"Yongdu-dong 12-1, 12-8 (Dream Stay, Youth Rental)")</f>
        <v>Yongdu-dong 12-1, 12-8 (Dream Stay, Youth Rental)</v>
      </c>
      <c r="B405" s="1" t="str">
        <f ca="1">IFERROR(__xludf.DUMMYFUNCTION("GOOGLETRANSLATE('대전도시공사_청년임대주택 현황_20240630'!B405,""ko"",""en"")"),"26")</f>
        <v>26</v>
      </c>
      <c r="C405" s="1" t="str">
        <f ca="1">IFERROR(__xludf.DUMMYFUNCTION("GOOGLETRANSLATE('대전도시공사_청년임대주택 현황_20240630'!C405,""ko"",""en"")"),"1")</f>
        <v>1</v>
      </c>
      <c r="D405" s="1" t="str">
        <f ca="1">IFERROR(__xludf.DUMMYFUNCTION("GOOGLETRANSLATE('대전도시공사_청년임대주택 현황_20240630'!D405,""ko"",""en"")"),"808")</f>
        <v>808</v>
      </c>
      <c r="E405" s="1" t="str">
        <f ca="1">IFERROR(__xludf.DUMMYFUNCTION("GOOGLETRANSLATE('대전도시공사_청년임대주택 현황_20240630'!E405,""ko"",""en"")"),"31.22")</f>
        <v>31.22</v>
      </c>
      <c r="F405" s="1" t="str">
        <f ca="1">IFERROR(__xludf.DUMMYFUNCTION("GOOGLETRANSLATE('대전도시공사_청년임대주택 현황_20240630'!F405,""ko"",""en"")"),"22.13")</f>
        <v>22.13</v>
      </c>
      <c r="G405" s="1" t="str">
        <f ca="1">IFERROR(__xludf.DUMMYFUNCTION("GOOGLETRANSLATE('대전도시공사_청년임대주택 현황_20240630'!G405,""ko"",""en"")"),"9.09")</f>
        <v>9.09</v>
      </c>
      <c r="H405" s="1" t="str">
        <f ca="1">IFERROR(__xludf.DUMMYFUNCTION("GOOGLETRANSLATE('대전도시공사_청년임대주택 현황_20240630'!H405,""ko"",""en"")"),"Youth Rental 2nd Place")</f>
        <v>Youth Rental 2nd Place</v>
      </c>
      <c r="I405" s="1" t="str">
        <f ca="1">IFERROR(__xludf.DUMMYFUNCTION("GOOGLETRANSLATE('대전도시공사_청년임대주택 현황_20240630'!I405,""ko"",""en"")"),"2000000")</f>
        <v>2000000</v>
      </c>
      <c r="J405" s="1" t="str">
        <f ca="1">IFERROR(__xludf.DUMMYFUNCTION("GOOGLETRANSLATE('대전도시공사_청년임대주택 현황_20240630'!J405,""ko"",""en"")"),"200300")</f>
        <v>200300</v>
      </c>
    </row>
    <row r="406" spans="1:10" ht="12.5" x14ac:dyDescent="0.25">
      <c r="A406" s="1" t="str">
        <f ca="1">IFERROR(__xludf.DUMMYFUNCTION("GOOGLETRANSLATE('대전도시공사_청년임대주택 현황_20240630'!A406,""ko"",""en"")"),"Yongdu-dong 12-1, 12-8 (Dream Stay, Youth Rental)")</f>
        <v>Yongdu-dong 12-1, 12-8 (Dream Stay, Youth Rental)</v>
      </c>
      <c r="B406" s="1" t="str">
        <f ca="1">IFERROR(__xludf.DUMMYFUNCTION("GOOGLETRANSLATE('대전도시공사_청년임대주택 현황_20240630'!B406,""ko"",""en"")"),"27")</f>
        <v>27</v>
      </c>
      <c r="C406" s="1" t="str">
        <f ca="1">IFERROR(__xludf.DUMMYFUNCTION("GOOGLETRANSLATE('대전도시공사_청년임대주택 현황_20240630'!C406,""ko"",""en"")"),"1")</f>
        <v>1</v>
      </c>
      <c r="D406" s="1" t="str">
        <f ca="1">IFERROR(__xludf.DUMMYFUNCTION("GOOGLETRANSLATE('대전도시공사_청년임대주택 현황_20240630'!D406,""ko"",""en"")"),"808")</f>
        <v>808</v>
      </c>
      <c r="E406" s="1" t="str">
        <f ca="1">IFERROR(__xludf.DUMMYFUNCTION("GOOGLETRANSLATE('대전도시공사_청년임대주택 현황_20240630'!E406,""ko"",""en"")"),"31.22")</f>
        <v>31.22</v>
      </c>
      <c r="F406" s="1" t="str">
        <f ca="1">IFERROR(__xludf.DUMMYFUNCTION("GOOGLETRANSLATE('대전도시공사_청년임대주택 현황_20240630'!F406,""ko"",""en"")"),"22.13")</f>
        <v>22.13</v>
      </c>
      <c r="G406" s="1" t="str">
        <f ca="1">IFERROR(__xludf.DUMMYFUNCTION("GOOGLETRANSLATE('대전도시공사_청년임대주택 현황_20240630'!G406,""ko"",""en"")"),"9.09")</f>
        <v>9.09</v>
      </c>
      <c r="H406" s="1" t="str">
        <f ca="1">IFERROR(__xludf.DUMMYFUNCTION("GOOGLETRANSLATE('대전도시공사_청년임대주택 현황_20240630'!H406,""ko"",""en"")"),"3rd place for youth rental")</f>
        <v>3rd place for youth rental</v>
      </c>
      <c r="I406" s="1" t="str">
        <f ca="1">IFERROR(__xludf.DUMMYFUNCTION("GOOGLETRANSLATE('대전도시공사_청년임대주택 현황_20240630'!I406,""ko"",""en"")"),"2000000")</f>
        <v>2000000</v>
      </c>
      <c r="J406" s="1" t="str">
        <f ca="1">IFERROR(__xludf.DUMMYFUNCTION("GOOGLETRANSLATE('대전도시공사_청년임대주택 현황_20240630'!J406,""ko"",""en"")"),"200300")</f>
        <v>200300</v>
      </c>
    </row>
    <row r="407" spans="1:10" ht="12.5" x14ac:dyDescent="0.25">
      <c r="A407" s="1" t="str">
        <f ca="1">IFERROR(__xludf.DUMMYFUNCTION("GOOGLETRANSLATE('대전도시공사_청년임대주택 현황_20240630'!A407,""ko"",""en"")"),"Yongdu-dong 12-1, 12-8 (Dream Stay, Youth Rental)")</f>
        <v>Yongdu-dong 12-1, 12-8 (Dream Stay, Youth Rental)</v>
      </c>
      <c r="B407" s="1" t="str">
        <f ca="1">IFERROR(__xludf.DUMMYFUNCTION("GOOGLETRANSLATE('대전도시공사_청년임대주택 현황_20240630'!B407,""ko"",""en"")"),"28")</f>
        <v>28</v>
      </c>
      <c r="C407" s="1" t="str">
        <f ca="1">IFERROR(__xludf.DUMMYFUNCTION("GOOGLETRANSLATE('대전도시공사_청년임대주택 현황_20240630'!C407,""ko"",""en"")"),"1")</f>
        <v>1</v>
      </c>
      <c r="D407" s="1" t="str">
        <f ca="1">IFERROR(__xludf.DUMMYFUNCTION("GOOGLETRANSLATE('대전도시공사_청년임대주택 현황_20240630'!D407,""ko"",""en"")"),"901")</f>
        <v>901</v>
      </c>
      <c r="E407" s="1" t="str">
        <f ca="1">IFERROR(__xludf.DUMMYFUNCTION("GOOGLETRANSLATE('대전도시공사_청년임대주택 현황_20240630'!E407,""ko"",""en"")"),"32.38")</f>
        <v>32.38</v>
      </c>
      <c r="F407" s="1" t="str">
        <f ca="1">IFERROR(__xludf.DUMMYFUNCTION("GOOGLETRANSLATE('대전도시공사_청년임대주택 현황_20240630'!F407,""ko"",""en"")"),"22.95")</f>
        <v>22.95</v>
      </c>
      <c r="G407" s="1" t="str">
        <f ca="1">IFERROR(__xludf.DUMMYFUNCTION("GOOGLETRANSLATE('대전도시공사_청년임대주택 현황_20240630'!G407,""ko"",""en"")"),"9.43")</f>
        <v>9.43</v>
      </c>
      <c r="H407" s="1" t="str">
        <f ca="1">IFERROR(__xludf.DUMMYFUNCTION("GOOGLETRANSLATE('대전도시공사_청년임대주택 현황_20240630'!H407,""ko"",""en"")"),"Youth Rent 1st Place")</f>
        <v>Youth Rent 1st Place</v>
      </c>
      <c r="I407" s="1" t="str">
        <f ca="1">IFERROR(__xludf.DUMMYFUNCTION("GOOGLETRANSLATE('대전도시공사_청년임대주택 현황_20240630'!I407,""ko"",""en"")"),"1000000")</f>
        <v>1000000</v>
      </c>
      <c r="J407" s="1" t="str">
        <f ca="1">IFERROR(__xludf.DUMMYFUNCTION("GOOGLETRANSLATE('대전도시공사_청년임대주택 현황_20240630'!J407,""ko"",""en"")"),"169800")</f>
        <v>169800</v>
      </c>
    </row>
    <row r="408" spans="1:10" ht="12.5" x14ac:dyDescent="0.25">
      <c r="A408" s="1" t="str">
        <f ca="1">IFERROR(__xludf.DUMMYFUNCTION("GOOGLETRANSLATE('대전도시공사_청년임대주택 현황_20240630'!A408,""ko"",""en"")"),"Yongdu-dong 12-1, 12-8 (Dream Stay, Youth Rental)")</f>
        <v>Yongdu-dong 12-1, 12-8 (Dream Stay, Youth Rental)</v>
      </c>
      <c r="B408" s="1" t="str">
        <f ca="1">IFERROR(__xludf.DUMMYFUNCTION("GOOGLETRANSLATE('대전도시공사_청년임대주택 현황_20240630'!B408,""ko"",""en"")"),"29")</f>
        <v>29</v>
      </c>
      <c r="C408" s="1" t="str">
        <f ca="1">IFERROR(__xludf.DUMMYFUNCTION("GOOGLETRANSLATE('대전도시공사_청년임대주택 현황_20240630'!C408,""ko"",""en"")"),"1")</f>
        <v>1</v>
      </c>
      <c r="D408" s="1" t="str">
        <f ca="1">IFERROR(__xludf.DUMMYFUNCTION("GOOGLETRANSLATE('대전도시공사_청년임대주택 현황_20240630'!D408,""ko"",""en"")"),"901")</f>
        <v>901</v>
      </c>
      <c r="E408" s="1" t="str">
        <f ca="1">IFERROR(__xludf.DUMMYFUNCTION("GOOGLETRANSLATE('대전도시공사_청년임대주택 현황_20240630'!E408,""ko"",""en"")"),"32.38")</f>
        <v>32.38</v>
      </c>
      <c r="F408" s="1" t="str">
        <f ca="1">IFERROR(__xludf.DUMMYFUNCTION("GOOGLETRANSLATE('대전도시공사_청년임대주택 현황_20240630'!F408,""ko"",""en"")"),"22.95")</f>
        <v>22.95</v>
      </c>
      <c r="G408" s="1" t="str">
        <f ca="1">IFERROR(__xludf.DUMMYFUNCTION("GOOGLETRANSLATE('대전도시공사_청년임대주택 현황_20240630'!G408,""ko"",""en"")"),"9.43")</f>
        <v>9.43</v>
      </c>
      <c r="H408" s="1" t="str">
        <f ca="1">IFERROR(__xludf.DUMMYFUNCTION("GOOGLETRANSLATE('대전도시공사_청년임대주택 현황_20240630'!H408,""ko"",""en"")"),"Youth Rental 2nd Place")</f>
        <v>Youth Rental 2nd Place</v>
      </c>
      <c r="I408" s="1" t="str">
        <f ca="1">IFERROR(__xludf.DUMMYFUNCTION("GOOGLETRANSLATE('대전도시공사_청년임대주택 현황_20240630'!I408,""ko"",""en"")"),"2000000")</f>
        <v>2000000</v>
      </c>
      <c r="J408" s="1" t="str">
        <f ca="1">IFERROR(__xludf.DUMMYFUNCTION("GOOGLETRANSLATE('대전도시공사_청년임대주택 현황_20240630'!J408,""ko"",""en"")"),"208200")</f>
        <v>208200</v>
      </c>
    </row>
    <row r="409" spans="1:10" ht="12.5" x14ac:dyDescent="0.25">
      <c r="A409" s="1" t="str">
        <f ca="1">IFERROR(__xludf.DUMMYFUNCTION("GOOGLETRANSLATE('대전도시공사_청년임대주택 현황_20240630'!A409,""ko"",""en"")"),"Yongdu-dong 12-1, 12-8 (Dream Stay, Youth Rental)")</f>
        <v>Yongdu-dong 12-1, 12-8 (Dream Stay, Youth Rental)</v>
      </c>
      <c r="B409" s="1" t="str">
        <f ca="1">IFERROR(__xludf.DUMMYFUNCTION("GOOGLETRANSLATE('대전도시공사_청년임대주택 현황_20240630'!B409,""ko"",""en"")"),"30")</f>
        <v>30</v>
      </c>
      <c r="C409" s="1" t="str">
        <f ca="1">IFERROR(__xludf.DUMMYFUNCTION("GOOGLETRANSLATE('대전도시공사_청년임대주택 현황_20240630'!C409,""ko"",""en"")"),"1")</f>
        <v>1</v>
      </c>
      <c r="D409" s="1" t="str">
        <f ca="1">IFERROR(__xludf.DUMMYFUNCTION("GOOGLETRANSLATE('대전도시공사_청년임대주택 현황_20240630'!D409,""ko"",""en"")"),"901")</f>
        <v>901</v>
      </c>
      <c r="E409" s="1" t="str">
        <f ca="1">IFERROR(__xludf.DUMMYFUNCTION("GOOGLETRANSLATE('대전도시공사_청년임대주택 현황_20240630'!E409,""ko"",""en"")"),"32.38")</f>
        <v>32.38</v>
      </c>
      <c r="F409" s="1" t="str">
        <f ca="1">IFERROR(__xludf.DUMMYFUNCTION("GOOGLETRANSLATE('대전도시공사_청년임대주택 현황_20240630'!F409,""ko"",""en"")"),"22.95")</f>
        <v>22.95</v>
      </c>
      <c r="G409" s="1" t="str">
        <f ca="1">IFERROR(__xludf.DUMMYFUNCTION("GOOGLETRANSLATE('대전도시공사_청년임대주택 현황_20240630'!G409,""ko"",""en"")"),"9.43")</f>
        <v>9.43</v>
      </c>
      <c r="H409" s="1" t="str">
        <f ca="1">IFERROR(__xludf.DUMMYFUNCTION("GOOGLETRANSLATE('대전도시공사_청년임대주택 현황_20240630'!H409,""ko"",""en"")"),"3rd place for youth rental")</f>
        <v>3rd place for youth rental</v>
      </c>
      <c r="I409" s="1" t="str">
        <f ca="1">IFERROR(__xludf.DUMMYFUNCTION("GOOGLETRANSLATE('대전도시공사_청년임대주택 현황_20240630'!I409,""ko"",""en"")"),"2000000")</f>
        <v>2000000</v>
      </c>
      <c r="J409" s="1" t="str">
        <f ca="1">IFERROR(__xludf.DUMMYFUNCTION("GOOGLETRANSLATE('대전도시공사_청년임대주택 현황_20240630'!J409,""ko"",""en"")"),"208200")</f>
        <v>208200</v>
      </c>
    </row>
    <row r="410" spans="1:10" ht="12.5" x14ac:dyDescent="0.25">
      <c r="A410" s="1" t="str">
        <f ca="1">IFERROR(__xludf.DUMMYFUNCTION("GOOGLETRANSLATE('대전도시공사_청년임대주택 현황_20240630'!A410,""ko"",""en"")"),"Yongdu-dong 12-1, 12-8 (Dream Stay, Youth Rental)")</f>
        <v>Yongdu-dong 12-1, 12-8 (Dream Stay, Youth Rental)</v>
      </c>
      <c r="B410" s="1" t="str">
        <f ca="1">IFERROR(__xludf.DUMMYFUNCTION("GOOGLETRANSLATE('대전도시공사_청년임대주택 현황_20240630'!B410,""ko"",""en"")"),"31")</f>
        <v>31</v>
      </c>
      <c r="C410" s="1" t="str">
        <f ca="1">IFERROR(__xludf.DUMMYFUNCTION("GOOGLETRANSLATE('대전도시공사_청년임대주택 현황_20240630'!C410,""ko"",""en"")"),"1")</f>
        <v>1</v>
      </c>
      <c r="D410" s="1" t="str">
        <f ca="1">IFERROR(__xludf.DUMMYFUNCTION("GOOGLETRANSLATE('대전도시공사_청년임대주택 현황_20240630'!D410,""ko"",""en"")"),"908")</f>
        <v>908</v>
      </c>
      <c r="E410" s="1" t="str">
        <f ca="1">IFERROR(__xludf.DUMMYFUNCTION("GOOGLETRANSLATE('대전도시공사_청년임대주택 현황_20240630'!E410,""ko"",""en"")"),"31.22")</f>
        <v>31.22</v>
      </c>
      <c r="F410" s="1" t="str">
        <f ca="1">IFERROR(__xludf.DUMMYFUNCTION("GOOGLETRANSLATE('대전도시공사_청년임대주택 현황_20240630'!F410,""ko"",""en"")"),"22.13")</f>
        <v>22.13</v>
      </c>
      <c r="G410" s="1" t="str">
        <f ca="1">IFERROR(__xludf.DUMMYFUNCTION("GOOGLETRANSLATE('대전도시공사_청년임대주택 현황_20240630'!G410,""ko"",""en"")"),"9.09")</f>
        <v>9.09</v>
      </c>
      <c r="H410" s="1" t="str">
        <f ca="1">IFERROR(__xludf.DUMMYFUNCTION("GOOGLETRANSLATE('대전도시공사_청년임대주택 현황_20240630'!H410,""ko"",""en"")"),"Youth Rent 1st Place")</f>
        <v>Youth Rent 1st Place</v>
      </c>
      <c r="I410" s="1" t="str">
        <f ca="1">IFERROR(__xludf.DUMMYFUNCTION("GOOGLETRANSLATE('대전도시공사_청년임대주택 현황_20240630'!I410,""ko"",""en"")"),"1000000")</f>
        <v>1000000</v>
      </c>
      <c r="J410" s="1" t="str">
        <f ca="1">IFERROR(__xludf.DUMMYFUNCTION("GOOGLETRANSLATE('대전도시공사_청년임대주택 현황_20240630'!J410,""ko"",""en"")"),"163500")</f>
        <v>163500</v>
      </c>
    </row>
    <row r="411" spans="1:10" ht="12.5" x14ac:dyDescent="0.25">
      <c r="A411" s="1" t="str">
        <f ca="1">IFERROR(__xludf.DUMMYFUNCTION("GOOGLETRANSLATE('대전도시공사_청년임대주택 현황_20240630'!A411,""ko"",""en"")"),"Yongdu-dong 12-1, 12-8 (Dream Stay, Youth Rental)")</f>
        <v>Yongdu-dong 12-1, 12-8 (Dream Stay, Youth Rental)</v>
      </c>
      <c r="B411" s="1" t="str">
        <f ca="1">IFERROR(__xludf.DUMMYFUNCTION("GOOGLETRANSLATE('대전도시공사_청년임대주택 현황_20240630'!B411,""ko"",""en"")"),"32")</f>
        <v>32</v>
      </c>
      <c r="C411" s="1" t="str">
        <f ca="1">IFERROR(__xludf.DUMMYFUNCTION("GOOGLETRANSLATE('대전도시공사_청년임대주택 현황_20240630'!C411,""ko"",""en"")"),"1")</f>
        <v>1</v>
      </c>
      <c r="D411" s="1" t="str">
        <f ca="1">IFERROR(__xludf.DUMMYFUNCTION("GOOGLETRANSLATE('대전도시공사_청년임대주택 현황_20240630'!D411,""ko"",""en"")"),"908")</f>
        <v>908</v>
      </c>
      <c r="E411" s="1" t="str">
        <f ca="1">IFERROR(__xludf.DUMMYFUNCTION("GOOGLETRANSLATE('대전도시공사_청년임대주택 현황_20240630'!E411,""ko"",""en"")"),"31.22")</f>
        <v>31.22</v>
      </c>
      <c r="F411" s="1" t="str">
        <f ca="1">IFERROR(__xludf.DUMMYFUNCTION("GOOGLETRANSLATE('대전도시공사_청년임대주택 현황_20240630'!F411,""ko"",""en"")"),"22.13")</f>
        <v>22.13</v>
      </c>
      <c r="G411" s="1" t="str">
        <f ca="1">IFERROR(__xludf.DUMMYFUNCTION("GOOGLETRANSLATE('대전도시공사_청년임대주택 현황_20240630'!G411,""ko"",""en"")"),"9.09")</f>
        <v>9.09</v>
      </c>
      <c r="H411" s="1" t="str">
        <f ca="1">IFERROR(__xludf.DUMMYFUNCTION("GOOGLETRANSLATE('대전도시공사_청년임대주택 현황_20240630'!H411,""ko"",""en"")"),"Youth Rental 2nd Place")</f>
        <v>Youth Rental 2nd Place</v>
      </c>
      <c r="I411" s="1" t="str">
        <f ca="1">IFERROR(__xludf.DUMMYFUNCTION("GOOGLETRANSLATE('대전도시공사_청년임대주택 현황_20240630'!I411,""ko"",""en"")"),"2000000")</f>
        <v>2000000</v>
      </c>
      <c r="J411" s="1" t="str">
        <f ca="1">IFERROR(__xludf.DUMMYFUNCTION("GOOGLETRANSLATE('대전도시공사_청년임대주택 현황_20240630'!J411,""ko"",""en"")"),"200300")</f>
        <v>200300</v>
      </c>
    </row>
    <row r="412" spans="1:10" ht="12.5" x14ac:dyDescent="0.25">
      <c r="A412" s="1" t="str">
        <f ca="1">IFERROR(__xludf.DUMMYFUNCTION("GOOGLETRANSLATE('대전도시공사_청년임대주택 현황_20240630'!A412,""ko"",""en"")"),"Yongdu-dong 12-1, 12-8 (Dream Stay, Youth Rental)")</f>
        <v>Yongdu-dong 12-1, 12-8 (Dream Stay, Youth Rental)</v>
      </c>
      <c r="B412" s="1" t="str">
        <f ca="1">IFERROR(__xludf.DUMMYFUNCTION("GOOGLETRANSLATE('대전도시공사_청년임대주택 현황_20240630'!B412,""ko"",""en"")"),"33")</f>
        <v>33</v>
      </c>
      <c r="C412" s="1" t="str">
        <f ca="1">IFERROR(__xludf.DUMMYFUNCTION("GOOGLETRANSLATE('대전도시공사_청년임대주택 현황_20240630'!C412,""ko"",""en"")"),"1")</f>
        <v>1</v>
      </c>
      <c r="D412" s="1" t="str">
        <f ca="1">IFERROR(__xludf.DUMMYFUNCTION("GOOGLETRANSLATE('대전도시공사_청년임대주택 현황_20240630'!D412,""ko"",""en"")"),"908")</f>
        <v>908</v>
      </c>
      <c r="E412" s="1" t="str">
        <f ca="1">IFERROR(__xludf.DUMMYFUNCTION("GOOGLETRANSLATE('대전도시공사_청년임대주택 현황_20240630'!E412,""ko"",""en"")"),"31.22")</f>
        <v>31.22</v>
      </c>
      <c r="F412" s="1" t="str">
        <f ca="1">IFERROR(__xludf.DUMMYFUNCTION("GOOGLETRANSLATE('대전도시공사_청년임대주택 현황_20240630'!F412,""ko"",""en"")"),"22.13")</f>
        <v>22.13</v>
      </c>
      <c r="G412" s="1" t="str">
        <f ca="1">IFERROR(__xludf.DUMMYFUNCTION("GOOGLETRANSLATE('대전도시공사_청년임대주택 현황_20240630'!G412,""ko"",""en"")"),"9.09")</f>
        <v>9.09</v>
      </c>
      <c r="H412" s="1" t="str">
        <f ca="1">IFERROR(__xludf.DUMMYFUNCTION("GOOGLETRANSLATE('대전도시공사_청년임대주택 현황_20240630'!H412,""ko"",""en"")"),"3rd place for youth rental")</f>
        <v>3rd place for youth rental</v>
      </c>
      <c r="I412" s="1" t="str">
        <f ca="1">IFERROR(__xludf.DUMMYFUNCTION("GOOGLETRANSLATE('대전도시공사_청년임대주택 현황_20240630'!I412,""ko"",""en"")"),"2000000")</f>
        <v>2000000</v>
      </c>
      <c r="J412" s="1" t="str">
        <f ca="1">IFERROR(__xludf.DUMMYFUNCTION("GOOGLETRANSLATE('대전도시공사_청년임대주택 현황_20240630'!J412,""ko"",""en"")"),"200300")</f>
        <v>200300</v>
      </c>
    </row>
    <row r="413" spans="1:10" ht="12.5" x14ac:dyDescent="0.25">
      <c r="A413" s="1" t="str">
        <f ca="1">IFERROR(__xludf.DUMMYFUNCTION("GOOGLETRANSLATE('대전도시공사_청년임대주택 현황_20240630'!A413,""ko"",""en"")"),"Yongdu-dong 12-1, 12-8 (Dream Stay, Youth Rental)")</f>
        <v>Yongdu-dong 12-1, 12-8 (Dream Stay, Youth Rental)</v>
      </c>
      <c r="B413" s="1" t="str">
        <f ca="1">IFERROR(__xludf.DUMMYFUNCTION("GOOGLETRANSLATE('대전도시공사_청년임대주택 현황_20240630'!B413,""ko"",""en"")"),"34")</f>
        <v>34</v>
      </c>
      <c r="C413" s="1" t="str">
        <f ca="1">IFERROR(__xludf.DUMMYFUNCTION("GOOGLETRANSLATE('대전도시공사_청년임대주택 현황_20240630'!C413,""ko"",""en"")"),"1")</f>
        <v>1</v>
      </c>
      <c r="D413" s="1" t="str">
        <f ca="1">IFERROR(__xludf.DUMMYFUNCTION("GOOGLETRANSLATE('대전도시공사_청년임대주택 현황_20240630'!D413,""ko"",""en"")"),"1008")</f>
        <v>1008</v>
      </c>
      <c r="E413" s="1" t="str">
        <f ca="1">IFERROR(__xludf.DUMMYFUNCTION("GOOGLETRANSLATE('대전도시공사_청년임대주택 현황_20240630'!E413,""ko"",""en"")"),"31.22")</f>
        <v>31.22</v>
      </c>
      <c r="F413" s="1" t="str">
        <f ca="1">IFERROR(__xludf.DUMMYFUNCTION("GOOGLETRANSLATE('대전도시공사_청년임대주택 현황_20240630'!F413,""ko"",""en"")"),"22.13")</f>
        <v>22.13</v>
      </c>
      <c r="G413" s="1" t="str">
        <f ca="1">IFERROR(__xludf.DUMMYFUNCTION("GOOGLETRANSLATE('대전도시공사_청년임대주택 현황_20240630'!G413,""ko"",""en"")"),"9.09")</f>
        <v>9.09</v>
      </c>
      <c r="H413" s="1" t="str">
        <f ca="1">IFERROR(__xludf.DUMMYFUNCTION("GOOGLETRANSLATE('대전도시공사_청년임대주택 현황_20240630'!H413,""ko"",""en"")"),"Youth Rent 1st Place")</f>
        <v>Youth Rent 1st Place</v>
      </c>
      <c r="I413" s="1" t="str">
        <f ca="1">IFERROR(__xludf.DUMMYFUNCTION("GOOGLETRANSLATE('대전도시공사_청년임대주택 현황_20240630'!I413,""ko"",""en"")"),"1000000")</f>
        <v>1000000</v>
      </c>
      <c r="J413" s="1" t="str">
        <f ca="1">IFERROR(__xludf.DUMMYFUNCTION("GOOGLETRANSLATE('대전도시공사_청년임대주택 현황_20240630'!J413,""ko"",""en"")"),"163500")</f>
        <v>163500</v>
      </c>
    </row>
    <row r="414" spans="1:10" ht="12.5" x14ac:dyDescent="0.25">
      <c r="A414" s="1" t="str">
        <f ca="1">IFERROR(__xludf.DUMMYFUNCTION("GOOGLETRANSLATE('대전도시공사_청년임대주택 현황_20240630'!A414,""ko"",""en"")"),"Yongdu-dong 12-1, 12-8 (Dream Stay, Youth Rental)")</f>
        <v>Yongdu-dong 12-1, 12-8 (Dream Stay, Youth Rental)</v>
      </c>
      <c r="B414" s="1" t="str">
        <f ca="1">IFERROR(__xludf.DUMMYFUNCTION("GOOGLETRANSLATE('대전도시공사_청년임대주택 현황_20240630'!B414,""ko"",""en"")"),"35")</f>
        <v>35</v>
      </c>
      <c r="C414" s="1" t="str">
        <f ca="1">IFERROR(__xludf.DUMMYFUNCTION("GOOGLETRANSLATE('대전도시공사_청년임대주택 현황_20240630'!C414,""ko"",""en"")"),"1")</f>
        <v>1</v>
      </c>
      <c r="D414" s="1" t="str">
        <f ca="1">IFERROR(__xludf.DUMMYFUNCTION("GOOGLETRANSLATE('대전도시공사_청년임대주택 현황_20240630'!D414,""ko"",""en"")"),"1008")</f>
        <v>1008</v>
      </c>
      <c r="E414" s="1" t="str">
        <f ca="1">IFERROR(__xludf.DUMMYFUNCTION("GOOGLETRANSLATE('대전도시공사_청년임대주택 현황_20240630'!E414,""ko"",""en"")"),"31.22")</f>
        <v>31.22</v>
      </c>
      <c r="F414" s="1" t="str">
        <f ca="1">IFERROR(__xludf.DUMMYFUNCTION("GOOGLETRANSLATE('대전도시공사_청년임대주택 현황_20240630'!F414,""ko"",""en"")"),"22.13")</f>
        <v>22.13</v>
      </c>
      <c r="G414" s="1" t="str">
        <f ca="1">IFERROR(__xludf.DUMMYFUNCTION("GOOGLETRANSLATE('대전도시공사_청년임대주택 현황_20240630'!G414,""ko"",""en"")"),"9.09")</f>
        <v>9.09</v>
      </c>
      <c r="H414" s="1" t="str">
        <f ca="1">IFERROR(__xludf.DUMMYFUNCTION("GOOGLETRANSLATE('대전도시공사_청년임대주택 현황_20240630'!H414,""ko"",""en"")"),"Youth Rental 2nd Place")</f>
        <v>Youth Rental 2nd Place</v>
      </c>
      <c r="I414" s="1" t="str">
        <f ca="1">IFERROR(__xludf.DUMMYFUNCTION("GOOGLETRANSLATE('대전도시공사_청년임대주택 현황_20240630'!I414,""ko"",""en"")"),"2000000")</f>
        <v>2000000</v>
      </c>
      <c r="J414" s="1" t="str">
        <f ca="1">IFERROR(__xludf.DUMMYFUNCTION("GOOGLETRANSLATE('대전도시공사_청년임대주택 현황_20240630'!J414,""ko"",""en"")"),"200300")</f>
        <v>200300</v>
      </c>
    </row>
    <row r="415" spans="1:10" ht="12.5" x14ac:dyDescent="0.25">
      <c r="A415" s="1" t="str">
        <f ca="1">IFERROR(__xludf.DUMMYFUNCTION("GOOGLETRANSLATE('대전도시공사_청년임대주택 현황_20240630'!A415,""ko"",""en"")"),"Yongdu-dong 12-1, 12-8 (Dream Stay, Youth Rental)")</f>
        <v>Yongdu-dong 12-1, 12-8 (Dream Stay, Youth Rental)</v>
      </c>
      <c r="B415" s="1" t="str">
        <f ca="1">IFERROR(__xludf.DUMMYFUNCTION("GOOGLETRANSLATE('대전도시공사_청년임대주택 현황_20240630'!B415,""ko"",""en"")"),"36")</f>
        <v>36</v>
      </c>
      <c r="C415" s="1" t="str">
        <f ca="1">IFERROR(__xludf.DUMMYFUNCTION("GOOGLETRANSLATE('대전도시공사_청년임대주택 현황_20240630'!C415,""ko"",""en"")"),"1")</f>
        <v>1</v>
      </c>
      <c r="D415" s="1" t="str">
        <f ca="1">IFERROR(__xludf.DUMMYFUNCTION("GOOGLETRANSLATE('대전도시공사_청년임대주택 현황_20240630'!D415,""ko"",""en"")"),"1008")</f>
        <v>1008</v>
      </c>
      <c r="E415" s="1" t="str">
        <f ca="1">IFERROR(__xludf.DUMMYFUNCTION("GOOGLETRANSLATE('대전도시공사_청년임대주택 현황_20240630'!E415,""ko"",""en"")"),"31.22")</f>
        <v>31.22</v>
      </c>
      <c r="F415" s="1" t="str">
        <f ca="1">IFERROR(__xludf.DUMMYFUNCTION("GOOGLETRANSLATE('대전도시공사_청년임대주택 현황_20240630'!F415,""ko"",""en"")"),"22.13")</f>
        <v>22.13</v>
      </c>
      <c r="G415" s="1" t="str">
        <f ca="1">IFERROR(__xludf.DUMMYFUNCTION("GOOGLETRANSLATE('대전도시공사_청년임대주택 현황_20240630'!G415,""ko"",""en"")"),"9.09")</f>
        <v>9.09</v>
      </c>
      <c r="H415" s="1" t="str">
        <f ca="1">IFERROR(__xludf.DUMMYFUNCTION("GOOGLETRANSLATE('대전도시공사_청년임대주택 현황_20240630'!H415,""ko"",""en"")"),"3rd place for youth rental")</f>
        <v>3rd place for youth rental</v>
      </c>
      <c r="I415" s="1" t="str">
        <f ca="1">IFERROR(__xludf.DUMMYFUNCTION("GOOGLETRANSLATE('대전도시공사_청년임대주택 현황_20240630'!I415,""ko"",""en"")"),"2000000")</f>
        <v>2000000</v>
      </c>
      <c r="J415" s="1" t="str">
        <f ca="1">IFERROR(__xludf.DUMMYFUNCTION("GOOGLETRANSLATE('대전도시공사_청년임대주택 현황_20240630'!J415,""ko"",""en"")"),"200300")</f>
        <v>200300</v>
      </c>
    </row>
    <row r="416" spans="1:10" ht="12.5" x14ac:dyDescent="0.25">
      <c r="A416" s="1" t="str">
        <f ca="1">IFERROR(__xludf.DUMMYFUNCTION("GOOGLETRANSLATE('대전도시공사_청년임대주택 현황_20240630'!A416,""ko"",""en"")"),"Yongdu-dong 12-1, 12-8 (Dream Stay, Youth Rental)")</f>
        <v>Yongdu-dong 12-1, 12-8 (Dream Stay, Youth Rental)</v>
      </c>
      <c r="B416" s="1" t="str">
        <f ca="1">IFERROR(__xludf.DUMMYFUNCTION("GOOGLETRANSLATE('대전도시공사_청년임대주택 현황_20240630'!B416,""ko"",""en"")"),"37")</f>
        <v>37</v>
      </c>
      <c r="C416" s="1" t="str">
        <f ca="1">IFERROR(__xludf.DUMMYFUNCTION("GOOGLETRANSLATE('대전도시공사_청년임대주택 현황_20240630'!C416,""ko"",""en"")"),"1")</f>
        <v>1</v>
      </c>
      <c r="D416" s="1" t="str">
        <f ca="1">IFERROR(__xludf.DUMMYFUNCTION("GOOGLETRANSLATE('대전도시공사_청년임대주택 현황_20240630'!D416,""ko"",""en"")"),"1101")</f>
        <v>1101</v>
      </c>
      <c r="E416" s="1" t="str">
        <f ca="1">IFERROR(__xludf.DUMMYFUNCTION("GOOGLETRANSLATE('대전도시공사_청년임대주택 현황_20240630'!E416,""ko"",""en"")"),"32.38")</f>
        <v>32.38</v>
      </c>
      <c r="F416" s="1" t="str">
        <f ca="1">IFERROR(__xludf.DUMMYFUNCTION("GOOGLETRANSLATE('대전도시공사_청년임대주택 현황_20240630'!F416,""ko"",""en"")"),"22.95")</f>
        <v>22.95</v>
      </c>
      <c r="G416" s="1" t="str">
        <f ca="1">IFERROR(__xludf.DUMMYFUNCTION("GOOGLETRANSLATE('대전도시공사_청년임대주택 현황_20240630'!G416,""ko"",""en"")"),"9.43")</f>
        <v>9.43</v>
      </c>
      <c r="H416" s="1" t="str">
        <f ca="1">IFERROR(__xludf.DUMMYFUNCTION("GOOGLETRANSLATE('대전도시공사_청년임대주택 현황_20240630'!H416,""ko"",""en"")"),"Youth Rent 1st Place")</f>
        <v>Youth Rent 1st Place</v>
      </c>
      <c r="I416" s="1" t="str">
        <f ca="1">IFERROR(__xludf.DUMMYFUNCTION("GOOGLETRANSLATE('대전도시공사_청년임대주택 현황_20240630'!I416,""ko"",""en"")"),"1000000")</f>
        <v>1000000</v>
      </c>
      <c r="J416" s="1" t="str">
        <f ca="1">IFERROR(__xludf.DUMMYFUNCTION("GOOGLETRANSLATE('대전도시공사_청년임대주택 현황_20240630'!J416,""ko"",""en"")"),"172000")</f>
        <v>172000</v>
      </c>
    </row>
    <row r="417" spans="1:10" ht="12.5" x14ac:dyDescent="0.25">
      <c r="A417" s="1" t="str">
        <f ca="1">IFERROR(__xludf.DUMMYFUNCTION("GOOGLETRANSLATE('대전도시공사_청년임대주택 현황_20240630'!A417,""ko"",""en"")"),"Yongdu-dong 12-1, 12-8 (Dream Stay, Youth Rental)")</f>
        <v>Yongdu-dong 12-1, 12-8 (Dream Stay, Youth Rental)</v>
      </c>
      <c r="B417" s="1" t="str">
        <f ca="1">IFERROR(__xludf.DUMMYFUNCTION("GOOGLETRANSLATE('대전도시공사_청년임대주택 현황_20240630'!B417,""ko"",""en"")"),"38")</f>
        <v>38</v>
      </c>
      <c r="C417" s="1" t="str">
        <f ca="1">IFERROR(__xludf.DUMMYFUNCTION("GOOGLETRANSLATE('대전도시공사_청년임대주택 현황_20240630'!C417,""ko"",""en"")"),"1")</f>
        <v>1</v>
      </c>
      <c r="D417" s="1" t="str">
        <f ca="1">IFERROR(__xludf.DUMMYFUNCTION("GOOGLETRANSLATE('대전도시공사_청년임대주택 현황_20240630'!D417,""ko"",""en"")"),"1101")</f>
        <v>1101</v>
      </c>
      <c r="E417" s="1" t="str">
        <f ca="1">IFERROR(__xludf.DUMMYFUNCTION("GOOGLETRANSLATE('대전도시공사_청년임대주택 현황_20240630'!E417,""ko"",""en"")"),"32.38")</f>
        <v>32.38</v>
      </c>
      <c r="F417" s="1" t="str">
        <f ca="1">IFERROR(__xludf.DUMMYFUNCTION("GOOGLETRANSLATE('대전도시공사_청년임대주택 현황_20240630'!F417,""ko"",""en"")"),"22.95")</f>
        <v>22.95</v>
      </c>
      <c r="G417" s="1" t="str">
        <f ca="1">IFERROR(__xludf.DUMMYFUNCTION("GOOGLETRANSLATE('대전도시공사_청년임대주택 현황_20240630'!G417,""ko"",""en"")"),"9.43")</f>
        <v>9.43</v>
      </c>
      <c r="H417" s="1" t="str">
        <f ca="1">IFERROR(__xludf.DUMMYFUNCTION("GOOGLETRANSLATE('대전도시공사_청년임대주택 현황_20240630'!H417,""ko"",""en"")"),"Youth Rental 2nd Place")</f>
        <v>Youth Rental 2nd Place</v>
      </c>
      <c r="I417" s="1" t="str">
        <f ca="1">IFERROR(__xludf.DUMMYFUNCTION("GOOGLETRANSLATE('대전도시공사_청년임대주택 현황_20240630'!I417,""ko"",""en"")"),"2000000")</f>
        <v>2000000</v>
      </c>
      <c r="J417" s="1" t="str">
        <f ca="1">IFERROR(__xludf.DUMMYFUNCTION("GOOGLETRANSLATE('대전도시공사_청년임대주택 현황_20240630'!J417,""ko"",""en"")"),"210800")</f>
        <v>210800</v>
      </c>
    </row>
    <row r="418" spans="1:10" ht="12.5" x14ac:dyDescent="0.25">
      <c r="A418" s="1" t="str">
        <f ca="1">IFERROR(__xludf.DUMMYFUNCTION("GOOGLETRANSLATE('대전도시공사_청년임대주택 현황_20240630'!A418,""ko"",""en"")"),"Yongdu-dong 12-1, 12-8 (Dream Stay, Youth Rental)")</f>
        <v>Yongdu-dong 12-1, 12-8 (Dream Stay, Youth Rental)</v>
      </c>
      <c r="B418" s="1" t="str">
        <f ca="1">IFERROR(__xludf.DUMMYFUNCTION("GOOGLETRANSLATE('대전도시공사_청년임대주택 현황_20240630'!B418,""ko"",""en"")"),"39")</f>
        <v>39</v>
      </c>
      <c r="C418" s="1" t="str">
        <f ca="1">IFERROR(__xludf.DUMMYFUNCTION("GOOGLETRANSLATE('대전도시공사_청년임대주택 현황_20240630'!C418,""ko"",""en"")"),"1")</f>
        <v>1</v>
      </c>
      <c r="D418" s="1" t="str">
        <f ca="1">IFERROR(__xludf.DUMMYFUNCTION("GOOGLETRANSLATE('대전도시공사_청년임대주택 현황_20240630'!D418,""ko"",""en"")"),"1101")</f>
        <v>1101</v>
      </c>
      <c r="E418" s="1" t="str">
        <f ca="1">IFERROR(__xludf.DUMMYFUNCTION("GOOGLETRANSLATE('대전도시공사_청년임대주택 현황_20240630'!E418,""ko"",""en"")"),"32.38")</f>
        <v>32.38</v>
      </c>
      <c r="F418" s="1" t="str">
        <f ca="1">IFERROR(__xludf.DUMMYFUNCTION("GOOGLETRANSLATE('대전도시공사_청년임대주택 현황_20240630'!F418,""ko"",""en"")"),"22.95")</f>
        <v>22.95</v>
      </c>
      <c r="G418" s="1" t="str">
        <f ca="1">IFERROR(__xludf.DUMMYFUNCTION("GOOGLETRANSLATE('대전도시공사_청년임대주택 현황_20240630'!G418,""ko"",""en"")"),"9.43")</f>
        <v>9.43</v>
      </c>
      <c r="H418" s="1" t="str">
        <f ca="1">IFERROR(__xludf.DUMMYFUNCTION("GOOGLETRANSLATE('대전도시공사_청년임대주택 현황_20240630'!H418,""ko"",""en"")"),"3rd place for youth rental")</f>
        <v>3rd place for youth rental</v>
      </c>
      <c r="I418" s="1" t="str">
        <f ca="1">IFERROR(__xludf.DUMMYFUNCTION("GOOGLETRANSLATE('대전도시공사_청년임대주택 현황_20240630'!I418,""ko"",""en"")"),"2000000")</f>
        <v>2000000</v>
      </c>
      <c r="J418" s="1" t="str">
        <f ca="1">IFERROR(__xludf.DUMMYFUNCTION("GOOGLETRANSLATE('대전도시공사_청년임대주택 현황_20240630'!J418,""ko"",""en"")"),"210800")</f>
        <v>210800</v>
      </c>
    </row>
    <row r="419" spans="1:10" ht="12.5" x14ac:dyDescent="0.25">
      <c r="A419" s="1" t="str">
        <f ca="1">IFERROR(__xludf.DUMMYFUNCTION("GOOGLETRANSLATE('대전도시공사_청년임대주택 현황_20240630'!A419,""ko"",""en"")"),"Yongdu-dong 12-1, 12-8 (Dream Stay, Youth Rental)")</f>
        <v>Yongdu-dong 12-1, 12-8 (Dream Stay, Youth Rental)</v>
      </c>
      <c r="B419" s="1" t="str">
        <f ca="1">IFERROR(__xludf.DUMMYFUNCTION("GOOGLETRANSLATE('대전도시공사_청년임대주택 현황_20240630'!B419,""ko"",""en"")"),"40")</f>
        <v>40</v>
      </c>
      <c r="C419" s="1" t="str">
        <f ca="1">IFERROR(__xludf.DUMMYFUNCTION("GOOGLETRANSLATE('대전도시공사_청년임대주택 현황_20240630'!C419,""ko"",""en"")"),"1")</f>
        <v>1</v>
      </c>
      <c r="D419" s="1" t="str">
        <f ca="1">IFERROR(__xludf.DUMMYFUNCTION("GOOGLETRANSLATE('대전도시공사_청년임대주택 현황_20240630'!D419,""ko"",""en"")"),"1108")</f>
        <v>1108</v>
      </c>
      <c r="E419" s="1" t="str">
        <f ca="1">IFERROR(__xludf.DUMMYFUNCTION("GOOGLETRANSLATE('대전도시공사_청년임대주택 현황_20240630'!E419,""ko"",""en"")"),"31.22")</f>
        <v>31.22</v>
      </c>
      <c r="F419" s="1" t="str">
        <f ca="1">IFERROR(__xludf.DUMMYFUNCTION("GOOGLETRANSLATE('대전도시공사_청년임대주택 현황_20240630'!F419,""ko"",""en"")"),"22.13")</f>
        <v>22.13</v>
      </c>
      <c r="G419" s="1" t="str">
        <f ca="1">IFERROR(__xludf.DUMMYFUNCTION("GOOGLETRANSLATE('대전도시공사_청년임대주택 현황_20240630'!G419,""ko"",""en"")"),"9.09")</f>
        <v>9.09</v>
      </c>
      <c r="H419" s="1" t="str">
        <f ca="1">IFERROR(__xludf.DUMMYFUNCTION("GOOGLETRANSLATE('대전도시공사_청년임대주택 현황_20240630'!H419,""ko"",""en"")"),"Youth Rent 1st Place")</f>
        <v>Youth Rent 1st Place</v>
      </c>
      <c r="I419" s="1" t="str">
        <f ca="1">IFERROR(__xludf.DUMMYFUNCTION("GOOGLETRANSLATE('대전도시공사_청년임대주택 현황_20240630'!I419,""ko"",""en"")"),"1000000")</f>
        <v>1000000</v>
      </c>
      <c r="J419" s="1" t="str">
        <f ca="1">IFERROR(__xludf.DUMMYFUNCTION("GOOGLETRANSLATE('대전도시공사_청년임대주택 현황_20240630'!J419,""ko"",""en"")"),"165600")</f>
        <v>165600</v>
      </c>
    </row>
    <row r="420" spans="1:10" ht="12.5" x14ac:dyDescent="0.25">
      <c r="A420" s="1" t="str">
        <f ca="1">IFERROR(__xludf.DUMMYFUNCTION("GOOGLETRANSLATE('대전도시공사_청년임대주택 현황_20240630'!A420,""ko"",""en"")"),"Yongdu-dong 12-1, 12-8 (Dream Stay, Youth Rental)")</f>
        <v>Yongdu-dong 12-1, 12-8 (Dream Stay, Youth Rental)</v>
      </c>
      <c r="B420" s="1" t="str">
        <f ca="1">IFERROR(__xludf.DUMMYFUNCTION("GOOGLETRANSLATE('대전도시공사_청년임대주택 현황_20240630'!B420,""ko"",""en"")"),"41")</f>
        <v>41</v>
      </c>
      <c r="C420" s="1" t="str">
        <f ca="1">IFERROR(__xludf.DUMMYFUNCTION("GOOGLETRANSLATE('대전도시공사_청년임대주택 현황_20240630'!C420,""ko"",""en"")"),"1")</f>
        <v>1</v>
      </c>
      <c r="D420" s="1" t="str">
        <f ca="1">IFERROR(__xludf.DUMMYFUNCTION("GOOGLETRANSLATE('대전도시공사_청년임대주택 현황_20240630'!D420,""ko"",""en"")"),"1108")</f>
        <v>1108</v>
      </c>
      <c r="E420" s="1" t="str">
        <f ca="1">IFERROR(__xludf.DUMMYFUNCTION("GOOGLETRANSLATE('대전도시공사_청년임대주택 현황_20240630'!E420,""ko"",""en"")"),"31.22")</f>
        <v>31.22</v>
      </c>
      <c r="F420" s="1" t="str">
        <f ca="1">IFERROR(__xludf.DUMMYFUNCTION("GOOGLETRANSLATE('대전도시공사_청년임대주택 현황_20240630'!F420,""ko"",""en"")"),"22.13")</f>
        <v>22.13</v>
      </c>
      <c r="G420" s="1" t="str">
        <f ca="1">IFERROR(__xludf.DUMMYFUNCTION("GOOGLETRANSLATE('대전도시공사_청년임대주택 현황_20240630'!G420,""ko"",""en"")"),"9.09")</f>
        <v>9.09</v>
      </c>
      <c r="H420" s="1" t="str">
        <f ca="1">IFERROR(__xludf.DUMMYFUNCTION("GOOGLETRANSLATE('대전도시공사_청년임대주택 현황_20240630'!H420,""ko"",""en"")"),"Youth Rental 2nd Place")</f>
        <v>Youth Rental 2nd Place</v>
      </c>
      <c r="I420" s="1" t="str">
        <f ca="1">IFERROR(__xludf.DUMMYFUNCTION("GOOGLETRANSLATE('대전도시공사_청년임대주택 현황_20240630'!I420,""ko"",""en"")"),"2000000")</f>
        <v>2000000</v>
      </c>
      <c r="J420" s="1" t="str">
        <f ca="1">IFERROR(__xludf.DUMMYFUNCTION("GOOGLETRANSLATE('대전도시공사_청년임대주택 현황_20240630'!J420,""ko"",""en"")"),"202900")</f>
        <v>202900</v>
      </c>
    </row>
    <row r="421" spans="1:10" ht="12.5" x14ac:dyDescent="0.25">
      <c r="A421" s="1" t="str">
        <f ca="1">IFERROR(__xludf.DUMMYFUNCTION("GOOGLETRANSLATE('대전도시공사_청년임대주택 현황_20240630'!A421,""ko"",""en"")"),"Yongdu-dong 12-1, 12-8 (Dream Stay, Youth Rental)")</f>
        <v>Yongdu-dong 12-1, 12-8 (Dream Stay, Youth Rental)</v>
      </c>
      <c r="B421" s="1" t="str">
        <f ca="1">IFERROR(__xludf.DUMMYFUNCTION("GOOGLETRANSLATE('대전도시공사_청년임대주택 현황_20240630'!B421,""ko"",""en"")"),"42")</f>
        <v>42</v>
      </c>
      <c r="C421" s="1" t="str">
        <f ca="1">IFERROR(__xludf.DUMMYFUNCTION("GOOGLETRANSLATE('대전도시공사_청년임대주택 현황_20240630'!C421,""ko"",""en"")"),"1")</f>
        <v>1</v>
      </c>
      <c r="D421" s="1" t="str">
        <f ca="1">IFERROR(__xludf.DUMMYFUNCTION("GOOGLETRANSLATE('대전도시공사_청년임대주택 현황_20240630'!D421,""ko"",""en"")"),"1108")</f>
        <v>1108</v>
      </c>
      <c r="E421" s="1" t="str">
        <f ca="1">IFERROR(__xludf.DUMMYFUNCTION("GOOGLETRANSLATE('대전도시공사_청년임대주택 현황_20240630'!E421,""ko"",""en"")"),"31.22")</f>
        <v>31.22</v>
      </c>
      <c r="F421" s="1" t="str">
        <f ca="1">IFERROR(__xludf.DUMMYFUNCTION("GOOGLETRANSLATE('대전도시공사_청년임대주택 현황_20240630'!F421,""ko"",""en"")"),"22.13")</f>
        <v>22.13</v>
      </c>
      <c r="G421" s="1" t="str">
        <f ca="1">IFERROR(__xludf.DUMMYFUNCTION("GOOGLETRANSLATE('대전도시공사_청년임대주택 현황_20240630'!G421,""ko"",""en"")"),"9.09")</f>
        <v>9.09</v>
      </c>
      <c r="H421" s="1" t="str">
        <f ca="1">IFERROR(__xludf.DUMMYFUNCTION("GOOGLETRANSLATE('대전도시공사_청년임대주택 현황_20240630'!H421,""ko"",""en"")"),"3rd place for youth rental")</f>
        <v>3rd place for youth rental</v>
      </c>
      <c r="I421" s="1" t="str">
        <f ca="1">IFERROR(__xludf.DUMMYFUNCTION("GOOGLETRANSLATE('대전도시공사_청년임대주택 현황_20240630'!I421,""ko"",""en"")"),"2000000")</f>
        <v>2000000</v>
      </c>
      <c r="J421" s="1" t="str">
        <f ca="1">IFERROR(__xludf.DUMMYFUNCTION("GOOGLETRANSLATE('대전도시공사_청년임대주택 현황_20240630'!J421,""ko"",""en"")"),"202900")</f>
        <v>202900</v>
      </c>
    </row>
    <row r="422" spans="1:10" ht="12.5" x14ac:dyDescent="0.25">
      <c r="A422" s="1" t="str">
        <f ca="1">IFERROR(__xludf.DUMMYFUNCTION("GOOGLETRANSLATE('대전도시공사_청년임대주택 현황_20240630'!A422,""ko"",""en"")"),"Yongdu-dong 12-1, 12-8 (Dream Stay, Youth Rental)")</f>
        <v>Yongdu-dong 12-1, 12-8 (Dream Stay, Youth Rental)</v>
      </c>
      <c r="B422" s="1" t="str">
        <f ca="1">IFERROR(__xludf.DUMMYFUNCTION("GOOGLETRANSLATE('대전도시공사_청년임대주택 현황_20240630'!B422,""ko"",""en"")"),"43")</f>
        <v>43</v>
      </c>
      <c r="C422" s="1" t="str">
        <f ca="1">IFERROR(__xludf.DUMMYFUNCTION("GOOGLETRANSLATE('대전도시공사_청년임대주택 현황_20240630'!C422,""ko"",""en"")"),"1")</f>
        <v>1</v>
      </c>
      <c r="D422" s="1" t="str">
        <f ca="1">IFERROR(__xludf.DUMMYFUNCTION("GOOGLETRANSLATE('대전도시공사_청년임대주택 현황_20240630'!D422,""ko"",""en"")"),"1201")</f>
        <v>1201</v>
      </c>
      <c r="E422" s="1" t="str">
        <f ca="1">IFERROR(__xludf.DUMMYFUNCTION("GOOGLETRANSLATE('대전도시공사_청년임대주택 현황_20240630'!E422,""ko"",""en"")"),"32.38")</f>
        <v>32.38</v>
      </c>
      <c r="F422" s="1" t="str">
        <f ca="1">IFERROR(__xludf.DUMMYFUNCTION("GOOGLETRANSLATE('대전도시공사_청년임대주택 현황_20240630'!F422,""ko"",""en"")"),"22.95")</f>
        <v>22.95</v>
      </c>
      <c r="G422" s="1" t="str">
        <f ca="1">IFERROR(__xludf.DUMMYFUNCTION("GOOGLETRANSLATE('대전도시공사_청년임대주택 현황_20240630'!G422,""ko"",""en"")"),"9.43")</f>
        <v>9.43</v>
      </c>
      <c r="H422" s="1" t="str">
        <f ca="1">IFERROR(__xludf.DUMMYFUNCTION("GOOGLETRANSLATE('대전도시공사_청년임대주택 현황_20240630'!H422,""ko"",""en"")"),"Youth Rent 1st Place")</f>
        <v>Youth Rent 1st Place</v>
      </c>
      <c r="I422" s="1" t="str">
        <f ca="1">IFERROR(__xludf.DUMMYFUNCTION("GOOGLETRANSLATE('대전도시공사_청년임대주택 현황_20240630'!I422,""ko"",""en"")"),"1000000")</f>
        <v>1000000</v>
      </c>
      <c r="J422" s="1" t="str">
        <f ca="1">IFERROR(__xludf.DUMMYFUNCTION("GOOGLETRANSLATE('대전도시공사_청년임대주택 현황_20240630'!J422,""ko"",""en"")"),"172000")</f>
        <v>172000</v>
      </c>
    </row>
    <row r="423" spans="1:10" ht="12.5" x14ac:dyDescent="0.25">
      <c r="A423" s="1" t="str">
        <f ca="1">IFERROR(__xludf.DUMMYFUNCTION("GOOGLETRANSLATE('대전도시공사_청년임대주택 현황_20240630'!A423,""ko"",""en"")"),"Yongdu-dong 12-1, 12-8 (Dream Stay, Youth Rental)")</f>
        <v>Yongdu-dong 12-1, 12-8 (Dream Stay, Youth Rental)</v>
      </c>
      <c r="B423" s="1" t="str">
        <f ca="1">IFERROR(__xludf.DUMMYFUNCTION("GOOGLETRANSLATE('대전도시공사_청년임대주택 현황_20240630'!B423,""ko"",""en"")"),"44")</f>
        <v>44</v>
      </c>
      <c r="C423" s="1" t="str">
        <f ca="1">IFERROR(__xludf.DUMMYFUNCTION("GOOGLETRANSLATE('대전도시공사_청년임대주택 현황_20240630'!C423,""ko"",""en"")"),"1")</f>
        <v>1</v>
      </c>
      <c r="D423" s="1" t="str">
        <f ca="1">IFERROR(__xludf.DUMMYFUNCTION("GOOGLETRANSLATE('대전도시공사_청년임대주택 현황_20240630'!D423,""ko"",""en"")"),"1201")</f>
        <v>1201</v>
      </c>
      <c r="E423" s="1" t="str">
        <f ca="1">IFERROR(__xludf.DUMMYFUNCTION("GOOGLETRANSLATE('대전도시공사_청년임대주택 현황_20240630'!E423,""ko"",""en"")"),"32.38")</f>
        <v>32.38</v>
      </c>
      <c r="F423" s="1" t="str">
        <f ca="1">IFERROR(__xludf.DUMMYFUNCTION("GOOGLETRANSLATE('대전도시공사_청년임대주택 현황_20240630'!F423,""ko"",""en"")"),"22.95")</f>
        <v>22.95</v>
      </c>
      <c r="G423" s="1" t="str">
        <f ca="1">IFERROR(__xludf.DUMMYFUNCTION("GOOGLETRANSLATE('대전도시공사_청년임대주택 현황_20240630'!G423,""ko"",""en"")"),"9.43")</f>
        <v>9.43</v>
      </c>
      <c r="H423" s="1" t="str">
        <f ca="1">IFERROR(__xludf.DUMMYFUNCTION("GOOGLETRANSLATE('대전도시공사_청년임대주택 현황_20240630'!H423,""ko"",""en"")"),"Youth Rental 2nd Place")</f>
        <v>Youth Rental 2nd Place</v>
      </c>
      <c r="I423" s="1" t="str">
        <f ca="1">IFERROR(__xludf.DUMMYFUNCTION("GOOGLETRANSLATE('대전도시공사_청년임대주택 현황_20240630'!I423,""ko"",""en"")"),"2000000")</f>
        <v>2000000</v>
      </c>
      <c r="J423" s="1" t="str">
        <f ca="1">IFERROR(__xludf.DUMMYFUNCTION("GOOGLETRANSLATE('대전도시공사_청년임대주택 현황_20240630'!J423,""ko"",""en"")"),"210800")</f>
        <v>210800</v>
      </c>
    </row>
    <row r="424" spans="1:10" ht="12.5" x14ac:dyDescent="0.25">
      <c r="A424" s="1" t="str">
        <f ca="1">IFERROR(__xludf.DUMMYFUNCTION("GOOGLETRANSLATE('대전도시공사_청년임대주택 현황_20240630'!A424,""ko"",""en"")"),"Yongdu-dong 12-1, 12-8 (Dream Stay, Youth Rental)")</f>
        <v>Yongdu-dong 12-1, 12-8 (Dream Stay, Youth Rental)</v>
      </c>
      <c r="B424" s="1" t="str">
        <f ca="1">IFERROR(__xludf.DUMMYFUNCTION("GOOGLETRANSLATE('대전도시공사_청년임대주택 현황_20240630'!B424,""ko"",""en"")"),"45")</f>
        <v>45</v>
      </c>
      <c r="C424" s="1" t="str">
        <f ca="1">IFERROR(__xludf.DUMMYFUNCTION("GOOGLETRANSLATE('대전도시공사_청년임대주택 현황_20240630'!C424,""ko"",""en"")"),"1")</f>
        <v>1</v>
      </c>
      <c r="D424" s="1" t="str">
        <f ca="1">IFERROR(__xludf.DUMMYFUNCTION("GOOGLETRANSLATE('대전도시공사_청년임대주택 현황_20240630'!D424,""ko"",""en"")"),"1201")</f>
        <v>1201</v>
      </c>
      <c r="E424" s="1" t="str">
        <f ca="1">IFERROR(__xludf.DUMMYFUNCTION("GOOGLETRANSLATE('대전도시공사_청년임대주택 현황_20240630'!E424,""ko"",""en"")"),"32.38")</f>
        <v>32.38</v>
      </c>
      <c r="F424" s="1" t="str">
        <f ca="1">IFERROR(__xludf.DUMMYFUNCTION("GOOGLETRANSLATE('대전도시공사_청년임대주택 현황_20240630'!F424,""ko"",""en"")"),"22.95")</f>
        <v>22.95</v>
      </c>
      <c r="G424" s="1" t="str">
        <f ca="1">IFERROR(__xludf.DUMMYFUNCTION("GOOGLETRANSLATE('대전도시공사_청년임대주택 현황_20240630'!G424,""ko"",""en"")"),"9.43")</f>
        <v>9.43</v>
      </c>
      <c r="H424" s="1" t="str">
        <f ca="1">IFERROR(__xludf.DUMMYFUNCTION("GOOGLETRANSLATE('대전도시공사_청년임대주택 현황_20240630'!H424,""ko"",""en"")"),"3rd place for youth rental")</f>
        <v>3rd place for youth rental</v>
      </c>
      <c r="I424" s="1" t="str">
        <f ca="1">IFERROR(__xludf.DUMMYFUNCTION("GOOGLETRANSLATE('대전도시공사_청년임대주택 현황_20240630'!I424,""ko"",""en"")"),"2000000")</f>
        <v>2000000</v>
      </c>
      <c r="J424" s="1" t="str">
        <f ca="1">IFERROR(__xludf.DUMMYFUNCTION("GOOGLETRANSLATE('대전도시공사_청년임대주택 현황_20240630'!J424,""ko"",""en"")"),"210800")</f>
        <v>210800</v>
      </c>
    </row>
    <row r="425" spans="1:10" ht="12.5" x14ac:dyDescent="0.25">
      <c r="A425" s="1" t="str">
        <f ca="1">IFERROR(__xludf.DUMMYFUNCTION("GOOGLETRANSLATE('대전도시공사_청년임대주택 현황_20240630'!A425,""ko"",""en"")"),"Yongdu-dong 12-1, 12-8 (Dream Stay, Youth Rental)")</f>
        <v>Yongdu-dong 12-1, 12-8 (Dream Stay, Youth Rental)</v>
      </c>
      <c r="B425" s="1" t="str">
        <f ca="1">IFERROR(__xludf.DUMMYFUNCTION("GOOGLETRANSLATE('대전도시공사_청년임대주택 현황_20240630'!B425,""ko"",""en"")"),"46")</f>
        <v>46</v>
      </c>
      <c r="C425" s="1" t="str">
        <f ca="1">IFERROR(__xludf.DUMMYFUNCTION("GOOGLETRANSLATE('대전도시공사_청년임대주택 현황_20240630'!C425,""ko"",""en"")"),"1")</f>
        <v>1</v>
      </c>
      <c r="D425" s="1" t="str">
        <f ca="1">IFERROR(__xludf.DUMMYFUNCTION("GOOGLETRANSLATE('대전도시공사_청년임대주택 현황_20240630'!D425,""ko"",""en"")"),"1208")</f>
        <v>1208</v>
      </c>
      <c r="E425" s="1" t="str">
        <f ca="1">IFERROR(__xludf.DUMMYFUNCTION("GOOGLETRANSLATE('대전도시공사_청년임대주택 현황_20240630'!E425,""ko"",""en"")"),"31.22")</f>
        <v>31.22</v>
      </c>
      <c r="F425" s="1" t="str">
        <f ca="1">IFERROR(__xludf.DUMMYFUNCTION("GOOGLETRANSLATE('대전도시공사_청년임대주택 현황_20240630'!F425,""ko"",""en"")"),"22.13")</f>
        <v>22.13</v>
      </c>
      <c r="G425" s="1" t="str">
        <f ca="1">IFERROR(__xludf.DUMMYFUNCTION("GOOGLETRANSLATE('대전도시공사_청년임대주택 현황_20240630'!G425,""ko"",""en"")"),"9.09")</f>
        <v>9.09</v>
      </c>
      <c r="H425" s="1" t="str">
        <f ca="1">IFERROR(__xludf.DUMMYFUNCTION("GOOGLETRANSLATE('대전도시공사_청년임대주택 현황_20240630'!H425,""ko"",""en"")"),"Youth Rent 1st Place")</f>
        <v>Youth Rent 1st Place</v>
      </c>
      <c r="I425" s="1" t="str">
        <f ca="1">IFERROR(__xludf.DUMMYFUNCTION("GOOGLETRANSLATE('대전도시공사_청년임대주택 현황_20240630'!I425,""ko"",""en"")"),"1000000")</f>
        <v>1000000</v>
      </c>
      <c r="J425" s="1" t="str">
        <f ca="1">IFERROR(__xludf.DUMMYFUNCTION("GOOGLETRANSLATE('대전도시공사_청년임대주택 현황_20240630'!J425,""ko"",""en"")"),"165600")</f>
        <v>165600</v>
      </c>
    </row>
    <row r="426" spans="1:10" ht="12.5" x14ac:dyDescent="0.25">
      <c r="A426" s="1" t="str">
        <f ca="1">IFERROR(__xludf.DUMMYFUNCTION("GOOGLETRANSLATE('대전도시공사_청년임대주택 현황_20240630'!A426,""ko"",""en"")"),"Yongdu-dong 12-1, 12-8 (Dream Stay, Youth Rental)")</f>
        <v>Yongdu-dong 12-1, 12-8 (Dream Stay, Youth Rental)</v>
      </c>
      <c r="B426" s="1" t="str">
        <f ca="1">IFERROR(__xludf.DUMMYFUNCTION("GOOGLETRANSLATE('대전도시공사_청년임대주택 현황_20240630'!B426,""ko"",""en"")"),"47")</f>
        <v>47</v>
      </c>
      <c r="C426" s="1" t="str">
        <f ca="1">IFERROR(__xludf.DUMMYFUNCTION("GOOGLETRANSLATE('대전도시공사_청년임대주택 현황_20240630'!C426,""ko"",""en"")"),"1")</f>
        <v>1</v>
      </c>
      <c r="D426" s="1" t="str">
        <f ca="1">IFERROR(__xludf.DUMMYFUNCTION("GOOGLETRANSLATE('대전도시공사_청년임대주택 현황_20240630'!D426,""ko"",""en"")"),"1208")</f>
        <v>1208</v>
      </c>
      <c r="E426" s="1" t="str">
        <f ca="1">IFERROR(__xludf.DUMMYFUNCTION("GOOGLETRANSLATE('대전도시공사_청년임대주택 현황_20240630'!E426,""ko"",""en"")"),"31.22")</f>
        <v>31.22</v>
      </c>
      <c r="F426" s="1" t="str">
        <f ca="1">IFERROR(__xludf.DUMMYFUNCTION("GOOGLETRANSLATE('대전도시공사_청년임대주택 현황_20240630'!F426,""ko"",""en"")"),"22.13")</f>
        <v>22.13</v>
      </c>
      <c r="G426" s="1" t="str">
        <f ca="1">IFERROR(__xludf.DUMMYFUNCTION("GOOGLETRANSLATE('대전도시공사_청년임대주택 현황_20240630'!G426,""ko"",""en"")"),"9.09")</f>
        <v>9.09</v>
      </c>
      <c r="H426" s="1" t="str">
        <f ca="1">IFERROR(__xludf.DUMMYFUNCTION("GOOGLETRANSLATE('대전도시공사_청년임대주택 현황_20240630'!H426,""ko"",""en"")"),"Youth Rental 2nd Place")</f>
        <v>Youth Rental 2nd Place</v>
      </c>
      <c r="I426" s="1" t="str">
        <f ca="1">IFERROR(__xludf.DUMMYFUNCTION("GOOGLETRANSLATE('대전도시공사_청년임대주택 현황_20240630'!I426,""ko"",""en"")"),"2000000")</f>
        <v>2000000</v>
      </c>
      <c r="J426" s="1" t="str">
        <f ca="1">IFERROR(__xludf.DUMMYFUNCTION("GOOGLETRANSLATE('대전도시공사_청년임대주택 현황_20240630'!J426,""ko"",""en"")"),"202900")</f>
        <v>202900</v>
      </c>
    </row>
    <row r="427" spans="1:10" ht="12.5" x14ac:dyDescent="0.25">
      <c r="A427" s="1" t="str">
        <f ca="1">IFERROR(__xludf.DUMMYFUNCTION("GOOGLETRANSLATE('대전도시공사_청년임대주택 현황_20240630'!A427,""ko"",""en"")"),"Yongdu-dong 12-1, 12-8 (Dream Stay, Youth Rental)")</f>
        <v>Yongdu-dong 12-1, 12-8 (Dream Stay, Youth Rental)</v>
      </c>
      <c r="B427" s="1" t="str">
        <f ca="1">IFERROR(__xludf.DUMMYFUNCTION("GOOGLETRANSLATE('대전도시공사_청년임대주택 현황_20240630'!B427,""ko"",""en"")"),"48")</f>
        <v>48</v>
      </c>
      <c r="C427" s="1" t="str">
        <f ca="1">IFERROR(__xludf.DUMMYFUNCTION("GOOGLETRANSLATE('대전도시공사_청년임대주택 현황_20240630'!C427,""ko"",""en"")"),"1")</f>
        <v>1</v>
      </c>
      <c r="D427" s="1" t="str">
        <f ca="1">IFERROR(__xludf.DUMMYFUNCTION("GOOGLETRANSLATE('대전도시공사_청년임대주택 현황_20240630'!D427,""ko"",""en"")"),"1208")</f>
        <v>1208</v>
      </c>
      <c r="E427" s="1" t="str">
        <f ca="1">IFERROR(__xludf.DUMMYFUNCTION("GOOGLETRANSLATE('대전도시공사_청년임대주택 현황_20240630'!E427,""ko"",""en"")"),"31.22")</f>
        <v>31.22</v>
      </c>
      <c r="F427" s="1" t="str">
        <f ca="1">IFERROR(__xludf.DUMMYFUNCTION("GOOGLETRANSLATE('대전도시공사_청년임대주택 현황_20240630'!F427,""ko"",""en"")"),"22.13")</f>
        <v>22.13</v>
      </c>
      <c r="G427" s="1" t="str">
        <f ca="1">IFERROR(__xludf.DUMMYFUNCTION("GOOGLETRANSLATE('대전도시공사_청년임대주택 현황_20240630'!G427,""ko"",""en"")"),"9.09")</f>
        <v>9.09</v>
      </c>
      <c r="H427" s="1" t="str">
        <f ca="1">IFERROR(__xludf.DUMMYFUNCTION("GOOGLETRANSLATE('대전도시공사_청년임대주택 현황_20240630'!H427,""ko"",""en"")"),"3rd place for youth rental")</f>
        <v>3rd place for youth rental</v>
      </c>
      <c r="I427" s="1" t="str">
        <f ca="1">IFERROR(__xludf.DUMMYFUNCTION("GOOGLETRANSLATE('대전도시공사_청년임대주택 현황_20240630'!I427,""ko"",""en"")"),"2000000")</f>
        <v>2000000</v>
      </c>
      <c r="J427" s="1" t="str">
        <f ca="1">IFERROR(__xludf.DUMMYFUNCTION("GOOGLETRANSLATE('대전도시공사_청년임대주택 현황_20240630'!J427,""ko"",""en"")"),"202900")</f>
        <v>202900</v>
      </c>
    </row>
    <row r="428" spans="1:10" ht="12.5" x14ac:dyDescent="0.25">
      <c r="A428" s="1" t="str">
        <f ca="1">IFERROR(__xludf.DUMMYFUNCTION("GOOGLETRANSLATE('대전도시공사_청년임대주택 현황_20240630'!A428,""ko"",""en"")"),"Yongdu-dong 12-1, 12-8 (Dream Stay, Youth Rental)")</f>
        <v>Yongdu-dong 12-1, 12-8 (Dream Stay, Youth Rental)</v>
      </c>
      <c r="B428" s="1" t="str">
        <f ca="1">IFERROR(__xludf.DUMMYFUNCTION("GOOGLETRANSLATE('대전도시공사_청년임대주택 현황_20240630'!B428,""ko"",""en"")"),"49")</f>
        <v>49</v>
      </c>
      <c r="C428" s="1" t="str">
        <f ca="1">IFERROR(__xludf.DUMMYFUNCTION("GOOGLETRANSLATE('대전도시공사_청년임대주택 현황_20240630'!C428,""ko"",""en"")"),"1")</f>
        <v>1</v>
      </c>
      <c r="D428" s="1" t="str">
        <f ca="1">IFERROR(__xludf.DUMMYFUNCTION("GOOGLETRANSLATE('대전도시공사_청년임대주택 현황_20240630'!D428,""ko"",""en"")"),"1301")</f>
        <v>1301</v>
      </c>
      <c r="E428" s="1" t="str">
        <f ca="1">IFERROR(__xludf.DUMMYFUNCTION("GOOGLETRANSLATE('대전도시공사_청년임대주택 현황_20240630'!E428,""ko"",""en"")"),"32.38")</f>
        <v>32.38</v>
      </c>
      <c r="F428" s="1" t="str">
        <f ca="1">IFERROR(__xludf.DUMMYFUNCTION("GOOGLETRANSLATE('대전도시공사_청년임대주택 현황_20240630'!F428,""ko"",""en"")"),"22.95")</f>
        <v>22.95</v>
      </c>
      <c r="G428" s="1" t="str">
        <f ca="1">IFERROR(__xludf.DUMMYFUNCTION("GOOGLETRANSLATE('대전도시공사_청년임대주택 현황_20240630'!G428,""ko"",""en"")"),"9.43")</f>
        <v>9.43</v>
      </c>
      <c r="H428" s="1" t="str">
        <f ca="1">IFERROR(__xludf.DUMMYFUNCTION("GOOGLETRANSLATE('대전도시공사_청년임대주택 현황_20240630'!H428,""ko"",""en"")"),"Youth Rent 1st Place")</f>
        <v>Youth Rent 1st Place</v>
      </c>
      <c r="I428" s="1" t="str">
        <f ca="1">IFERROR(__xludf.DUMMYFUNCTION("GOOGLETRANSLATE('대전도시공사_청년임대주택 현황_20240630'!I428,""ko"",""en"")"),"1000000")</f>
        <v>1000000</v>
      </c>
      <c r="J428" s="1" t="str">
        <f ca="1">IFERROR(__xludf.DUMMYFUNCTION("GOOGLETRANSLATE('대전도시공사_청년임대주택 현황_20240630'!J428,""ko"",""en"")"),"172000")</f>
        <v>172000</v>
      </c>
    </row>
    <row r="429" spans="1:10" ht="12.5" x14ac:dyDescent="0.25">
      <c r="A429" s="1" t="str">
        <f ca="1">IFERROR(__xludf.DUMMYFUNCTION("GOOGLETRANSLATE('대전도시공사_청년임대주택 현황_20240630'!A429,""ko"",""en"")"),"Yongdu-dong 12-1, 12-8 (Dream Stay, Youth Rental)")</f>
        <v>Yongdu-dong 12-1, 12-8 (Dream Stay, Youth Rental)</v>
      </c>
      <c r="B429" s="1" t="str">
        <f ca="1">IFERROR(__xludf.DUMMYFUNCTION("GOOGLETRANSLATE('대전도시공사_청년임대주택 현황_20240630'!B429,""ko"",""en"")"),"50")</f>
        <v>50</v>
      </c>
      <c r="C429" s="1" t="str">
        <f ca="1">IFERROR(__xludf.DUMMYFUNCTION("GOOGLETRANSLATE('대전도시공사_청년임대주택 현황_20240630'!C429,""ko"",""en"")"),"1")</f>
        <v>1</v>
      </c>
      <c r="D429" s="1" t="str">
        <f ca="1">IFERROR(__xludf.DUMMYFUNCTION("GOOGLETRANSLATE('대전도시공사_청년임대주택 현황_20240630'!D429,""ko"",""en"")"),"1301")</f>
        <v>1301</v>
      </c>
      <c r="E429" s="1" t="str">
        <f ca="1">IFERROR(__xludf.DUMMYFUNCTION("GOOGLETRANSLATE('대전도시공사_청년임대주택 현황_20240630'!E429,""ko"",""en"")"),"32.38")</f>
        <v>32.38</v>
      </c>
      <c r="F429" s="1" t="str">
        <f ca="1">IFERROR(__xludf.DUMMYFUNCTION("GOOGLETRANSLATE('대전도시공사_청년임대주택 현황_20240630'!F429,""ko"",""en"")"),"22.95")</f>
        <v>22.95</v>
      </c>
      <c r="G429" s="1" t="str">
        <f ca="1">IFERROR(__xludf.DUMMYFUNCTION("GOOGLETRANSLATE('대전도시공사_청년임대주택 현황_20240630'!G429,""ko"",""en"")"),"9.43")</f>
        <v>9.43</v>
      </c>
      <c r="H429" s="1" t="str">
        <f ca="1">IFERROR(__xludf.DUMMYFUNCTION("GOOGLETRANSLATE('대전도시공사_청년임대주택 현황_20240630'!H429,""ko"",""en"")"),"Youth Rental 2nd Place")</f>
        <v>Youth Rental 2nd Place</v>
      </c>
      <c r="I429" s="1" t="str">
        <f ca="1">IFERROR(__xludf.DUMMYFUNCTION("GOOGLETRANSLATE('대전도시공사_청년임대주택 현황_20240630'!I429,""ko"",""en"")"),"2000000")</f>
        <v>2000000</v>
      </c>
      <c r="J429" s="1" t="str">
        <f ca="1">IFERROR(__xludf.DUMMYFUNCTION("GOOGLETRANSLATE('대전도시공사_청년임대주택 현황_20240630'!J429,""ko"",""en"")"),"210800")</f>
        <v>210800</v>
      </c>
    </row>
    <row r="430" spans="1:10" ht="12.5" x14ac:dyDescent="0.25">
      <c r="A430" s="1" t="str">
        <f ca="1">IFERROR(__xludf.DUMMYFUNCTION("GOOGLETRANSLATE('대전도시공사_청년임대주택 현황_20240630'!A430,""ko"",""en"")"),"Yongdu-dong 12-1, 12-8 (Dream Stay, Youth Rental)")</f>
        <v>Yongdu-dong 12-1, 12-8 (Dream Stay, Youth Rental)</v>
      </c>
      <c r="B430" s="1" t="str">
        <f ca="1">IFERROR(__xludf.DUMMYFUNCTION("GOOGLETRANSLATE('대전도시공사_청년임대주택 현황_20240630'!B430,""ko"",""en"")"),"51")</f>
        <v>51</v>
      </c>
      <c r="C430" s="1" t="str">
        <f ca="1">IFERROR(__xludf.DUMMYFUNCTION("GOOGLETRANSLATE('대전도시공사_청년임대주택 현황_20240630'!C430,""ko"",""en"")"),"1")</f>
        <v>1</v>
      </c>
      <c r="D430" s="1" t="str">
        <f ca="1">IFERROR(__xludf.DUMMYFUNCTION("GOOGLETRANSLATE('대전도시공사_청년임대주택 현황_20240630'!D430,""ko"",""en"")"),"1301")</f>
        <v>1301</v>
      </c>
      <c r="E430" s="1" t="str">
        <f ca="1">IFERROR(__xludf.DUMMYFUNCTION("GOOGLETRANSLATE('대전도시공사_청년임대주택 현황_20240630'!E430,""ko"",""en"")"),"32.38")</f>
        <v>32.38</v>
      </c>
      <c r="F430" s="1" t="str">
        <f ca="1">IFERROR(__xludf.DUMMYFUNCTION("GOOGLETRANSLATE('대전도시공사_청년임대주택 현황_20240630'!F430,""ko"",""en"")"),"22.95")</f>
        <v>22.95</v>
      </c>
      <c r="G430" s="1" t="str">
        <f ca="1">IFERROR(__xludf.DUMMYFUNCTION("GOOGLETRANSLATE('대전도시공사_청년임대주택 현황_20240630'!G430,""ko"",""en"")"),"9.43")</f>
        <v>9.43</v>
      </c>
      <c r="H430" s="1" t="str">
        <f ca="1">IFERROR(__xludf.DUMMYFUNCTION("GOOGLETRANSLATE('대전도시공사_청년임대주택 현황_20240630'!H430,""ko"",""en"")"),"3rd place for youth rental")</f>
        <v>3rd place for youth rental</v>
      </c>
      <c r="I430" s="1" t="str">
        <f ca="1">IFERROR(__xludf.DUMMYFUNCTION("GOOGLETRANSLATE('대전도시공사_청년임대주택 현황_20240630'!I430,""ko"",""en"")"),"2000000")</f>
        <v>2000000</v>
      </c>
      <c r="J430" s="1" t="str">
        <f ca="1">IFERROR(__xludf.DUMMYFUNCTION("GOOGLETRANSLATE('대전도시공사_청년임대주택 현황_20240630'!J430,""ko"",""en"")"),"210800")</f>
        <v>210800</v>
      </c>
    </row>
    <row r="431" spans="1:10" ht="12.5" x14ac:dyDescent="0.25">
      <c r="A431" s="1" t="str">
        <f ca="1">IFERROR(__xludf.DUMMYFUNCTION("GOOGLETRANSLATE('대전도시공사_청년임대주택 현황_20240630'!A431,""ko"",""en"")"),"Yongdu-dong 12-1, 12-8 (Dream Stay, Youth Rental)")</f>
        <v>Yongdu-dong 12-1, 12-8 (Dream Stay, Youth Rental)</v>
      </c>
      <c r="B431" s="1" t="str">
        <f ca="1">IFERROR(__xludf.DUMMYFUNCTION("GOOGLETRANSLATE('대전도시공사_청년임대주택 현황_20240630'!B431,""ko"",""en"")"),"52")</f>
        <v>52</v>
      </c>
      <c r="C431" s="1" t="str">
        <f ca="1">IFERROR(__xludf.DUMMYFUNCTION("GOOGLETRANSLATE('대전도시공사_청년임대주택 현황_20240630'!C431,""ko"",""en"")"),"1")</f>
        <v>1</v>
      </c>
      <c r="D431" s="1" t="str">
        <f ca="1">IFERROR(__xludf.DUMMYFUNCTION("GOOGLETRANSLATE('대전도시공사_청년임대주택 현황_20240630'!D431,""ko"",""en"")"),"1308")</f>
        <v>1308</v>
      </c>
      <c r="E431" s="1" t="str">
        <f ca="1">IFERROR(__xludf.DUMMYFUNCTION("GOOGLETRANSLATE('대전도시공사_청년임대주택 현황_20240630'!E431,""ko"",""en"")"),"31.22")</f>
        <v>31.22</v>
      </c>
      <c r="F431" s="1" t="str">
        <f ca="1">IFERROR(__xludf.DUMMYFUNCTION("GOOGLETRANSLATE('대전도시공사_청년임대주택 현황_20240630'!F431,""ko"",""en"")"),"22.13")</f>
        <v>22.13</v>
      </c>
      <c r="G431" s="1" t="str">
        <f ca="1">IFERROR(__xludf.DUMMYFUNCTION("GOOGLETRANSLATE('대전도시공사_청년임대주택 현황_20240630'!G431,""ko"",""en"")"),"9.09")</f>
        <v>9.09</v>
      </c>
      <c r="H431" s="1" t="str">
        <f ca="1">IFERROR(__xludf.DUMMYFUNCTION("GOOGLETRANSLATE('대전도시공사_청년임대주택 현황_20240630'!H431,""ko"",""en"")"),"Youth Rent 1st Place")</f>
        <v>Youth Rent 1st Place</v>
      </c>
      <c r="I431" s="1" t="str">
        <f ca="1">IFERROR(__xludf.DUMMYFUNCTION("GOOGLETRANSLATE('대전도시공사_청년임대주택 현황_20240630'!I431,""ko"",""en"")"),"1000000")</f>
        <v>1000000</v>
      </c>
      <c r="J431" s="1" t="str">
        <f ca="1">IFERROR(__xludf.DUMMYFUNCTION("GOOGLETRANSLATE('대전도시공사_청년임대주택 현황_20240630'!J431,""ko"",""en"")"),"165600")</f>
        <v>165600</v>
      </c>
    </row>
    <row r="432" spans="1:10" ht="12.5" x14ac:dyDescent="0.25">
      <c r="A432" s="1" t="str">
        <f ca="1">IFERROR(__xludf.DUMMYFUNCTION("GOOGLETRANSLATE('대전도시공사_청년임대주택 현황_20240630'!A432,""ko"",""en"")"),"Yongdu-dong 12-1, 12-8 (Dream Stay, Youth Rental)")</f>
        <v>Yongdu-dong 12-1, 12-8 (Dream Stay, Youth Rental)</v>
      </c>
      <c r="B432" s="1" t="str">
        <f ca="1">IFERROR(__xludf.DUMMYFUNCTION("GOOGLETRANSLATE('대전도시공사_청년임대주택 현황_20240630'!B432,""ko"",""en"")"),"53")</f>
        <v>53</v>
      </c>
      <c r="C432" s="1" t="str">
        <f ca="1">IFERROR(__xludf.DUMMYFUNCTION("GOOGLETRANSLATE('대전도시공사_청년임대주택 현황_20240630'!C432,""ko"",""en"")"),"1")</f>
        <v>1</v>
      </c>
      <c r="D432" s="1" t="str">
        <f ca="1">IFERROR(__xludf.DUMMYFUNCTION("GOOGLETRANSLATE('대전도시공사_청년임대주택 현황_20240630'!D432,""ko"",""en"")"),"1308")</f>
        <v>1308</v>
      </c>
      <c r="E432" s="1" t="str">
        <f ca="1">IFERROR(__xludf.DUMMYFUNCTION("GOOGLETRANSLATE('대전도시공사_청년임대주택 현황_20240630'!E432,""ko"",""en"")"),"31.22")</f>
        <v>31.22</v>
      </c>
      <c r="F432" s="1" t="str">
        <f ca="1">IFERROR(__xludf.DUMMYFUNCTION("GOOGLETRANSLATE('대전도시공사_청년임대주택 현황_20240630'!F432,""ko"",""en"")"),"22.13")</f>
        <v>22.13</v>
      </c>
      <c r="G432" s="1" t="str">
        <f ca="1">IFERROR(__xludf.DUMMYFUNCTION("GOOGLETRANSLATE('대전도시공사_청년임대주택 현황_20240630'!G432,""ko"",""en"")"),"9.09")</f>
        <v>9.09</v>
      </c>
      <c r="H432" s="1" t="str">
        <f ca="1">IFERROR(__xludf.DUMMYFUNCTION("GOOGLETRANSLATE('대전도시공사_청년임대주택 현황_20240630'!H432,""ko"",""en"")"),"Youth Rental 2nd Place")</f>
        <v>Youth Rental 2nd Place</v>
      </c>
      <c r="I432" s="1" t="str">
        <f ca="1">IFERROR(__xludf.DUMMYFUNCTION("GOOGLETRANSLATE('대전도시공사_청년임대주택 현황_20240630'!I432,""ko"",""en"")"),"2000000")</f>
        <v>2000000</v>
      </c>
      <c r="J432" s="1" t="str">
        <f ca="1">IFERROR(__xludf.DUMMYFUNCTION("GOOGLETRANSLATE('대전도시공사_청년임대주택 현황_20240630'!J432,""ko"",""en"")"),"202900")</f>
        <v>202900</v>
      </c>
    </row>
    <row r="433" spans="1:10" ht="12.5" x14ac:dyDescent="0.25">
      <c r="A433" s="1" t="str">
        <f ca="1">IFERROR(__xludf.DUMMYFUNCTION("GOOGLETRANSLATE('대전도시공사_청년임대주택 현황_20240630'!A433,""ko"",""en"")"),"Yongdu-dong 12-1, 12-8 (Dream Stay, Youth Rental)")</f>
        <v>Yongdu-dong 12-1, 12-8 (Dream Stay, Youth Rental)</v>
      </c>
      <c r="B433" s="1" t="str">
        <f ca="1">IFERROR(__xludf.DUMMYFUNCTION("GOOGLETRANSLATE('대전도시공사_청년임대주택 현황_20240630'!B433,""ko"",""en"")"),"54")</f>
        <v>54</v>
      </c>
      <c r="C433" s="1" t="str">
        <f ca="1">IFERROR(__xludf.DUMMYFUNCTION("GOOGLETRANSLATE('대전도시공사_청년임대주택 현황_20240630'!C433,""ko"",""en"")"),"1")</f>
        <v>1</v>
      </c>
      <c r="D433" s="1" t="str">
        <f ca="1">IFERROR(__xludf.DUMMYFUNCTION("GOOGLETRANSLATE('대전도시공사_청년임대주택 현황_20240630'!D433,""ko"",""en"")"),"1308")</f>
        <v>1308</v>
      </c>
      <c r="E433" s="1" t="str">
        <f ca="1">IFERROR(__xludf.DUMMYFUNCTION("GOOGLETRANSLATE('대전도시공사_청년임대주택 현황_20240630'!E433,""ko"",""en"")"),"31.22")</f>
        <v>31.22</v>
      </c>
      <c r="F433" s="1" t="str">
        <f ca="1">IFERROR(__xludf.DUMMYFUNCTION("GOOGLETRANSLATE('대전도시공사_청년임대주택 현황_20240630'!F433,""ko"",""en"")"),"22.13")</f>
        <v>22.13</v>
      </c>
      <c r="G433" s="1" t="str">
        <f ca="1">IFERROR(__xludf.DUMMYFUNCTION("GOOGLETRANSLATE('대전도시공사_청년임대주택 현황_20240630'!G433,""ko"",""en"")"),"9.09")</f>
        <v>9.09</v>
      </c>
      <c r="H433" s="1" t="str">
        <f ca="1">IFERROR(__xludf.DUMMYFUNCTION("GOOGLETRANSLATE('대전도시공사_청년임대주택 현황_20240630'!H433,""ko"",""en"")"),"3rd place for youth rental")</f>
        <v>3rd place for youth rental</v>
      </c>
      <c r="I433" s="1" t="str">
        <f ca="1">IFERROR(__xludf.DUMMYFUNCTION("GOOGLETRANSLATE('대전도시공사_청년임대주택 현황_20240630'!I433,""ko"",""en"")"),"2000000")</f>
        <v>2000000</v>
      </c>
      <c r="J433" s="1" t="str">
        <f ca="1">IFERROR(__xludf.DUMMYFUNCTION("GOOGLETRANSLATE('대전도시공사_청년임대주택 현황_20240630'!J433,""ko"",""en"")"),"202900")</f>
        <v>202900</v>
      </c>
    </row>
    <row r="434" spans="1:10" ht="12.5" x14ac:dyDescent="0.25">
      <c r="A434" s="1" t="str">
        <f ca="1">IFERROR(__xludf.DUMMYFUNCTION("GOOGLETRANSLATE('대전도시공사_청년임대주택 현황_20240630'!A434,""ko"",""en"")"),"Yongdu-dong 12-1, 12-8 (Dream Stay, Youth Rental)")</f>
        <v>Yongdu-dong 12-1, 12-8 (Dream Stay, Youth Rental)</v>
      </c>
      <c r="B434" s="1" t="str">
        <f ca="1">IFERROR(__xludf.DUMMYFUNCTION("GOOGLETRANSLATE('대전도시공사_청년임대주택 현황_20240630'!B434,""ko"",""en"")"),"55")</f>
        <v>55</v>
      </c>
      <c r="C434" s="1" t="str">
        <f ca="1">IFERROR(__xludf.DUMMYFUNCTION("GOOGLETRANSLATE('대전도시공사_청년임대주택 현황_20240630'!C434,""ko"",""en"")"),"1")</f>
        <v>1</v>
      </c>
      <c r="D434" s="1" t="str">
        <f ca="1">IFERROR(__xludf.DUMMYFUNCTION("GOOGLETRANSLATE('대전도시공사_청년임대주택 현황_20240630'!D434,""ko"",""en"")"),"1401")</f>
        <v>1401</v>
      </c>
      <c r="E434" s="1" t="str">
        <f ca="1">IFERROR(__xludf.DUMMYFUNCTION("GOOGLETRANSLATE('대전도시공사_청년임대주택 현황_20240630'!E434,""ko"",""en"")"),"32.38")</f>
        <v>32.38</v>
      </c>
      <c r="F434" s="1" t="str">
        <f ca="1">IFERROR(__xludf.DUMMYFUNCTION("GOOGLETRANSLATE('대전도시공사_청년임대주택 현황_20240630'!F434,""ko"",""en"")"),"22.95")</f>
        <v>22.95</v>
      </c>
      <c r="G434" s="1" t="str">
        <f ca="1">IFERROR(__xludf.DUMMYFUNCTION("GOOGLETRANSLATE('대전도시공사_청년임대주택 현황_20240630'!G434,""ko"",""en"")"),"9.43")</f>
        <v>9.43</v>
      </c>
      <c r="H434" s="1" t="str">
        <f ca="1">IFERROR(__xludf.DUMMYFUNCTION("GOOGLETRANSLATE('대전도시공사_청년임대주택 현황_20240630'!H434,""ko"",""en"")"),"Youth Rent 1st Place")</f>
        <v>Youth Rent 1st Place</v>
      </c>
      <c r="I434" s="1" t="str">
        <f ca="1">IFERROR(__xludf.DUMMYFUNCTION("GOOGLETRANSLATE('대전도시공사_청년임대주택 현황_20240630'!I434,""ko"",""en"")"),"1000000")</f>
        <v>1000000</v>
      </c>
      <c r="J434" s="1" t="str">
        <f ca="1">IFERROR(__xludf.DUMMYFUNCTION("GOOGLETRANSLATE('대전도시공사_청년임대주택 현황_20240630'!J434,""ko"",""en"")"),"172000")</f>
        <v>172000</v>
      </c>
    </row>
    <row r="435" spans="1:10" ht="12.5" x14ac:dyDescent="0.25">
      <c r="A435" s="1" t="str">
        <f ca="1">IFERROR(__xludf.DUMMYFUNCTION("GOOGLETRANSLATE('대전도시공사_청년임대주택 현황_20240630'!A435,""ko"",""en"")"),"Yongdu-dong 12-1, 12-8 (Dream Stay, Youth Rental)")</f>
        <v>Yongdu-dong 12-1, 12-8 (Dream Stay, Youth Rental)</v>
      </c>
      <c r="B435" s="1" t="str">
        <f ca="1">IFERROR(__xludf.DUMMYFUNCTION("GOOGLETRANSLATE('대전도시공사_청년임대주택 현황_20240630'!B435,""ko"",""en"")"),"56")</f>
        <v>56</v>
      </c>
      <c r="C435" s="1" t="str">
        <f ca="1">IFERROR(__xludf.DUMMYFUNCTION("GOOGLETRANSLATE('대전도시공사_청년임대주택 현황_20240630'!C435,""ko"",""en"")"),"1")</f>
        <v>1</v>
      </c>
      <c r="D435" s="1" t="str">
        <f ca="1">IFERROR(__xludf.DUMMYFUNCTION("GOOGLETRANSLATE('대전도시공사_청년임대주택 현황_20240630'!D435,""ko"",""en"")"),"1401")</f>
        <v>1401</v>
      </c>
      <c r="E435" s="1" t="str">
        <f ca="1">IFERROR(__xludf.DUMMYFUNCTION("GOOGLETRANSLATE('대전도시공사_청년임대주택 현황_20240630'!E435,""ko"",""en"")"),"32.38")</f>
        <v>32.38</v>
      </c>
      <c r="F435" s="1" t="str">
        <f ca="1">IFERROR(__xludf.DUMMYFUNCTION("GOOGLETRANSLATE('대전도시공사_청년임대주택 현황_20240630'!F435,""ko"",""en"")"),"22.95")</f>
        <v>22.95</v>
      </c>
      <c r="G435" s="1" t="str">
        <f ca="1">IFERROR(__xludf.DUMMYFUNCTION("GOOGLETRANSLATE('대전도시공사_청년임대주택 현황_20240630'!G435,""ko"",""en"")"),"9.43")</f>
        <v>9.43</v>
      </c>
      <c r="H435" s="1" t="str">
        <f ca="1">IFERROR(__xludf.DUMMYFUNCTION("GOOGLETRANSLATE('대전도시공사_청년임대주택 현황_20240630'!H435,""ko"",""en"")"),"Youth Rental 2nd Place")</f>
        <v>Youth Rental 2nd Place</v>
      </c>
      <c r="I435" s="1" t="str">
        <f ca="1">IFERROR(__xludf.DUMMYFUNCTION("GOOGLETRANSLATE('대전도시공사_청년임대주택 현황_20240630'!I435,""ko"",""en"")"),"2000000")</f>
        <v>2000000</v>
      </c>
      <c r="J435" s="1" t="str">
        <f ca="1">IFERROR(__xludf.DUMMYFUNCTION("GOOGLETRANSLATE('대전도시공사_청년임대주택 현황_20240630'!J435,""ko"",""en"")"),"210800")</f>
        <v>210800</v>
      </c>
    </row>
    <row r="436" spans="1:10" ht="12.5" x14ac:dyDescent="0.25">
      <c r="A436" s="1" t="str">
        <f ca="1">IFERROR(__xludf.DUMMYFUNCTION("GOOGLETRANSLATE('대전도시공사_청년임대주택 현황_20240630'!A436,""ko"",""en"")"),"Yongdu-dong 12-1, 12-8 (Dream Stay, Youth Rental)")</f>
        <v>Yongdu-dong 12-1, 12-8 (Dream Stay, Youth Rental)</v>
      </c>
      <c r="B436" s="1" t="str">
        <f ca="1">IFERROR(__xludf.DUMMYFUNCTION("GOOGLETRANSLATE('대전도시공사_청년임대주택 현황_20240630'!B436,""ko"",""en"")"),"57")</f>
        <v>57</v>
      </c>
      <c r="C436" s="1" t="str">
        <f ca="1">IFERROR(__xludf.DUMMYFUNCTION("GOOGLETRANSLATE('대전도시공사_청년임대주택 현황_20240630'!C436,""ko"",""en"")"),"1")</f>
        <v>1</v>
      </c>
      <c r="D436" s="1" t="str">
        <f ca="1">IFERROR(__xludf.DUMMYFUNCTION("GOOGLETRANSLATE('대전도시공사_청년임대주택 현황_20240630'!D436,""ko"",""en"")"),"1401")</f>
        <v>1401</v>
      </c>
      <c r="E436" s="1" t="str">
        <f ca="1">IFERROR(__xludf.DUMMYFUNCTION("GOOGLETRANSLATE('대전도시공사_청년임대주택 현황_20240630'!E436,""ko"",""en"")"),"32.38")</f>
        <v>32.38</v>
      </c>
      <c r="F436" s="1" t="str">
        <f ca="1">IFERROR(__xludf.DUMMYFUNCTION("GOOGLETRANSLATE('대전도시공사_청년임대주택 현황_20240630'!F436,""ko"",""en"")"),"22.95")</f>
        <v>22.95</v>
      </c>
      <c r="G436" s="1" t="str">
        <f ca="1">IFERROR(__xludf.DUMMYFUNCTION("GOOGLETRANSLATE('대전도시공사_청년임대주택 현황_20240630'!G436,""ko"",""en"")"),"9.43")</f>
        <v>9.43</v>
      </c>
      <c r="H436" s="1" t="str">
        <f ca="1">IFERROR(__xludf.DUMMYFUNCTION("GOOGLETRANSLATE('대전도시공사_청년임대주택 현황_20240630'!H436,""ko"",""en"")"),"3rd place for youth rental")</f>
        <v>3rd place for youth rental</v>
      </c>
      <c r="I436" s="1" t="str">
        <f ca="1">IFERROR(__xludf.DUMMYFUNCTION("GOOGLETRANSLATE('대전도시공사_청년임대주택 현황_20240630'!I436,""ko"",""en"")"),"2000000")</f>
        <v>2000000</v>
      </c>
      <c r="J436" s="1" t="str">
        <f ca="1">IFERROR(__xludf.DUMMYFUNCTION("GOOGLETRANSLATE('대전도시공사_청년임대주택 현황_20240630'!J436,""ko"",""en"")"),"210800")</f>
        <v>210800</v>
      </c>
    </row>
    <row r="437" spans="1:10" ht="12.5" x14ac:dyDescent="0.25">
      <c r="A437" s="1" t="str">
        <f ca="1">IFERROR(__xludf.DUMMYFUNCTION("GOOGLETRANSLATE('대전도시공사_청년임대주택 현황_20240630'!A437,""ko"",""en"")"),"Yongdu-dong 12-1, 12-8 (Dream Stay, Youth Rental)")</f>
        <v>Yongdu-dong 12-1, 12-8 (Dream Stay, Youth Rental)</v>
      </c>
      <c r="B437" s="1" t="str">
        <f ca="1">IFERROR(__xludf.DUMMYFUNCTION("GOOGLETRANSLATE('대전도시공사_청년임대주택 현황_20240630'!B437,""ko"",""en"")"),"58")</f>
        <v>58</v>
      </c>
      <c r="C437" s="1" t="str">
        <f ca="1">IFERROR(__xludf.DUMMYFUNCTION("GOOGLETRANSLATE('대전도시공사_청년임대주택 현황_20240630'!C437,""ko"",""en"")"),"1")</f>
        <v>1</v>
      </c>
      <c r="D437" s="1" t="str">
        <f ca="1">IFERROR(__xludf.DUMMYFUNCTION("GOOGLETRANSLATE('대전도시공사_청년임대주택 현황_20240630'!D437,""ko"",""en"")"),"1403")</f>
        <v>1403</v>
      </c>
      <c r="E437" s="1" t="str">
        <f ca="1">IFERROR(__xludf.DUMMYFUNCTION("GOOGLETRANSLATE('대전도시공사_청년임대주택 현황_20240630'!E437,""ko"",""en"")"),"31.53")</f>
        <v>31.53</v>
      </c>
      <c r="F437" s="1" t="str">
        <f ca="1">IFERROR(__xludf.DUMMYFUNCTION("GOOGLETRANSLATE('대전도시공사_청년임대주택 현황_20240630'!F437,""ko"",""en"")"),"22.35")</f>
        <v>22.35</v>
      </c>
      <c r="G437" s="1" t="str">
        <f ca="1">IFERROR(__xludf.DUMMYFUNCTION("GOOGLETRANSLATE('대전도시공사_청년임대주택 현황_20240630'!G437,""ko"",""en"")"),"9.18")</f>
        <v>9.18</v>
      </c>
      <c r="H437" s="1" t="str">
        <f ca="1">IFERROR(__xludf.DUMMYFUNCTION("GOOGLETRANSLATE('대전도시공사_청년임대주택 현황_20240630'!H437,""ko"",""en"")"),"Youth Rent 1st Place")</f>
        <v>Youth Rent 1st Place</v>
      </c>
      <c r="I437" s="1" t="str">
        <f ca="1">IFERROR(__xludf.DUMMYFUNCTION("GOOGLETRANSLATE('대전도시공사_청년임대주택 현황_20240630'!I437,""ko"",""en"")"),"1000000")</f>
        <v>1000000</v>
      </c>
      <c r="J437" s="1" t="str">
        <f ca="1">IFERROR(__xludf.DUMMYFUNCTION("GOOGLETRANSLATE('대전도시공사_청년임대주택 현황_20240630'!J437,""ko"",""en"")"),"167700")</f>
        <v>167700</v>
      </c>
    </row>
    <row r="438" spans="1:10" ht="12.5" x14ac:dyDescent="0.25">
      <c r="A438" s="1" t="str">
        <f ca="1">IFERROR(__xludf.DUMMYFUNCTION("GOOGLETRANSLATE('대전도시공사_청년임대주택 현황_20240630'!A438,""ko"",""en"")"),"Yongdu-dong 12-1, 12-8 (Dream Stay, Youth Rental)")</f>
        <v>Yongdu-dong 12-1, 12-8 (Dream Stay, Youth Rental)</v>
      </c>
      <c r="B438" s="1" t="str">
        <f ca="1">IFERROR(__xludf.DUMMYFUNCTION("GOOGLETRANSLATE('대전도시공사_청년임대주택 현황_20240630'!B438,""ko"",""en"")"),"59")</f>
        <v>59</v>
      </c>
      <c r="C438" s="1" t="str">
        <f ca="1">IFERROR(__xludf.DUMMYFUNCTION("GOOGLETRANSLATE('대전도시공사_청년임대주택 현황_20240630'!C438,""ko"",""en"")"),"1")</f>
        <v>1</v>
      </c>
      <c r="D438" s="1" t="str">
        <f ca="1">IFERROR(__xludf.DUMMYFUNCTION("GOOGLETRANSLATE('대전도시공사_청년임대주택 현황_20240630'!D438,""ko"",""en"")"),"1403")</f>
        <v>1403</v>
      </c>
      <c r="E438" s="1" t="str">
        <f ca="1">IFERROR(__xludf.DUMMYFUNCTION("GOOGLETRANSLATE('대전도시공사_청년임대주택 현황_20240630'!E438,""ko"",""en"")"),"31.53")</f>
        <v>31.53</v>
      </c>
      <c r="F438" s="1" t="str">
        <f ca="1">IFERROR(__xludf.DUMMYFUNCTION("GOOGLETRANSLATE('대전도시공사_청년임대주택 현황_20240630'!F438,""ko"",""en"")"),"22.35")</f>
        <v>22.35</v>
      </c>
      <c r="G438" s="1" t="str">
        <f ca="1">IFERROR(__xludf.DUMMYFUNCTION("GOOGLETRANSLATE('대전도시공사_청년임대주택 현황_20240630'!G438,""ko"",""en"")"),"9.18")</f>
        <v>9.18</v>
      </c>
      <c r="H438" s="1" t="str">
        <f ca="1">IFERROR(__xludf.DUMMYFUNCTION("GOOGLETRANSLATE('대전도시공사_청년임대주택 현황_20240630'!H438,""ko"",""en"")"),"Youth Rental 2nd Place")</f>
        <v>Youth Rental 2nd Place</v>
      </c>
      <c r="I438" s="1" t="str">
        <f ca="1">IFERROR(__xludf.DUMMYFUNCTION("GOOGLETRANSLATE('대전도시공사_청년임대주택 현황_20240630'!I438,""ko"",""en"")"),"2000000")</f>
        <v>2000000</v>
      </c>
      <c r="J438" s="1" t="str">
        <f ca="1">IFERROR(__xludf.DUMMYFUNCTION("GOOGLETRANSLATE('대전도시공사_청년임대주택 현황_20240630'!J438,""ko"",""en"")"),"205500")</f>
        <v>205500</v>
      </c>
    </row>
    <row r="439" spans="1:10" ht="12.5" x14ac:dyDescent="0.25">
      <c r="A439" s="1" t="str">
        <f ca="1">IFERROR(__xludf.DUMMYFUNCTION("GOOGLETRANSLATE('대전도시공사_청년임대주택 현황_20240630'!A439,""ko"",""en"")"),"Yongdu-dong 12-1, 12-8 (Dream Stay, Youth Rental)")</f>
        <v>Yongdu-dong 12-1, 12-8 (Dream Stay, Youth Rental)</v>
      </c>
      <c r="B439" s="1" t="str">
        <f ca="1">IFERROR(__xludf.DUMMYFUNCTION("GOOGLETRANSLATE('대전도시공사_청년임대주택 현황_20240630'!B439,""ko"",""en"")"),"60")</f>
        <v>60</v>
      </c>
      <c r="C439" s="1" t="str">
        <f ca="1">IFERROR(__xludf.DUMMYFUNCTION("GOOGLETRANSLATE('대전도시공사_청년임대주택 현황_20240630'!C439,""ko"",""en"")"),"1")</f>
        <v>1</v>
      </c>
      <c r="D439" s="1" t="str">
        <f ca="1">IFERROR(__xludf.DUMMYFUNCTION("GOOGLETRANSLATE('대전도시공사_청년임대주택 현황_20240630'!D439,""ko"",""en"")"),"1403")</f>
        <v>1403</v>
      </c>
      <c r="E439" s="1" t="str">
        <f ca="1">IFERROR(__xludf.DUMMYFUNCTION("GOOGLETRANSLATE('대전도시공사_청년임대주택 현황_20240630'!E439,""ko"",""en"")"),"31.53")</f>
        <v>31.53</v>
      </c>
      <c r="F439" s="1" t="str">
        <f ca="1">IFERROR(__xludf.DUMMYFUNCTION("GOOGLETRANSLATE('대전도시공사_청년임대주택 현황_20240630'!F439,""ko"",""en"")"),"22.35")</f>
        <v>22.35</v>
      </c>
      <c r="G439" s="1" t="str">
        <f ca="1">IFERROR(__xludf.DUMMYFUNCTION("GOOGLETRANSLATE('대전도시공사_청년임대주택 현황_20240630'!G439,""ko"",""en"")"),"9.18")</f>
        <v>9.18</v>
      </c>
      <c r="H439" s="1" t="str">
        <f ca="1">IFERROR(__xludf.DUMMYFUNCTION("GOOGLETRANSLATE('대전도시공사_청년임대주택 현황_20240630'!H439,""ko"",""en"")"),"3rd place for youth rental")</f>
        <v>3rd place for youth rental</v>
      </c>
      <c r="I439" s="1" t="str">
        <f ca="1">IFERROR(__xludf.DUMMYFUNCTION("GOOGLETRANSLATE('대전도시공사_청년임대주택 현황_20240630'!I439,""ko"",""en"")"),"2000000")</f>
        <v>2000000</v>
      </c>
      <c r="J439" s="1" t="str">
        <f ca="1">IFERROR(__xludf.DUMMYFUNCTION("GOOGLETRANSLATE('대전도시공사_청년임대주택 현황_20240630'!J439,""ko"",""en"")"),"205500")</f>
        <v>205500</v>
      </c>
    </row>
    <row r="440" spans="1:10" ht="12.5" x14ac:dyDescent="0.25">
      <c r="A440" s="1" t="str">
        <f ca="1">IFERROR(__xludf.DUMMYFUNCTION("GOOGLETRANSLATE('대전도시공사_청년임대주택 현황_20240630'!A440,""ko"",""en"")"),"Yongdu-dong 12-1, 12-8 (Dream Stay, Youth Rental)")</f>
        <v>Yongdu-dong 12-1, 12-8 (Dream Stay, Youth Rental)</v>
      </c>
      <c r="B440" s="1" t="str">
        <f ca="1">IFERROR(__xludf.DUMMYFUNCTION("GOOGLETRANSLATE('대전도시공사_청년임대주택 현황_20240630'!B440,""ko"",""en"")"),"61")</f>
        <v>61</v>
      </c>
      <c r="C440" s="1" t="str">
        <f ca="1">IFERROR(__xludf.DUMMYFUNCTION("GOOGLETRANSLATE('대전도시공사_청년임대주택 현황_20240630'!C440,""ko"",""en"")"),"1")</f>
        <v>1</v>
      </c>
      <c r="D440" s="1" t="str">
        <f ca="1">IFERROR(__xludf.DUMMYFUNCTION("GOOGLETRANSLATE('대전도시공사_청년임대주택 현황_20240630'!D440,""ko"",""en"")"),"1404")</f>
        <v>1404</v>
      </c>
      <c r="E440" s="1" t="str">
        <f ca="1">IFERROR(__xludf.DUMMYFUNCTION("GOOGLETRANSLATE('대전도시공사_청년임대주택 현황_20240630'!E440,""ko"",""en"")"),"41.05")</f>
        <v>41.05</v>
      </c>
      <c r="F440" s="1" t="str">
        <f ca="1">IFERROR(__xludf.DUMMYFUNCTION("GOOGLETRANSLATE('대전도시공사_청년임대주택 현황_20240630'!F440,""ko"",""en"")"),"29.1")</f>
        <v>29.1</v>
      </c>
      <c r="G440" s="1" t="str">
        <f ca="1">IFERROR(__xludf.DUMMYFUNCTION("GOOGLETRANSLATE('대전도시공사_청년임대주택 현황_20240630'!G440,""ko"",""en"")"),"11.95")</f>
        <v>11.95</v>
      </c>
      <c r="H440" s="1" t="str">
        <f ca="1">IFERROR(__xludf.DUMMYFUNCTION("GOOGLETRANSLATE('대전도시공사_청년임대주택 현황_20240630'!H440,""ko"",""en"")"),"Beneficiary")</f>
        <v>Beneficiary</v>
      </c>
      <c r="I440" s="1" t="str">
        <f ca="1">IFERROR(__xludf.DUMMYFUNCTION("GOOGLETRANSLATE('대전도시공사_청년임대주택 현황_20240630'!I440,""ko"",""en"")"),"1000000")</f>
        <v>1000000</v>
      </c>
      <c r="J440" s="1" t="str">
        <f ca="1">IFERROR(__xludf.DUMMYFUNCTION("GOOGLETRANSLATE('대전도시공사_청년임대주택 현황_20240630'!J440,""ko"",""en"")"),"207700")</f>
        <v>207700</v>
      </c>
    </row>
    <row r="441" spans="1:10" ht="12.5" x14ac:dyDescent="0.25">
      <c r="A441" s="1" t="str">
        <f ca="1">IFERROR(__xludf.DUMMYFUNCTION("GOOGLETRANSLATE('대전도시공사_청년임대주택 현황_20240630'!A441,""ko"",""en"")"),"Yongdu-dong 12-1, 12-8 (Dream Stay, Youth Rental)")</f>
        <v>Yongdu-dong 12-1, 12-8 (Dream Stay, Youth Rental)</v>
      </c>
      <c r="B441" s="1" t="str">
        <f ca="1">IFERROR(__xludf.DUMMYFUNCTION("GOOGLETRANSLATE('대전도시공사_청년임대주택 현황_20240630'!B441,""ko"",""en"")"),"62")</f>
        <v>62</v>
      </c>
      <c r="C441" s="1" t="str">
        <f ca="1">IFERROR(__xludf.DUMMYFUNCTION("GOOGLETRANSLATE('대전도시공사_청년임대주택 현황_20240630'!C441,""ko"",""en"")"),"1")</f>
        <v>1</v>
      </c>
      <c r="D441" s="1" t="str">
        <f ca="1">IFERROR(__xludf.DUMMYFUNCTION("GOOGLETRANSLATE('대전도시공사_청년임대주택 현황_20240630'!D441,""ko"",""en"")"),"1404")</f>
        <v>1404</v>
      </c>
      <c r="E441" s="1" t="str">
        <f ca="1">IFERROR(__xludf.DUMMYFUNCTION("GOOGLETRANSLATE('대전도시공사_청년임대주택 현황_20240630'!E441,""ko"",""en"")"),"41.05")</f>
        <v>41.05</v>
      </c>
      <c r="F441" s="1" t="str">
        <f ca="1">IFERROR(__xludf.DUMMYFUNCTION("GOOGLETRANSLATE('대전도시공사_청년임대주택 현황_20240630'!F441,""ko"",""en"")"),"29.1")</f>
        <v>29.1</v>
      </c>
      <c r="G441" s="1" t="str">
        <f ca="1">IFERROR(__xludf.DUMMYFUNCTION("GOOGLETRANSLATE('대전도시공사_청년임대주택 현황_20240630'!G441,""ko"",""en"")"),"11.95")</f>
        <v>11.95</v>
      </c>
      <c r="H441" s="1" t="str">
        <f ca="1">IFERROR(__xludf.DUMMYFUNCTION("GOOGLETRANSLATE('대전도시공사_청년임대주택 현황_20240630'!H441,""ko"",""en"")"),"Youth Rental 2nd Place")</f>
        <v>Youth Rental 2nd Place</v>
      </c>
      <c r="I441" s="1" t="str">
        <f ca="1">IFERROR(__xludf.DUMMYFUNCTION("GOOGLETRANSLATE('대전도시공사_청년임대주택 현황_20240630'!I441,""ko"",""en"")"),"2000000")</f>
        <v>2000000</v>
      </c>
      <c r="J441" s="1" t="str">
        <f ca="1">IFERROR(__xludf.DUMMYFUNCTION("GOOGLETRANSLATE('대전도시공사_청년임대주택 현황_20240630'!J441,""ko"",""en"")"),"255500")</f>
        <v>255500</v>
      </c>
    </row>
    <row r="442" spans="1:10" ht="12.5" x14ac:dyDescent="0.25">
      <c r="A442" s="1" t="str">
        <f ca="1">IFERROR(__xludf.DUMMYFUNCTION("GOOGLETRANSLATE('대전도시공사_청년임대주택 현황_20240630'!A442,""ko"",""en"")"),"Yongdu-dong 12-1, 12-8 (Dream Stay, Youth Rental)")</f>
        <v>Yongdu-dong 12-1, 12-8 (Dream Stay, Youth Rental)</v>
      </c>
      <c r="B442" s="1" t="str">
        <f ca="1">IFERROR(__xludf.DUMMYFUNCTION("GOOGLETRANSLATE('대전도시공사_청년임대주택 현황_20240630'!B442,""ko"",""en"")"),"63")</f>
        <v>63</v>
      </c>
      <c r="C442" s="1" t="str">
        <f ca="1">IFERROR(__xludf.DUMMYFUNCTION("GOOGLETRANSLATE('대전도시공사_청년임대주택 현황_20240630'!C442,""ko"",""en"")"),"1")</f>
        <v>1</v>
      </c>
      <c r="D442" s="1" t="str">
        <f ca="1">IFERROR(__xludf.DUMMYFUNCTION("GOOGLETRANSLATE('대전도시공사_청년임대주택 현황_20240630'!D442,""ko"",""en"")"),"1404")</f>
        <v>1404</v>
      </c>
      <c r="E442" s="1" t="str">
        <f ca="1">IFERROR(__xludf.DUMMYFUNCTION("GOOGLETRANSLATE('대전도시공사_청년임대주택 현황_20240630'!E442,""ko"",""en"")"),"41.05")</f>
        <v>41.05</v>
      </c>
      <c r="F442" s="1" t="str">
        <f ca="1">IFERROR(__xludf.DUMMYFUNCTION("GOOGLETRANSLATE('대전도시공사_청년임대주택 현황_20240630'!F442,""ko"",""en"")"),"29.1")</f>
        <v>29.1</v>
      </c>
      <c r="G442" s="1" t="str">
        <f ca="1">IFERROR(__xludf.DUMMYFUNCTION("GOOGLETRANSLATE('대전도시공사_청년임대주택 현황_20240630'!G442,""ko"",""en"")"),"11.95")</f>
        <v>11.95</v>
      </c>
      <c r="H442" s="1" t="str">
        <f ca="1">IFERROR(__xludf.DUMMYFUNCTION("GOOGLETRANSLATE('대전도시공사_청년임대주택 현황_20240630'!H442,""ko"",""en"")"),"3rd place for youth rental")</f>
        <v>3rd place for youth rental</v>
      </c>
      <c r="I442" s="1" t="str">
        <f ca="1">IFERROR(__xludf.DUMMYFUNCTION("GOOGLETRANSLATE('대전도시공사_청년임대주택 현황_20240630'!I442,""ko"",""en"")"),"2000000")</f>
        <v>2000000</v>
      </c>
      <c r="J442" s="1" t="str">
        <f ca="1">IFERROR(__xludf.DUMMYFUNCTION("GOOGLETRANSLATE('대전도시공사_청년임대주택 현황_20240630'!J442,""ko"",""en"")"),"255500")</f>
        <v>255500</v>
      </c>
    </row>
    <row r="443" spans="1:10" ht="12.5" x14ac:dyDescent="0.25">
      <c r="A443" s="1" t="str">
        <f ca="1">IFERROR(__xludf.DUMMYFUNCTION("GOOGLETRANSLATE('대전도시공사_청년임대주택 현황_20240630'!A443,""ko"",""en"")"),"Yongdu-dong 12-1, 12-8 (Dream Stay, Youth Rental)")</f>
        <v>Yongdu-dong 12-1, 12-8 (Dream Stay, Youth Rental)</v>
      </c>
      <c r="B443" s="1" t="str">
        <f ca="1">IFERROR(__xludf.DUMMYFUNCTION("GOOGLETRANSLATE('대전도시공사_청년임대주택 현황_20240630'!B443,""ko"",""en"")"),"64")</f>
        <v>64</v>
      </c>
      <c r="C443" s="1" t="str">
        <f ca="1">IFERROR(__xludf.DUMMYFUNCTION("GOOGLETRANSLATE('대전도시공사_청년임대주택 현황_20240630'!C443,""ko"",""en"")"),"1")</f>
        <v>1</v>
      </c>
      <c r="D443" s="1" t="str">
        <f ca="1">IFERROR(__xludf.DUMMYFUNCTION("GOOGLETRANSLATE('대전도시공사_청년임대주택 현황_20240630'!D443,""ko"",""en"")"),"1406")</f>
        <v>1406</v>
      </c>
      <c r="E443" s="1" t="str">
        <f ca="1">IFERROR(__xludf.DUMMYFUNCTION("GOOGLETRANSLATE('대전도시공사_청년임대주택 현황_20240630'!E443,""ko"",""en"")"),"31.53")</f>
        <v>31.53</v>
      </c>
      <c r="F443" s="1" t="str">
        <f ca="1">IFERROR(__xludf.DUMMYFUNCTION("GOOGLETRANSLATE('대전도시공사_청년임대주택 현황_20240630'!F443,""ko"",""en"")"),"22.35")</f>
        <v>22.35</v>
      </c>
      <c r="G443" s="1" t="str">
        <f ca="1">IFERROR(__xludf.DUMMYFUNCTION("GOOGLETRANSLATE('대전도시공사_청년임대주택 현황_20240630'!G443,""ko"",""en"")"),"9.18")</f>
        <v>9.18</v>
      </c>
      <c r="H443" s="1" t="str">
        <f ca="1">IFERROR(__xludf.DUMMYFUNCTION("GOOGLETRANSLATE('대전도시공사_청년임대주택 현황_20240630'!H443,""ko"",""en"")"),"Youth Rent 1st Place")</f>
        <v>Youth Rent 1st Place</v>
      </c>
      <c r="I443" s="1" t="str">
        <f ca="1">IFERROR(__xludf.DUMMYFUNCTION("GOOGLETRANSLATE('대전도시공사_청년임대주택 현황_20240630'!I443,""ko"",""en"")"),"1000000")</f>
        <v>1000000</v>
      </c>
      <c r="J443" s="1" t="str">
        <f ca="1">IFERROR(__xludf.DUMMYFUNCTION("GOOGLETRANSLATE('대전도시공사_청년임대주택 현황_20240630'!J443,""ko"",""en"")"),"167700")</f>
        <v>167700</v>
      </c>
    </row>
    <row r="444" spans="1:10" ht="12.5" x14ac:dyDescent="0.25">
      <c r="A444" s="1" t="str">
        <f ca="1">IFERROR(__xludf.DUMMYFUNCTION("GOOGLETRANSLATE('대전도시공사_청년임대주택 현황_20240630'!A444,""ko"",""en"")"),"Yongdu-dong 12-1, 12-8 (Dream Stay, Youth Rental)")</f>
        <v>Yongdu-dong 12-1, 12-8 (Dream Stay, Youth Rental)</v>
      </c>
      <c r="B444" s="1" t="str">
        <f ca="1">IFERROR(__xludf.DUMMYFUNCTION("GOOGLETRANSLATE('대전도시공사_청년임대주택 현황_20240630'!B444,""ko"",""en"")"),"65")</f>
        <v>65</v>
      </c>
      <c r="C444" s="1" t="str">
        <f ca="1">IFERROR(__xludf.DUMMYFUNCTION("GOOGLETRANSLATE('대전도시공사_청년임대주택 현황_20240630'!C444,""ko"",""en"")"),"1")</f>
        <v>1</v>
      </c>
      <c r="D444" s="1" t="str">
        <f ca="1">IFERROR(__xludf.DUMMYFUNCTION("GOOGLETRANSLATE('대전도시공사_청년임대주택 현황_20240630'!D444,""ko"",""en"")"),"1406")</f>
        <v>1406</v>
      </c>
      <c r="E444" s="1" t="str">
        <f ca="1">IFERROR(__xludf.DUMMYFUNCTION("GOOGLETRANSLATE('대전도시공사_청년임대주택 현황_20240630'!E444,""ko"",""en"")"),"31.53")</f>
        <v>31.53</v>
      </c>
      <c r="F444" s="1" t="str">
        <f ca="1">IFERROR(__xludf.DUMMYFUNCTION("GOOGLETRANSLATE('대전도시공사_청년임대주택 현황_20240630'!F444,""ko"",""en"")"),"22.35")</f>
        <v>22.35</v>
      </c>
      <c r="G444" s="1" t="str">
        <f ca="1">IFERROR(__xludf.DUMMYFUNCTION("GOOGLETRANSLATE('대전도시공사_청년임대주택 현황_20240630'!G444,""ko"",""en"")"),"9.18")</f>
        <v>9.18</v>
      </c>
      <c r="H444" s="1" t="str">
        <f ca="1">IFERROR(__xludf.DUMMYFUNCTION("GOOGLETRANSLATE('대전도시공사_청년임대주택 현황_20240630'!H444,""ko"",""en"")"),"Youth Rental 2nd Place")</f>
        <v>Youth Rental 2nd Place</v>
      </c>
      <c r="I444" s="1" t="str">
        <f ca="1">IFERROR(__xludf.DUMMYFUNCTION("GOOGLETRANSLATE('대전도시공사_청년임대주택 현황_20240630'!I444,""ko"",""en"")"),"2000000")</f>
        <v>2000000</v>
      </c>
      <c r="J444" s="1" t="str">
        <f ca="1">IFERROR(__xludf.DUMMYFUNCTION("GOOGLETRANSLATE('대전도시공사_청년임대주택 현황_20240630'!J444,""ko"",""en"")"),"205500")</f>
        <v>205500</v>
      </c>
    </row>
    <row r="445" spans="1:10" ht="12.5" x14ac:dyDescent="0.25">
      <c r="A445" s="1" t="str">
        <f ca="1">IFERROR(__xludf.DUMMYFUNCTION("GOOGLETRANSLATE('대전도시공사_청년임대주택 현황_20240630'!A445,""ko"",""en"")"),"Yongdu-dong 12-1, 12-8 (Dream Stay, Youth Rental)")</f>
        <v>Yongdu-dong 12-1, 12-8 (Dream Stay, Youth Rental)</v>
      </c>
      <c r="B445" s="1" t="str">
        <f ca="1">IFERROR(__xludf.DUMMYFUNCTION("GOOGLETRANSLATE('대전도시공사_청년임대주택 현황_20240630'!B445,""ko"",""en"")"),"66")</f>
        <v>66</v>
      </c>
      <c r="C445" s="1" t="str">
        <f ca="1">IFERROR(__xludf.DUMMYFUNCTION("GOOGLETRANSLATE('대전도시공사_청년임대주택 현황_20240630'!C445,""ko"",""en"")"),"1")</f>
        <v>1</v>
      </c>
      <c r="D445" s="1" t="str">
        <f ca="1">IFERROR(__xludf.DUMMYFUNCTION("GOOGLETRANSLATE('대전도시공사_청년임대주택 현황_20240630'!D445,""ko"",""en"")"),"1406")</f>
        <v>1406</v>
      </c>
      <c r="E445" s="1" t="str">
        <f ca="1">IFERROR(__xludf.DUMMYFUNCTION("GOOGLETRANSLATE('대전도시공사_청년임대주택 현황_20240630'!E445,""ko"",""en"")"),"31.53")</f>
        <v>31.53</v>
      </c>
      <c r="F445" s="1" t="str">
        <f ca="1">IFERROR(__xludf.DUMMYFUNCTION("GOOGLETRANSLATE('대전도시공사_청년임대주택 현황_20240630'!F445,""ko"",""en"")"),"22.35")</f>
        <v>22.35</v>
      </c>
      <c r="G445" s="1" t="str">
        <f ca="1">IFERROR(__xludf.DUMMYFUNCTION("GOOGLETRANSLATE('대전도시공사_청년임대주택 현황_20240630'!G445,""ko"",""en"")"),"9.18")</f>
        <v>9.18</v>
      </c>
      <c r="H445" s="1" t="str">
        <f ca="1">IFERROR(__xludf.DUMMYFUNCTION("GOOGLETRANSLATE('대전도시공사_청년임대주택 현황_20240630'!H445,""ko"",""en"")"),"3rd place for youth rental")</f>
        <v>3rd place for youth rental</v>
      </c>
      <c r="I445" s="1" t="str">
        <f ca="1">IFERROR(__xludf.DUMMYFUNCTION("GOOGLETRANSLATE('대전도시공사_청년임대주택 현황_20240630'!I445,""ko"",""en"")"),"2000000")</f>
        <v>2000000</v>
      </c>
      <c r="J445" s="1" t="str">
        <f ca="1">IFERROR(__xludf.DUMMYFUNCTION("GOOGLETRANSLATE('대전도시공사_청년임대주택 현황_20240630'!J445,""ko"",""en"")"),"205500")</f>
        <v>205500</v>
      </c>
    </row>
    <row r="446" spans="1:10" ht="12.5" x14ac:dyDescent="0.25">
      <c r="A446" s="1" t="str">
        <f ca="1">IFERROR(__xludf.DUMMYFUNCTION("GOOGLETRANSLATE('대전도시공사_청년임대주택 현황_20240630'!A446,""ko"",""en"")"),"Yongdu-dong 12-1, 12-8 (Dream Stay, Youth Rental)")</f>
        <v>Yongdu-dong 12-1, 12-8 (Dream Stay, Youth Rental)</v>
      </c>
      <c r="B446" s="1" t="str">
        <f ca="1">IFERROR(__xludf.DUMMYFUNCTION("GOOGLETRANSLATE('대전도시공사_청년임대주택 현황_20240630'!B446,""ko"",""en"")"),"67")</f>
        <v>67</v>
      </c>
      <c r="C446" s="1" t="str">
        <f ca="1">IFERROR(__xludf.DUMMYFUNCTION("GOOGLETRANSLATE('대전도시공사_청년임대주택 현황_20240630'!C446,""ko"",""en"")"),"1")</f>
        <v>1</v>
      </c>
      <c r="D446" s="1" t="str">
        <f ca="1">IFERROR(__xludf.DUMMYFUNCTION("GOOGLETRANSLATE('대전도시공사_청년임대주택 현황_20240630'!D446,""ko"",""en"")"),"1407")</f>
        <v>1407</v>
      </c>
      <c r="E446" s="1" t="str">
        <f ca="1">IFERROR(__xludf.DUMMYFUNCTION("GOOGLETRANSLATE('대전도시공사_청년임대주택 현황_20240630'!E446,""ko"",""en"")"),"31.53")</f>
        <v>31.53</v>
      </c>
      <c r="F446" s="1" t="str">
        <f ca="1">IFERROR(__xludf.DUMMYFUNCTION("GOOGLETRANSLATE('대전도시공사_청년임대주택 현황_20240630'!F446,""ko"",""en"")"),"22.35")</f>
        <v>22.35</v>
      </c>
      <c r="G446" s="1" t="str">
        <f ca="1">IFERROR(__xludf.DUMMYFUNCTION("GOOGLETRANSLATE('대전도시공사_청년임대주택 현황_20240630'!G446,""ko"",""en"")"),"9.18")</f>
        <v>9.18</v>
      </c>
      <c r="H446" s="1" t="str">
        <f ca="1">IFERROR(__xludf.DUMMYFUNCTION("GOOGLETRANSLATE('대전도시공사_청년임대주택 현황_20240630'!H446,""ko"",""en"")"),"Youth Rent 1st Place")</f>
        <v>Youth Rent 1st Place</v>
      </c>
      <c r="I446" s="1" t="str">
        <f ca="1">IFERROR(__xludf.DUMMYFUNCTION("GOOGLETRANSLATE('대전도시공사_청년임대주택 현황_20240630'!I446,""ko"",""en"")"),"1000000")</f>
        <v>1000000</v>
      </c>
      <c r="J446" s="1" t="str">
        <f ca="1">IFERROR(__xludf.DUMMYFUNCTION("GOOGLETRANSLATE('대전도시공사_청년임대주택 현황_20240630'!J446,""ko"",""en"")"),"167700")</f>
        <v>167700</v>
      </c>
    </row>
    <row r="447" spans="1:10" ht="12.5" x14ac:dyDescent="0.25">
      <c r="A447" s="1" t="str">
        <f ca="1">IFERROR(__xludf.DUMMYFUNCTION("GOOGLETRANSLATE('대전도시공사_청년임대주택 현황_20240630'!A447,""ko"",""en"")"),"Yongdu-dong 12-1, 12-8 (Dream Stay, Youth Rental)")</f>
        <v>Yongdu-dong 12-1, 12-8 (Dream Stay, Youth Rental)</v>
      </c>
      <c r="B447" s="1" t="str">
        <f ca="1">IFERROR(__xludf.DUMMYFUNCTION("GOOGLETRANSLATE('대전도시공사_청년임대주택 현황_20240630'!B447,""ko"",""en"")"),"68")</f>
        <v>68</v>
      </c>
      <c r="C447" s="1" t="str">
        <f ca="1">IFERROR(__xludf.DUMMYFUNCTION("GOOGLETRANSLATE('대전도시공사_청년임대주택 현황_20240630'!C447,""ko"",""en"")"),"1")</f>
        <v>1</v>
      </c>
      <c r="D447" s="1" t="str">
        <f ca="1">IFERROR(__xludf.DUMMYFUNCTION("GOOGLETRANSLATE('대전도시공사_청년임대주택 현황_20240630'!D447,""ko"",""en"")"),"1407")</f>
        <v>1407</v>
      </c>
      <c r="E447" s="1" t="str">
        <f ca="1">IFERROR(__xludf.DUMMYFUNCTION("GOOGLETRANSLATE('대전도시공사_청년임대주택 현황_20240630'!E447,""ko"",""en"")"),"31.53")</f>
        <v>31.53</v>
      </c>
      <c r="F447" s="1" t="str">
        <f ca="1">IFERROR(__xludf.DUMMYFUNCTION("GOOGLETRANSLATE('대전도시공사_청년임대주택 현황_20240630'!F447,""ko"",""en"")"),"22.35")</f>
        <v>22.35</v>
      </c>
      <c r="G447" s="1" t="str">
        <f ca="1">IFERROR(__xludf.DUMMYFUNCTION("GOOGLETRANSLATE('대전도시공사_청년임대주택 현황_20240630'!G447,""ko"",""en"")"),"9.18")</f>
        <v>9.18</v>
      </c>
      <c r="H447" s="1" t="str">
        <f ca="1">IFERROR(__xludf.DUMMYFUNCTION("GOOGLETRANSLATE('대전도시공사_청년임대주택 현황_20240630'!H447,""ko"",""en"")"),"Youth Rental 2nd Place")</f>
        <v>Youth Rental 2nd Place</v>
      </c>
      <c r="I447" s="1" t="str">
        <f ca="1">IFERROR(__xludf.DUMMYFUNCTION("GOOGLETRANSLATE('대전도시공사_청년임대주택 현황_20240630'!I447,""ko"",""en"")"),"2000000")</f>
        <v>2000000</v>
      </c>
      <c r="J447" s="1" t="str">
        <f ca="1">IFERROR(__xludf.DUMMYFUNCTION("GOOGLETRANSLATE('대전도시공사_청년임대주택 현황_20240630'!J447,""ko"",""en"")"),"205500")</f>
        <v>205500</v>
      </c>
    </row>
    <row r="448" spans="1:10" ht="12.5" x14ac:dyDescent="0.25">
      <c r="A448" s="1" t="str">
        <f ca="1">IFERROR(__xludf.DUMMYFUNCTION("GOOGLETRANSLATE('대전도시공사_청년임대주택 현황_20240630'!A448,""ko"",""en"")"),"Yongdu-dong 12-1, 12-8 (Dream Stay, Youth Rental)")</f>
        <v>Yongdu-dong 12-1, 12-8 (Dream Stay, Youth Rental)</v>
      </c>
      <c r="B448" s="1" t="str">
        <f ca="1">IFERROR(__xludf.DUMMYFUNCTION("GOOGLETRANSLATE('대전도시공사_청년임대주택 현황_20240630'!B448,""ko"",""en"")"),"69")</f>
        <v>69</v>
      </c>
      <c r="C448" s="1" t="str">
        <f ca="1">IFERROR(__xludf.DUMMYFUNCTION("GOOGLETRANSLATE('대전도시공사_청년임대주택 현황_20240630'!C448,""ko"",""en"")"),"1")</f>
        <v>1</v>
      </c>
      <c r="D448" s="1" t="str">
        <f ca="1">IFERROR(__xludf.DUMMYFUNCTION("GOOGLETRANSLATE('대전도시공사_청년임대주택 현황_20240630'!D448,""ko"",""en"")"),"1407")</f>
        <v>1407</v>
      </c>
      <c r="E448" s="1" t="str">
        <f ca="1">IFERROR(__xludf.DUMMYFUNCTION("GOOGLETRANSLATE('대전도시공사_청년임대주택 현황_20240630'!E448,""ko"",""en"")"),"31.53")</f>
        <v>31.53</v>
      </c>
      <c r="F448" s="1" t="str">
        <f ca="1">IFERROR(__xludf.DUMMYFUNCTION("GOOGLETRANSLATE('대전도시공사_청년임대주택 현황_20240630'!F448,""ko"",""en"")"),"22.35")</f>
        <v>22.35</v>
      </c>
      <c r="G448" s="1" t="str">
        <f ca="1">IFERROR(__xludf.DUMMYFUNCTION("GOOGLETRANSLATE('대전도시공사_청년임대주택 현황_20240630'!G448,""ko"",""en"")"),"9.18")</f>
        <v>9.18</v>
      </c>
      <c r="H448" s="1" t="str">
        <f ca="1">IFERROR(__xludf.DUMMYFUNCTION("GOOGLETRANSLATE('대전도시공사_청년임대주택 현황_20240630'!H448,""ko"",""en"")"),"3rd place for youth rental")</f>
        <v>3rd place for youth rental</v>
      </c>
      <c r="I448" s="1" t="str">
        <f ca="1">IFERROR(__xludf.DUMMYFUNCTION("GOOGLETRANSLATE('대전도시공사_청년임대주택 현황_20240630'!I448,""ko"",""en"")"),"2000000")</f>
        <v>2000000</v>
      </c>
      <c r="J448" s="1" t="str">
        <f ca="1">IFERROR(__xludf.DUMMYFUNCTION("GOOGLETRANSLATE('대전도시공사_청년임대주택 현황_20240630'!J448,""ko"",""en"")"),"205500")</f>
        <v>205500</v>
      </c>
    </row>
    <row r="449" spans="1:10" ht="12.5" x14ac:dyDescent="0.25">
      <c r="A449" s="1" t="str">
        <f ca="1">IFERROR(__xludf.DUMMYFUNCTION("GOOGLETRANSLATE('대전도시공사_청년임대주택 현황_20240630'!A449,""ko"",""en"")"),"Yongdu-dong 12-1, 12-8 (Dream Stay, Youth Rental)")</f>
        <v>Yongdu-dong 12-1, 12-8 (Dream Stay, Youth Rental)</v>
      </c>
      <c r="B449" s="1" t="str">
        <f ca="1">IFERROR(__xludf.DUMMYFUNCTION("GOOGLETRANSLATE('대전도시공사_청년임대주택 현황_20240630'!B449,""ko"",""en"")"),"70")</f>
        <v>70</v>
      </c>
      <c r="C449" s="1" t="str">
        <f ca="1">IFERROR(__xludf.DUMMYFUNCTION("GOOGLETRANSLATE('대전도시공사_청년임대주택 현황_20240630'!C449,""ko"",""en"")"),"1")</f>
        <v>1</v>
      </c>
      <c r="D449" s="1" t="str">
        <f ca="1">IFERROR(__xludf.DUMMYFUNCTION("GOOGLETRANSLATE('대전도시공사_청년임대주택 현황_20240630'!D449,""ko"",""en"")"),"1408")</f>
        <v>1408</v>
      </c>
      <c r="E449" s="1" t="str">
        <f ca="1">IFERROR(__xludf.DUMMYFUNCTION("GOOGLETRANSLATE('대전도시공사_청년임대주택 현황_20240630'!E449,""ko"",""en"")"),"31.22")</f>
        <v>31.22</v>
      </c>
      <c r="F449" s="1" t="str">
        <f ca="1">IFERROR(__xludf.DUMMYFUNCTION("GOOGLETRANSLATE('대전도시공사_청년임대주택 현황_20240630'!F449,""ko"",""en"")"),"22.13")</f>
        <v>22.13</v>
      </c>
      <c r="G449" s="1" t="str">
        <f ca="1">IFERROR(__xludf.DUMMYFUNCTION("GOOGLETRANSLATE('대전도시공사_청년임대주택 현황_20240630'!G449,""ko"",""en"")"),"9.09")</f>
        <v>9.09</v>
      </c>
      <c r="H449" s="1" t="str">
        <f ca="1">IFERROR(__xludf.DUMMYFUNCTION("GOOGLETRANSLATE('대전도시공사_청년임대주택 현황_20240630'!H449,""ko"",""en"")"),"Youth Rent 1st Place")</f>
        <v>Youth Rent 1st Place</v>
      </c>
      <c r="I449" s="1" t="str">
        <f ca="1">IFERROR(__xludf.DUMMYFUNCTION("GOOGLETRANSLATE('대전도시공사_청년임대주택 현황_20240630'!I449,""ko"",""en"")"),"1000000")</f>
        <v>1000000</v>
      </c>
      <c r="J449" s="1" t="str">
        <f ca="1">IFERROR(__xludf.DUMMYFUNCTION("GOOGLETRANSLATE('대전도시공사_청년임대주택 현황_20240630'!J449,""ko"",""en"")"),"165600")</f>
        <v>165600</v>
      </c>
    </row>
    <row r="450" spans="1:10" ht="12.5" x14ac:dyDescent="0.25">
      <c r="A450" s="1" t="str">
        <f ca="1">IFERROR(__xludf.DUMMYFUNCTION("GOOGLETRANSLATE('대전도시공사_청년임대주택 현황_20240630'!A450,""ko"",""en"")"),"Yongdu-dong 12-1, 12-8 (Dream Stay, Youth Rental)")</f>
        <v>Yongdu-dong 12-1, 12-8 (Dream Stay, Youth Rental)</v>
      </c>
      <c r="B450" s="1" t="str">
        <f ca="1">IFERROR(__xludf.DUMMYFUNCTION("GOOGLETRANSLATE('대전도시공사_청년임대주택 현황_20240630'!B450,""ko"",""en"")"),"71")</f>
        <v>71</v>
      </c>
      <c r="C450" s="1" t="str">
        <f ca="1">IFERROR(__xludf.DUMMYFUNCTION("GOOGLETRANSLATE('대전도시공사_청년임대주택 현황_20240630'!C450,""ko"",""en"")"),"1")</f>
        <v>1</v>
      </c>
      <c r="D450" s="1" t="str">
        <f ca="1">IFERROR(__xludf.DUMMYFUNCTION("GOOGLETRANSLATE('대전도시공사_청년임대주택 현황_20240630'!D450,""ko"",""en"")"),"1408")</f>
        <v>1408</v>
      </c>
      <c r="E450" s="1" t="str">
        <f ca="1">IFERROR(__xludf.DUMMYFUNCTION("GOOGLETRANSLATE('대전도시공사_청년임대주택 현황_20240630'!E450,""ko"",""en"")"),"31.22")</f>
        <v>31.22</v>
      </c>
      <c r="F450" s="1" t="str">
        <f ca="1">IFERROR(__xludf.DUMMYFUNCTION("GOOGLETRANSLATE('대전도시공사_청년임대주택 현황_20240630'!F450,""ko"",""en"")"),"22.13")</f>
        <v>22.13</v>
      </c>
      <c r="G450" s="1" t="str">
        <f ca="1">IFERROR(__xludf.DUMMYFUNCTION("GOOGLETRANSLATE('대전도시공사_청년임대주택 현황_20240630'!G450,""ko"",""en"")"),"9.09")</f>
        <v>9.09</v>
      </c>
      <c r="H450" s="1" t="str">
        <f ca="1">IFERROR(__xludf.DUMMYFUNCTION("GOOGLETRANSLATE('대전도시공사_청년임대주택 현황_20240630'!H450,""ko"",""en"")"),"Youth Rental 2nd Place")</f>
        <v>Youth Rental 2nd Place</v>
      </c>
      <c r="I450" s="1" t="str">
        <f ca="1">IFERROR(__xludf.DUMMYFUNCTION("GOOGLETRANSLATE('대전도시공사_청년임대주택 현황_20240630'!I450,""ko"",""en"")"),"2000000")</f>
        <v>2000000</v>
      </c>
      <c r="J450" s="1" t="str">
        <f ca="1">IFERROR(__xludf.DUMMYFUNCTION("GOOGLETRANSLATE('대전도시공사_청년임대주택 현황_20240630'!J450,""ko"",""en"")"),"202900")</f>
        <v>202900</v>
      </c>
    </row>
    <row r="451" spans="1:10" ht="12.5" x14ac:dyDescent="0.25">
      <c r="A451" s="1" t="str">
        <f ca="1">IFERROR(__xludf.DUMMYFUNCTION("GOOGLETRANSLATE('대전도시공사_청년임대주택 현황_20240630'!A451,""ko"",""en"")"),"Yongdu-dong 12-1, 12-8 (Dream Stay, Youth Rental)")</f>
        <v>Yongdu-dong 12-1, 12-8 (Dream Stay, Youth Rental)</v>
      </c>
      <c r="B451" s="1" t="str">
        <f ca="1">IFERROR(__xludf.DUMMYFUNCTION("GOOGLETRANSLATE('대전도시공사_청년임대주택 현황_20240630'!B451,""ko"",""en"")"),"72")</f>
        <v>72</v>
      </c>
      <c r="C451" s="1" t="str">
        <f ca="1">IFERROR(__xludf.DUMMYFUNCTION("GOOGLETRANSLATE('대전도시공사_청년임대주택 현황_20240630'!C451,""ko"",""en"")"),"1")</f>
        <v>1</v>
      </c>
      <c r="D451" s="1" t="str">
        <f ca="1">IFERROR(__xludf.DUMMYFUNCTION("GOOGLETRANSLATE('대전도시공사_청년임대주택 현황_20240630'!D451,""ko"",""en"")"),"1408")</f>
        <v>1408</v>
      </c>
      <c r="E451" s="1" t="str">
        <f ca="1">IFERROR(__xludf.DUMMYFUNCTION("GOOGLETRANSLATE('대전도시공사_청년임대주택 현황_20240630'!E451,""ko"",""en"")"),"31.22")</f>
        <v>31.22</v>
      </c>
      <c r="F451" s="1" t="str">
        <f ca="1">IFERROR(__xludf.DUMMYFUNCTION("GOOGLETRANSLATE('대전도시공사_청년임대주택 현황_20240630'!F451,""ko"",""en"")"),"22.13")</f>
        <v>22.13</v>
      </c>
      <c r="G451" s="1" t="str">
        <f ca="1">IFERROR(__xludf.DUMMYFUNCTION("GOOGLETRANSLATE('대전도시공사_청년임대주택 현황_20240630'!G451,""ko"",""en"")"),"9.09")</f>
        <v>9.09</v>
      </c>
      <c r="H451" s="1" t="str">
        <f ca="1">IFERROR(__xludf.DUMMYFUNCTION("GOOGLETRANSLATE('대전도시공사_청년임대주택 현황_20240630'!H451,""ko"",""en"")"),"3rd place for youth rental")</f>
        <v>3rd place for youth rental</v>
      </c>
      <c r="I451" s="1" t="str">
        <f ca="1">IFERROR(__xludf.DUMMYFUNCTION("GOOGLETRANSLATE('대전도시공사_청년임대주택 현황_20240630'!I451,""ko"",""en"")"),"2000000")</f>
        <v>2000000</v>
      </c>
      <c r="J451" s="1" t="str">
        <f ca="1">IFERROR(__xludf.DUMMYFUNCTION("GOOGLETRANSLATE('대전도시공사_청년임대주택 현황_20240630'!J451,""ko"",""en"")"),"202900")</f>
        <v>202900</v>
      </c>
    </row>
    <row r="452" spans="1:10" ht="12.5" x14ac:dyDescent="0.25">
      <c r="A452" s="1" t="str">
        <f ca="1">IFERROR(__xludf.DUMMYFUNCTION("GOOGLETRANSLATE('대전도시공사_청년임대주택 현황_20240630'!A452,""ko"",""en"")"),"540-8 Bongmyeong-dong (Haenarae, youth rental)")</f>
        <v>540-8 Bongmyeong-dong (Haenarae, youth rental)</v>
      </c>
      <c r="B452" s="1" t="str">
        <f ca="1">IFERROR(__xludf.DUMMYFUNCTION("GOOGLETRANSLATE('대전도시공사_청년임대주택 현황_20240630'!B452,""ko"",""en"")"),"19")</f>
        <v>19</v>
      </c>
      <c r="C452" s="1" t="str">
        <f ca="1">IFERROR(__xludf.DUMMYFUNCTION("GOOGLETRANSLATE('대전도시공사_청년임대주택 현황_20240630'!C452,""ko"",""en"")"),"1")</f>
        <v>1</v>
      </c>
      <c r="D452" s="1" t="str">
        <f ca="1">IFERROR(__xludf.DUMMYFUNCTION("GOOGLETRANSLATE('대전도시공사_청년임대주택 현황_20240630'!D452,""ko"",""en"")"),"608")</f>
        <v>608</v>
      </c>
      <c r="E452" s="1" t="str">
        <f ca="1">IFERROR(__xludf.DUMMYFUNCTION("GOOGLETRANSLATE('대전도시공사_청년임대주택 현황_20240630'!E452,""ko"",""en"")"),"58.14")</f>
        <v>58.14</v>
      </c>
      <c r="F452" s="1" t="str">
        <f ca="1">IFERROR(__xludf.DUMMYFUNCTION("GOOGLETRANSLATE('대전도시공사_청년임대주택 현황_20240630'!F452,""ko"",""en"")"),"23.78")</f>
        <v>23.78</v>
      </c>
      <c r="G452" s="1" t="str">
        <f ca="1">IFERROR(__xludf.DUMMYFUNCTION("GOOGLETRANSLATE('대전도시공사_청년임대주택 현황_20240630'!G452,""ko"",""en"")"),"34.36")</f>
        <v>34.36</v>
      </c>
      <c r="H452" s="1" t="str">
        <f ca="1">IFERROR(__xludf.DUMMYFUNCTION("GOOGLETRANSLATE('대전도시공사_청년임대주택 현황_20240630'!H452,""ko"",""en"")"),"Youth Rent 1st Place")</f>
        <v>Youth Rent 1st Place</v>
      </c>
      <c r="I452" s="1" t="str">
        <f ca="1">IFERROR(__xludf.DUMMYFUNCTION("GOOGLETRANSLATE('대전도시공사_청년임대주택 현황_20240630'!I452,""ko"",""en"")"),"1000000")</f>
        <v>1000000</v>
      </c>
      <c r="J452" s="1" t="str">
        <f ca="1">IFERROR(__xludf.DUMMYFUNCTION("GOOGLETRANSLATE('대전도시공사_청년임대주택 현황_20240630'!J452,""ko"",""en"")"),"211900")</f>
        <v>211900</v>
      </c>
    </row>
    <row r="453" spans="1:10" ht="12.5" x14ac:dyDescent="0.25">
      <c r="A453" s="1" t="str">
        <f ca="1">IFERROR(__xludf.DUMMYFUNCTION("GOOGLETRANSLATE('대전도시공사_청년임대주택 현황_20240630'!A453,""ko"",""en"")"),"540-8 Bongmyeong-dong (Haenarae, youth rental)")</f>
        <v>540-8 Bongmyeong-dong (Haenarae, youth rental)</v>
      </c>
      <c r="B453" s="1" t="str">
        <f ca="1">IFERROR(__xludf.DUMMYFUNCTION("GOOGLETRANSLATE('대전도시공사_청년임대주택 현황_20240630'!B453,""ko"",""en"")"),"20")</f>
        <v>20</v>
      </c>
      <c r="C453" s="1" t="str">
        <f ca="1">IFERROR(__xludf.DUMMYFUNCTION("GOOGLETRANSLATE('대전도시공사_청년임대주택 현황_20240630'!C453,""ko"",""en"")"),"1")</f>
        <v>1</v>
      </c>
      <c r="D453" s="1" t="str">
        <f ca="1">IFERROR(__xludf.DUMMYFUNCTION("GOOGLETRANSLATE('대전도시공사_청년임대주택 현황_20240630'!D453,""ko"",""en"")"),"608")</f>
        <v>608</v>
      </c>
      <c r="E453" s="1" t="str">
        <f ca="1">IFERROR(__xludf.DUMMYFUNCTION("GOOGLETRANSLATE('대전도시공사_청년임대주택 현황_20240630'!E453,""ko"",""en"")"),"58.14")</f>
        <v>58.14</v>
      </c>
      <c r="F453" s="1" t="str">
        <f ca="1">IFERROR(__xludf.DUMMYFUNCTION("GOOGLETRANSLATE('대전도시공사_청년임대주택 현황_20240630'!F453,""ko"",""en"")"),"23.78")</f>
        <v>23.78</v>
      </c>
      <c r="G453" s="1" t="str">
        <f ca="1">IFERROR(__xludf.DUMMYFUNCTION("GOOGLETRANSLATE('대전도시공사_청년임대주택 현황_20240630'!G453,""ko"",""en"")"),"34.36")</f>
        <v>34.36</v>
      </c>
      <c r="H453" s="1" t="str">
        <f ca="1">IFERROR(__xludf.DUMMYFUNCTION("GOOGLETRANSLATE('대전도시공사_청년임대주택 현황_20240630'!H453,""ko"",""en"")"),"Youth Rental 2nd Place")</f>
        <v>Youth Rental 2nd Place</v>
      </c>
      <c r="I453" s="1" t="str">
        <f ca="1">IFERROR(__xludf.DUMMYFUNCTION("GOOGLETRANSLATE('대전도시공사_청년임대주택 현황_20240630'!I453,""ko"",""en"")"),"2000000")</f>
        <v>2000000</v>
      </c>
      <c r="J453" s="1" t="str">
        <f ca="1">IFERROR(__xludf.DUMMYFUNCTION("GOOGLETRANSLATE('대전도시공사_청년임대주택 현황_20240630'!J453,""ko"",""en"")"),"260800")</f>
        <v>260800</v>
      </c>
    </row>
    <row r="454" spans="1:10" ht="12.5" x14ac:dyDescent="0.25">
      <c r="A454" s="1" t="str">
        <f ca="1">IFERROR(__xludf.DUMMYFUNCTION("GOOGLETRANSLATE('대전도시공사_청년임대주택 현황_20240630'!A454,""ko"",""en"")"),"540-8 Bongmyeong-dong (Haenarae, youth rental)")</f>
        <v>540-8 Bongmyeong-dong (Haenarae, youth rental)</v>
      </c>
      <c r="B454" s="1" t="str">
        <f ca="1">IFERROR(__xludf.DUMMYFUNCTION("GOOGLETRANSLATE('대전도시공사_청년임대주택 현황_20240630'!B454,""ko"",""en"")"),"21")</f>
        <v>21</v>
      </c>
      <c r="C454" s="1" t="str">
        <f ca="1">IFERROR(__xludf.DUMMYFUNCTION("GOOGLETRANSLATE('대전도시공사_청년임대주택 현황_20240630'!C454,""ko"",""en"")"),"1")</f>
        <v>1</v>
      </c>
      <c r="D454" s="1" t="str">
        <f ca="1">IFERROR(__xludf.DUMMYFUNCTION("GOOGLETRANSLATE('대전도시공사_청년임대주택 현황_20240630'!D454,""ko"",""en"")"),"608")</f>
        <v>608</v>
      </c>
      <c r="E454" s="1" t="str">
        <f ca="1">IFERROR(__xludf.DUMMYFUNCTION("GOOGLETRANSLATE('대전도시공사_청년임대주택 현황_20240630'!E454,""ko"",""en"")"),"58.14")</f>
        <v>58.14</v>
      </c>
      <c r="F454" s="1" t="str">
        <f ca="1">IFERROR(__xludf.DUMMYFUNCTION("GOOGLETRANSLATE('대전도시공사_청년임대주택 현황_20240630'!F454,""ko"",""en"")"),"23.78")</f>
        <v>23.78</v>
      </c>
      <c r="G454" s="1" t="str">
        <f ca="1">IFERROR(__xludf.DUMMYFUNCTION("GOOGLETRANSLATE('대전도시공사_청년임대주택 현황_20240630'!G454,""ko"",""en"")"),"34.36")</f>
        <v>34.36</v>
      </c>
      <c r="H454" s="1" t="str">
        <f ca="1">IFERROR(__xludf.DUMMYFUNCTION("GOOGLETRANSLATE('대전도시공사_청년임대주택 현황_20240630'!H454,""ko"",""en"")"),"3rd place for youth rental")</f>
        <v>3rd place for youth rental</v>
      </c>
      <c r="I454" s="1" t="str">
        <f ca="1">IFERROR(__xludf.DUMMYFUNCTION("GOOGLETRANSLATE('대전도시공사_청년임대주택 현황_20240630'!I454,""ko"",""en"")"),"2000000")</f>
        <v>2000000</v>
      </c>
      <c r="J454" s="1" t="str">
        <f ca="1">IFERROR(__xludf.DUMMYFUNCTION("GOOGLETRANSLATE('대전도시공사_청년임대주택 현황_20240630'!J454,""ko"",""en"")"),"260800")</f>
        <v>260800</v>
      </c>
    </row>
    <row r="455" spans="1:10" ht="12.5" x14ac:dyDescent="0.25">
      <c r="A455" s="1" t="str">
        <f ca="1">IFERROR(__xludf.DUMMYFUNCTION("GOOGLETRANSLATE('대전도시공사_청년임대주택 현황_20240630'!A455,""ko"",""en"")"),"540-8 Bongmyeong-dong (Haenarae, youth rental)")</f>
        <v>540-8 Bongmyeong-dong (Haenarae, youth rental)</v>
      </c>
      <c r="B455" s="1" t="str">
        <f ca="1">IFERROR(__xludf.DUMMYFUNCTION("GOOGLETRANSLATE('대전도시공사_청년임대주택 현황_20240630'!B455,""ko"",""en"")"),"22")</f>
        <v>22</v>
      </c>
      <c r="C455" s="1" t="str">
        <f ca="1">IFERROR(__xludf.DUMMYFUNCTION("GOOGLETRANSLATE('대전도시공사_청년임대주택 현황_20240630'!C455,""ko"",""en"")"),"1")</f>
        <v>1</v>
      </c>
      <c r="D455" s="1" t="str">
        <f ca="1">IFERROR(__xludf.DUMMYFUNCTION("GOOGLETRANSLATE('대전도시공사_청년임대주택 현황_20240630'!D455,""ko"",""en"")"),"615")</f>
        <v>615</v>
      </c>
      <c r="E455" s="1" t="str">
        <f ca="1">IFERROR(__xludf.DUMMYFUNCTION("GOOGLETRANSLATE('대전도시공사_청년임대주택 현황_20240630'!E455,""ko"",""en"")"),"46.296")</f>
        <v>46.296</v>
      </c>
      <c r="F455" s="1" t="str">
        <f ca="1">IFERROR(__xludf.DUMMYFUNCTION("GOOGLETRANSLATE('대전도시공사_청년임대주택 현황_20240630'!F455,""ko"",""en"")"),"18.459")</f>
        <v>18.459</v>
      </c>
      <c r="G455" s="1" t="str">
        <f ca="1">IFERROR(__xludf.DUMMYFUNCTION("GOOGLETRANSLATE('대전도시공사_청년임대주택 현황_20240630'!G455,""ko"",""en"")"),"27.837")</f>
        <v>27.837</v>
      </c>
      <c r="H455" s="1" t="str">
        <f ca="1">IFERROR(__xludf.DUMMYFUNCTION("GOOGLETRANSLATE('대전도시공사_청년임대주택 현황_20240630'!H455,""ko"",""en"")"),"Youth Rent 1st Place")</f>
        <v>Youth Rent 1st Place</v>
      </c>
      <c r="I455" s="1" t="str">
        <f ca="1">IFERROR(__xludf.DUMMYFUNCTION("GOOGLETRANSLATE('대전도시공사_청년임대주택 현황_20240630'!I455,""ko"",""en"")"),"1000000")</f>
        <v>1000000</v>
      </c>
      <c r="J455" s="1" t="str">
        <f ca="1">IFERROR(__xludf.DUMMYFUNCTION("GOOGLETRANSLATE('대전도시공사_청년임대주택 현황_20240630'!J455,""ko"",""en"")"),"209800")</f>
        <v>209800</v>
      </c>
    </row>
    <row r="456" spans="1:10" ht="12.5" x14ac:dyDescent="0.25">
      <c r="A456" s="1" t="str">
        <f ca="1">IFERROR(__xludf.DUMMYFUNCTION("GOOGLETRANSLATE('대전도시공사_청년임대주택 현황_20240630'!A456,""ko"",""en"")"),"540-8 Bongmyeong-dong (Haenarae, youth rental)")</f>
        <v>540-8 Bongmyeong-dong (Haenarae, youth rental)</v>
      </c>
      <c r="B456" s="1" t="str">
        <f ca="1">IFERROR(__xludf.DUMMYFUNCTION("GOOGLETRANSLATE('대전도시공사_청년임대주택 현황_20240630'!B456,""ko"",""en"")"),"23")</f>
        <v>23</v>
      </c>
      <c r="C456" s="1" t="str">
        <f ca="1">IFERROR(__xludf.DUMMYFUNCTION("GOOGLETRANSLATE('대전도시공사_청년임대주택 현황_20240630'!C456,""ko"",""en"")"),"1")</f>
        <v>1</v>
      </c>
      <c r="D456" s="1" t="str">
        <f ca="1">IFERROR(__xludf.DUMMYFUNCTION("GOOGLETRANSLATE('대전도시공사_청년임대주택 현황_20240630'!D456,""ko"",""en"")"),"615")</f>
        <v>615</v>
      </c>
      <c r="E456" s="1" t="str">
        <f ca="1">IFERROR(__xludf.DUMMYFUNCTION("GOOGLETRANSLATE('대전도시공사_청년임대주택 현황_20240630'!E456,""ko"",""en"")"),"46.296")</f>
        <v>46.296</v>
      </c>
      <c r="F456" s="1" t="str">
        <f ca="1">IFERROR(__xludf.DUMMYFUNCTION("GOOGLETRANSLATE('대전도시공사_청년임대주택 현황_20240630'!F456,""ko"",""en"")"),"18.459")</f>
        <v>18.459</v>
      </c>
      <c r="G456" s="1" t="str">
        <f ca="1">IFERROR(__xludf.DUMMYFUNCTION("GOOGLETRANSLATE('대전도시공사_청년임대주택 현황_20240630'!G456,""ko"",""en"")"),"27.837")</f>
        <v>27.837</v>
      </c>
      <c r="H456" s="1" t="str">
        <f ca="1">IFERROR(__xludf.DUMMYFUNCTION("GOOGLETRANSLATE('대전도시공사_청년임대주택 현황_20240630'!H456,""ko"",""en"")"),"Youth Rental 2nd Place")</f>
        <v>Youth Rental 2nd Place</v>
      </c>
      <c r="I456" s="1" t="str">
        <f ca="1">IFERROR(__xludf.DUMMYFUNCTION("GOOGLETRANSLATE('대전도시공사_청년임대주택 현황_20240630'!I456,""ko"",""en"")"),"2000000")</f>
        <v>2000000</v>
      </c>
      <c r="J456" s="1" t="str">
        <f ca="1">IFERROR(__xludf.DUMMYFUNCTION("GOOGLETRANSLATE('대전도시공사_청년임대주택 현황_20240630'!J456,""ko"",""en"")"),"258100")</f>
        <v>258100</v>
      </c>
    </row>
    <row r="457" spans="1:10" ht="12.5" x14ac:dyDescent="0.25">
      <c r="A457" s="1" t="str">
        <f ca="1">IFERROR(__xludf.DUMMYFUNCTION("GOOGLETRANSLATE('대전도시공사_청년임대주택 현황_20240630'!A457,""ko"",""en"")"),"540-8 Bongmyeong-dong (Haenarae, youth rental)")</f>
        <v>540-8 Bongmyeong-dong (Haenarae, youth rental)</v>
      </c>
      <c r="B457" s="1" t="str">
        <f ca="1">IFERROR(__xludf.DUMMYFUNCTION("GOOGLETRANSLATE('대전도시공사_청년임대주택 현황_20240630'!B457,""ko"",""en"")"),"24")</f>
        <v>24</v>
      </c>
      <c r="C457" s="1" t="str">
        <f ca="1">IFERROR(__xludf.DUMMYFUNCTION("GOOGLETRANSLATE('대전도시공사_청년임대주택 현황_20240630'!C457,""ko"",""en"")"),"1")</f>
        <v>1</v>
      </c>
      <c r="D457" s="1" t="str">
        <f ca="1">IFERROR(__xludf.DUMMYFUNCTION("GOOGLETRANSLATE('대전도시공사_청년임대주택 현황_20240630'!D457,""ko"",""en"")"),"615")</f>
        <v>615</v>
      </c>
      <c r="E457" s="1" t="str">
        <f ca="1">IFERROR(__xludf.DUMMYFUNCTION("GOOGLETRANSLATE('대전도시공사_청년임대주택 현황_20240630'!E457,""ko"",""en"")"),"46.296")</f>
        <v>46.296</v>
      </c>
      <c r="F457" s="1" t="str">
        <f ca="1">IFERROR(__xludf.DUMMYFUNCTION("GOOGLETRANSLATE('대전도시공사_청년임대주택 현황_20240630'!F457,""ko"",""en"")"),"18.459")</f>
        <v>18.459</v>
      </c>
      <c r="G457" s="1" t="str">
        <f ca="1">IFERROR(__xludf.DUMMYFUNCTION("GOOGLETRANSLATE('대전도시공사_청년임대주택 현황_20240630'!G457,""ko"",""en"")"),"27.837")</f>
        <v>27.837</v>
      </c>
      <c r="H457" s="1" t="str">
        <f ca="1">IFERROR(__xludf.DUMMYFUNCTION("GOOGLETRANSLATE('대전도시공사_청년임대주택 현황_20240630'!H457,""ko"",""en"")"),"3rd place for youth rental")</f>
        <v>3rd place for youth rental</v>
      </c>
      <c r="I457" s="1" t="str">
        <f ca="1">IFERROR(__xludf.DUMMYFUNCTION("GOOGLETRANSLATE('대전도시공사_청년임대주택 현황_20240630'!I457,""ko"",""en"")"),"2000000")</f>
        <v>2000000</v>
      </c>
      <c r="J457" s="1" t="str">
        <f ca="1">IFERROR(__xludf.DUMMYFUNCTION("GOOGLETRANSLATE('대전도시공사_청년임대주택 현황_20240630'!J457,""ko"",""en"")"),"258100")</f>
        <v>258100</v>
      </c>
    </row>
    <row r="458" spans="1:10" ht="12.5" x14ac:dyDescent="0.25">
      <c r="A458" s="1" t="str">
        <f ca="1">IFERROR(__xludf.DUMMYFUNCTION("GOOGLETRANSLATE('대전도시공사_청년임대주택 현황_20240630'!A458,""ko"",""en"")"),"540-8 Bongmyeong-dong (Haenarae, youth rental)")</f>
        <v>540-8 Bongmyeong-dong (Haenarae, youth rental)</v>
      </c>
      <c r="B458" s="1" t="str">
        <f ca="1">IFERROR(__xludf.DUMMYFUNCTION("GOOGLETRANSLATE('대전도시공사_청년임대주택 현황_20240630'!B458,""ko"",""en"")"),"34")</f>
        <v>34</v>
      </c>
      <c r="C458" s="1" t="str">
        <f ca="1">IFERROR(__xludf.DUMMYFUNCTION("GOOGLETRANSLATE('대전도시공사_청년임대주택 현황_20240630'!C458,""ko"",""en"")"),"1")</f>
        <v>1</v>
      </c>
      <c r="D458" s="1" t="str">
        <f ca="1">IFERROR(__xludf.DUMMYFUNCTION("GOOGLETRANSLATE('대전도시공사_청년임대주택 현황_20240630'!D458,""ko"",""en"")"),"704")</f>
        <v>704</v>
      </c>
      <c r="E458" s="1" t="str">
        <f ca="1">IFERROR(__xludf.DUMMYFUNCTION("GOOGLETRANSLATE('대전도시공사_청년임대주택 현황_20240630'!E458,""ko"",""en"")"),"58.799")</f>
        <v>58.799</v>
      </c>
      <c r="F458" s="1" t="str">
        <f ca="1">IFERROR(__xludf.DUMMYFUNCTION("GOOGLETRANSLATE('대전도시공사_청년임대주택 현황_20240630'!F458,""ko"",""en"")"),"24.279")</f>
        <v>24.279</v>
      </c>
      <c r="G458" s="1" t="str">
        <f ca="1">IFERROR(__xludf.DUMMYFUNCTION("GOOGLETRANSLATE('대전도시공사_청년임대주택 현황_20240630'!G458,""ko"",""en"")"),"34.519")</f>
        <v>34.519</v>
      </c>
      <c r="H458" s="1" t="str">
        <f ca="1">IFERROR(__xludf.DUMMYFUNCTION("GOOGLETRANSLATE('대전도시공사_청년임대주택 현황_20240630'!H458,""ko"",""en"")"),"Youth Rent 1st Place")</f>
        <v>Youth Rent 1st Place</v>
      </c>
      <c r="I458" s="1" t="str">
        <f ca="1">IFERROR(__xludf.DUMMYFUNCTION("GOOGLETRANSLATE('대전도시공사_청년임대주택 현황_20240630'!I458,""ko"",""en"")"),"1000000")</f>
        <v>1000000</v>
      </c>
      <c r="J458" s="1" t="str">
        <f ca="1">IFERROR(__xludf.DUMMYFUNCTION("GOOGLETRANSLATE('대전도시공사_청년임대주택 현황_20240630'!J458,""ko"",""en"")"),"224600")</f>
        <v>224600</v>
      </c>
    </row>
    <row r="459" spans="1:10" ht="12.5" x14ac:dyDescent="0.25">
      <c r="A459" s="1" t="str">
        <f ca="1">IFERROR(__xludf.DUMMYFUNCTION("GOOGLETRANSLATE('대전도시공사_청년임대주택 현황_20240630'!A459,""ko"",""en"")"),"540-8 Bongmyeong-dong (Haenarae, youth rental)")</f>
        <v>540-8 Bongmyeong-dong (Haenarae, youth rental)</v>
      </c>
      <c r="B459" s="1" t="str">
        <f ca="1">IFERROR(__xludf.DUMMYFUNCTION("GOOGLETRANSLATE('대전도시공사_청년임대주택 현황_20240630'!B459,""ko"",""en"")"),"35")</f>
        <v>35</v>
      </c>
      <c r="C459" s="1" t="str">
        <f ca="1">IFERROR(__xludf.DUMMYFUNCTION("GOOGLETRANSLATE('대전도시공사_청년임대주택 현황_20240630'!C459,""ko"",""en"")"),"1")</f>
        <v>1</v>
      </c>
      <c r="D459" s="1" t="str">
        <f ca="1">IFERROR(__xludf.DUMMYFUNCTION("GOOGLETRANSLATE('대전도시공사_청년임대주택 현황_20240630'!D459,""ko"",""en"")"),"704")</f>
        <v>704</v>
      </c>
      <c r="E459" s="1" t="str">
        <f ca="1">IFERROR(__xludf.DUMMYFUNCTION("GOOGLETRANSLATE('대전도시공사_청년임대주택 현황_20240630'!E459,""ko"",""en"")"),"58.799")</f>
        <v>58.799</v>
      </c>
      <c r="F459" s="1" t="str">
        <f ca="1">IFERROR(__xludf.DUMMYFUNCTION("GOOGLETRANSLATE('대전도시공사_청년임대주택 현황_20240630'!F459,""ko"",""en"")"),"24.279")</f>
        <v>24.279</v>
      </c>
      <c r="G459" s="1" t="str">
        <f ca="1">IFERROR(__xludf.DUMMYFUNCTION("GOOGLETRANSLATE('대전도시공사_청년임대주택 현황_20240630'!G459,""ko"",""en"")"),"34.519")</f>
        <v>34.519</v>
      </c>
      <c r="H459" s="1" t="str">
        <f ca="1">IFERROR(__xludf.DUMMYFUNCTION("GOOGLETRANSLATE('대전도시공사_청년임대주택 현황_20240630'!H459,""ko"",""en"")"),"Youth Rental 2nd Place")</f>
        <v>Youth Rental 2nd Place</v>
      </c>
      <c r="I459" s="1" t="str">
        <f ca="1">IFERROR(__xludf.DUMMYFUNCTION("GOOGLETRANSLATE('대전도시공사_청년임대주택 현황_20240630'!I459,""ko"",""en"")"),"2000000")</f>
        <v>2000000</v>
      </c>
      <c r="J459" s="1" t="str">
        <f ca="1">IFERROR(__xludf.DUMMYFUNCTION("GOOGLETRANSLATE('대전도시공사_청년임대주택 현황_20240630'!J459,""ko"",""en"")"),"276500")</f>
        <v>276500</v>
      </c>
    </row>
    <row r="460" spans="1:10" ht="12.5" x14ac:dyDescent="0.25">
      <c r="A460" s="1" t="str">
        <f ca="1">IFERROR(__xludf.DUMMYFUNCTION("GOOGLETRANSLATE('대전도시공사_청년임대주택 현황_20240630'!A460,""ko"",""en"")"),"540-8 Bongmyeong-dong (Haenarae, youth rental)")</f>
        <v>540-8 Bongmyeong-dong (Haenarae, youth rental)</v>
      </c>
      <c r="B460" s="1" t="str">
        <f ca="1">IFERROR(__xludf.DUMMYFUNCTION("GOOGLETRANSLATE('대전도시공사_청년임대주택 현황_20240630'!B460,""ko"",""en"")"),"36")</f>
        <v>36</v>
      </c>
      <c r="C460" s="1" t="str">
        <f ca="1">IFERROR(__xludf.DUMMYFUNCTION("GOOGLETRANSLATE('대전도시공사_청년임대주택 현황_20240630'!C460,""ko"",""en"")"),"1")</f>
        <v>1</v>
      </c>
      <c r="D460" s="1" t="str">
        <f ca="1">IFERROR(__xludf.DUMMYFUNCTION("GOOGLETRANSLATE('대전도시공사_청년임대주택 현황_20240630'!D460,""ko"",""en"")"),"704")</f>
        <v>704</v>
      </c>
      <c r="E460" s="1" t="str">
        <f ca="1">IFERROR(__xludf.DUMMYFUNCTION("GOOGLETRANSLATE('대전도시공사_청년임대주택 현황_20240630'!E460,""ko"",""en"")"),"58.799")</f>
        <v>58.799</v>
      </c>
      <c r="F460" s="1" t="str">
        <f ca="1">IFERROR(__xludf.DUMMYFUNCTION("GOOGLETRANSLATE('대전도시공사_청년임대주택 현황_20240630'!F460,""ko"",""en"")"),"24.279")</f>
        <v>24.279</v>
      </c>
      <c r="G460" s="1" t="str">
        <f ca="1">IFERROR(__xludf.DUMMYFUNCTION("GOOGLETRANSLATE('대전도시공사_청년임대주택 현황_20240630'!G460,""ko"",""en"")"),"34.519")</f>
        <v>34.519</v>
      </c>
      <c r="H460" s="1" t="str">
        <f ca="1">IFERROR(__xludf.DUMMYFUNCTION("GOOGLETRANSLATE('대전도시공사_청년임대주택 현황_20240630'!H460,""ko"",""en"")"),"3rd place for youth rental")</f>
        <v>3rd place for youth rental</v>
      </c>
      <c r="I460" s="1" t="str">
        <f ca="1">IFERROR(__xludf.DUMMYFUNCTION("GOOGLETRANSLATE('대전도시공사_청년임대주택 현황_20240630'!I460,""ko"",""en"")"),"2000000")</f>
        <v>2000000</v>
      </c>
      <c r="J460" s="1" t="str">
        <f ca="1">IFERROR(__xludf.DUMMYFUNCTION("GOOGLETRANSLATE('대전도시공사_청년임대주택 현황_20240630'!J460,""ko"",""en"")"),"276500")</f>
        <v>276500</v>
      </c>
    </row>
    <row r="461" spans="1:10" ht="12.5" x14ac:dyDescent="0.25">
      <c r="A461" s="1" t="str">
        <f ca="1">IFERROR(__xludf.DUMMYFUNCTION("GOOGLETRANSLATE('대전도시공사_청년임대주택 현황_20240630'!A461,""ko"",""en"")"),"540-8 Bongmyeong-dong (Haenarae, youth rental)")</f>
        <v>540-8 Bongmyeong-dong (Haenarae, youth rental)</v>
      </c>
      <c r="B461" s="1" t="str">
        <f ca="1">IFERROR(__xludf.DUMMYFUNCTION("GOOGLETRANSLATE('대전도시공사_청년임대주택 현황_20240630'!B461,""ko"",""en"")"),"52")</f>
        <v>52</v>
      </c>
      <c r="C461" s="1" t="str">
        <f ca="1">IFERROR(__xludf.DUMMYFUNCTION("GOOGLETRANSLATE('대전도시공사_청년임대주택 현황_20240630'!C461,""ko"",""en"")"),"1")</f>
        <v>1</v>
      </c>
      <c r="D461" s="1" t="str">
        <f ca="1">IFERROR(__xludf.DUMMYFUNCTION("GOOGLETRANSLATE('대전도시공사_청년임대주택 현황_20240630'!D461,""ko"",""en"")"),"715")</f>
        <v>715</v>
      </c>
      <c r="E461" s="1" t="str">
        <f ca="1">IFERROR(__xludf.DUMMYFUNCTION("GOOGLETRANSLATE('대전도시공사_청년임대주택 현황_20240630'!E461,""ko"",""en"")"),"46.296")</f>
        <v>46.296</v>
      </c>
      <c r="F461" s="1" t="str">
        <f ca="1">IFERROR(__xludf.DUMMYFUNCTION("GOOGLETRANSLATE('대전도시공사_청년임대주택 현황_20240630'!F461,""ko"",""en"")"),"18.459")</f>
        <v>18.459</v>
      </c>
      <c r="G461" s="1" t="str">
        <f ca="1">IFERROR(__xludf.DUMMYFUNCTION("GOOGLETRANSLATE('대전도시공사_청년임대주택 현황_20240630'!G461,""ko"",""en"")"),"27.837")</f>
        <v>27.837</v>
      </c>
      <c r="H461" s="1" t="str">
        <f ca="1">IFERROR(__xludf.DUMMYFUNCTION("GOOGLETRANSLATE('대전도시공사_청년임대주택 현황_20240630'!H461,""ko"",""en"")"),"Youth Rent 1st Place")</f>
        <v>Youth Rent 1st Place</v>
      </c>
      <c r="I461" s="1" t="str">
        <f ca="1">IFERROR(__xludf.DUMMYFUNCTION("GOOGLETRANSLATE('대전도시공사_청년임대주택 현황_20240630'!I461,""ko"",""en"")"),"1000000")</f>
        <v>1000000</v>
      </c>
      <c r="J461" s="1" t="str">
        <f ca="1">IFERROR(__xludf.DUMMYFUNCTION("GOOGLETRANSLATE('대전도시공사_청년임대주택 현황_20240630'!J461,""ko"",""en"")"),"209800")</f>
        <v>209800</v>
      </c>
    </row>
    <row r="462" spans="1:10" ht="12.5" x14ac:dyDescent="0.25">
      <c r="A462" s="1" t="str">
        <f ca="1">IFERROR(__xludf.DUMMYFUNCTION("GOOGLETRANSLATE('대전도시공사_청년임대주택 현황_20240630'!A462,""ko"",""en"")"),"540-8 Bongmyeong-dong (Haenarae, youth rental)")</f>
        <v>540-8 Bongmyeong-dong (Haenarae, youth rental)</v>
      </c>
      <c r="B462" s="1" t="str">
        <f ca="1">IFERROR(__xludf.DUMMYFUNCTION("GOOGLETRANSLATE('대전도시공사_청년임대주택 현황_20240630'!B462,""ko"",""en"")"),"53")</f>
        <v>53</v>
      </c>
      <c r="C462" s="1" t="str">
        <f ca="1">IFERROR(__xludf.DUMMYFUNCTION("GOOGLETRANSLATE('대전도시공사_청년임대주택 현황_20240630'!C462,""ko"",""en"")"),"1")</f>
        <v>1</v>
      </c>
      <c r="D462" s="1" t="str">
        <f ca="1">IFERROR(__xludf.DUMMYFUNCTION("GOOGLETRANSLATE('대전도시공사_청년임대주택 현황_20240630'!D462,""ko"",""en"")"),"715")</f>
        <v>715</v>
      </c>
      <c r="E462" s="1" t="str">
        <f ca="1">IFERROR(__xludf.DUMMYFUNCTION("GOOGLETRANSLATE('대전도시공사_청년임대주택 현황_20240630'!E462,""ko"",""en"")"),"46.296")</f>
        <v>46.296</v>
      </c>
      <c r="F462" s="1" t="str">
        <f ca="1">IFERROR(__xludf.DUMMYFUNCTION("GOOGLETRANSLATE('대전도시공사_청년임대주택 현황_20240630'!F462,""ko"",""en"")"),"18.459")</f>
        <v>18.459</v>
      </c>
      <c r="G462" s="1" t="str">
        <f ca="1">IFERROR(__xludf.DUMMYFUNCTION("GOOGLETRANSLATE('대전도시공사_청년임대주택 현황_20240630'!G462,""ko"",""en"")"),"27.837")</f>
        <v>27.837</v>
      </c>
      <c r="H462" s="1" t="str">
        <f ca="1">IFERROR(__xludf.DUMMYFUNCTION("GOOGLETRANSLATE('대전도시공사_청년임대주택 현황_20240630'!H462,""ko"",""en"")"),"Youth Rental 2nd Place")</f>
        <v>Youth Rental 2nd Place</v>
      </c>
      <c r="I462" s="1" t="str">
        <f ca="1">IFERROR(__xludf.DUMMYFUNCTION("GOOGLETRANSLATE('대전도시공사_청년임대주택 현황_20240630'!I462,""ko"",""en"")"),"2000000")</f>
        <v>2000000</v>
      </c>
      <c r="J462" s="1" t="str">
        <f ca="1">IFERROR(__xludf.DUMMYFUNCTION("GOOGLETRANSLATE('대전도시공사_청년임대주택 현황_20240630'!J462,""ko"",""en"")"),"258100")</f>
        <v>258100</v>
      </c>
    </row>
    <row r="463" spans="1:10" ht="12.5" x14ac:dyDescent="0.25">
      <c r="A463" s="1" t="str">
        <f ca="1">IFERROR(__xludf.DUMMYFUNCTION("GOOGLETRANSLATE('대전도시공사_청년임대주택 현황_20240630'!A463,""ko"",""en"")"),"540-8 Bongmyeong-dong (Haenarae, youth rental)")</f>
        <v>540-8 Bongmyeong-dong (Haenarae, youth rental)</v>
      </c>
      <c r="B463" s="1" t="str">
        <f ca="1">IFERROR(__xludf.DUMMYFUNCTION("GOOGLETRANSLATE('대전도시공사_청년임대주택 현황_20240630'!B463,""ko"",""en"")"),"54")</f>
        <v>54</v>
      </c>
      <c r="C463" s="1" t="str">
        <f ca="1">IFERROR(__xludf.DUMMYFUNCTION("GOOGLETRANSLATE('대전도시공사_청년임대주택 현황_20240630'!C463,""ko"",""en"")"),"1")</f>
        <v>1</v>
      </c>
      <c r="D463" s="1" t="str">
        <f ca="1">IFERROR(__xludf.DUMMYFUNCTION("GOOGLETRANSLATE('대전도시공사_청년임대주택 현황_20240630'!D463,""ko"",""en"")"),"715")</f>
        <v>715</v>
      </c>
      <c r="E463" s="1" t="str">
        <f ca="1">IFERROR(__xludf.DUMMYFUNCTION("GOOGLETRANSLATE('대전도시공사_청년임대주택 현황_20240630'!E463,""ko"",""en"")"),"46.296")</f>
        <v>46.296</v>
      </c>
      <c r="F463" s="1" t="str">
        <f ca="1">IFERROR(__xludf.DUMMYFUNCTION("GOOGLETRANSLATE('대전도시공사_청년임대주택 현황_20240630'!F463,""ko"",""en"")"),"18.459")</f>
        <v>18.459</v>
      </c>
      <c r="G463" s="1" t="str">
        <f ca="1">IFERROR(__xludf.DUMMYFUNCTION("GOOGLETRANSLATE('대전도시공사_청년임대주택 현황_20240630'!G463,""ko"",""en"")"),"27.837")</f>
        <v>27.837</v>
      </c>
      <c r="H463" s="1" t="str">
        <f ca="1">IFERROR(__xludf.DUMMYFUNCTION("GOOGLETRANSLATE('대전도시공사_청년임대주택 현황_20240630'!H463,""ko"",""en"")"),"3rd place for youth rental")</f>
        <v>3rd place for youth rental</v>
      </c>
      <c r="I463" s="1" t="str">
        <f ca="1">IFERROR(__xludf.DUMMYFUNCTION("GOOGLETRANSLATE('대전도시공사_청년임대주택 현황_20240630'!I463,""ko"",""en"")"),"2000000")</f>
        <v>2000000</v>
      </c>
      <c r="J463" s="1" t="str">
        <f ca="1">IFERROR(__xludf.DUMMYFUNCTION("GOOGLETRANSLATE('대전도시공사_청년임대주택 현황_20240630'!J463,""ko"",""en"")"),"258100")</f>
        <v>258100</v>
      </c>
    </row>
    <row r="464" spans="1:10" ht="12.5" x14ac:dyDescent="0.25">
      <c r="A464" s="1" t="str">
        <f ca="1">IFERROR(__xludf.DUMMYFUNCTION("GOOGLETRANSLATE('대전도시공사_청년임대주택 현황_20240630'!A464,""ko"",""en"")"),"540-8 Bongmyeong-dong (Haenarae, youth rental)")</f>
        <v>540-8 Bongmyeong-dong (Haenarae, youth rental)</v>
      </c>
      <c r="B464" s="1" t="str">
        <f ca="1">IFERROR(__xludf.DUMMYFUNCTION("GOOGLETRANSLATE('대전도시공사_청년임대주택 현황_20240630'!B464,""ko"",""en"")"),"58")</f>
        <v>58</v>
      </c>
      <c r="C464" s="1" t="str">
        <f ca="1">IFERROR(__xludf.DUMMYFUNCTION("GOOGLETRANSLATE('대전도시공사_청년임대주택 현황_20240630'!C464,""ko"",""en"")"),"1")</f>
        <v>1</v>
      </c>
      <c r="D464" s="1" t="str">
        <f ca="1">IFERROR(__xludf.DUMMYFUNCTION("GOOGLETRANSLATE('대전도시공사_청년임대주택 현황_20240630'!D464,""ko"",""en"")"),"802")</f>
        <v>802</v>
      </c>
      <c r="E464" s="1" t="str">
        <f ca="1">IFERROR(__xludf.DUMMYFUNCTION("GOOGLETRANSLATE('대전도시공사_청년임대주택 현황_20240630'!E464,""ko"",""en"")"),"58.799")</f>
        <v>58.799</v>
      </c>
      <c r="F464" s="1" t="str">
        <f ca="1">IFERROR(__xludf.DUMMYFUNCTION("GOOGLETRANSLATE('대전도시공사_청년임대주택 현황_20240630'!F464,""ko"",""en"")"),"24.279")</f>
        <v>24.279</v>
      </c>
      <c r="G464" s="1" t="str">
        <f ca="1">IFERROR(__xludf.DUMMYFUNCTION("GOOGLETRANSLATE('대전도시공사_청년임대주택 현황_20240630'!G464,""ko"",""en"")"),"34.519")</f>
        <v>34.519</v>
      </c>
      <c r="H464" s="1" t="str">
        <f ca="1">IFERROR(__xludf.DUMMYFUNCTION("GOOGLETRANSLATE('대전도시공사_청년임대주택 현황_20240630'!H464,""ko"",""en"")"),"Youth Rent 1st Place")</f>
        <v>Youth Rent 1st Place</v>
      </c>
      <c r="I464" s="1" t="str">
        <f ca="1">IFERROR(__xludf.DUMMYFUNCTION("GOOGLETRANSLATE('대전도시공사_청년임대주택 현황_20240630'!I464,""ko"",""en"")"),"1000000")</f>
        <v>1000000</v>
      </c>
      <c r="J464" s="1" t="str">
        <f ca="1">IFERROR(__xludf.DUMMYFUNCTION("GOOGLETRANSLATE('대전도시공사_청년임대주택 현황_20240630'!J464,""ko"",""en"")"),"224600")</f>
        <v>224600</v>
      </c>
    </row>
    <row r="465" spans="1:10" ht="12.5" x14ac:dyDescent="0.25">
      <c r="A465" s="1" t="str">
        <f ca="1">IFERROR(__xludf.DUMMYFUNCTION("GOOGLETRANSLATE('대전도시공사_청년임대주택 현황_20240630'!A465,""ko"",""en"")"),"540-8 Bongmyeong-dong (Haenarae, youth rental)")</f>
        <v>540-8 Bongmyeong-dong (Haenarae, youth rental)</v>
      </c>
      <c r="B465" s="1" t="str">
        <f ca="1">IFERROR(__xludf.DUMMYFUNCTION("GOOGLETRANSLATE('대전도시공사_청년임대주택 현황_20240630'!B465,""ko"",""en"")"),"59")</f>
        <v>59</v>
      </c>
      <c r="C465" s="1" t="str">
        <f ca="1">IFERROR(__xludf.DUMMYFUNCTION("GOOGLETRANSLATE('대전도시공사_청년임대주택 현황_20240630'!C465,""ko"",""en"")"),"1")</f>
        <v>1</v>
      </c>
      <c r="D465" s="1" t="str">
        <f ca="1">IFERROR(__xludf.DUMMYFUNCTION("GOOGLETRANSLATE('대전도시공사_청년임대주택 현황_20240630'!D465,""ko"",""en"")"),"802")</f>
        <v>802</v>
      </c>
      <c r="E465" s="1" t="str">
        <f ca="1">IFERROR(__xludf.DUMMYFUNCTION("GOOGLETRANSLATE('대전도시공사_청년임대주택 현황_20240630'!E465,""ko"",""en"")"),"58.799")</f>
        <v>58.799</v>
      </c>
      <c r="F465" s="1" t="str">
        <f ca="1">IFERROR(__xludf.DUMMYFUNCTION("GOOGLETRANSLATE('대전도시공사_청년임대주택 현황_20240630'!F465,""ko"",""en"")"),"24.279")</f>
        <v>24.279</v>
      </c>
      <c r="G465" s="1" t="str">
        <f ca="1">IFERROR(__xludf.DUMMYFUNCTION("GOOGLETRANSLATE('대전도시공사_청년임대주택 현황_20240630'!G465,""ko"",""en"")"),"34.519")</f>
        <v>34.519</v>
      </c>
      <c r="H465" s="1" t="str">
        <f ca="1">IFERROR(__xludf.DUMMYFUNCTION("GOOGLETRANSLATE('대전도시공사_청년임대주택 현황_20240630'!H465,""ko"",""en"")"),"Youth Rental 2nd Place")</f>
        <v>Youth Rental 2nd Place</v>
      </c>
      <c r="I465" s="1" t="str">
        <f ca="1">IFERROR(__xludf.DUMMYFUNCTION("GOOGLETRANSLATE('대전도시공사_청년임대주택 현황_20240630'!I465,""ko"",""en"")"),"2000000")</f>
        <v>2000000</v>
      </c>
      <c r="J465" s="1" t="str">
        <f ca="1">IFERROR(__xludf.DUMMYFUNCTION("GOOGLETRANSLATE('대전도시공사_청년임대주택 현황_20240630'!J465,""ko"",""en"")"),"276500")</f>
        <v>276500</v>
      </c>
    </row>
    <row r="466" spans="1:10" ht="12.5" x14ac:dyDescent="0.25">
      <c r="A466" s="1" t="str">
        <f ca="1">IFERROR(__xludf.DUMMYFUNCTION("GOOGLETRANSLATE('대전도시공사_청년임대주택 현황_20240630'!A466,""ko"",""en"")"),"540-8 Bongmyeong-dong (Haenarae, youth rental)")</f>
        <v>540-8 Bongmyeong-dong (Haenarae, youth rental)</v>
      </c>
      <c r="B466" s="1" t="str">
        <f ca="1">IFERROR(__xludf.DUMMYFUNCTION("GOOGLETRANSLATE('대전도시공사_청년임대주택 현황_20240630'!B466,""ko"",""en"")"),"60")</f>
        <v>60</v>
      </c>
      <c r="C466" s="1" t="str">
        <f ca="1">IFERROR(__xludf.DUMMYFUNCTION("GOOGLETRANSLATE('대전도시공사_청년임대주택 현황_20240630'!C466,""ko"",""en"")"),"1")</f>
        <v>1</v>
      </c>
      <c r="D466" s="1" t="str">
        <f ca="1">IFERROR(__xludf.DUMMYFUNCTION("GOOGLETRANSLATE('대전도시공사_청년임대주택 현황_20240630'!D466,""ko"",""en"")"),"802")</f>
        <v>802</v>
      </c>
      <c r="E466" s="1" t="str">
        <f ca="1">IFERROR(__xludf.DUMMYFUNCTION("GOOGLETRANSLATE('대전도시공사_청년임대주택 현황_20240630'!E466,""ko"",""en"")"),"58.799")</f>
        <v>58.799</v>
      </c>
      <c r="F466" s="1" t="str">
        <f ca="1">IFERROR(__xludf.DUMMYFUNCTION("GOOGLETRANSLATE('대전도시공사_청년임대주택 현황_20240630'!F466,""ko"",""en"")"),"24.279")</f>
        <v>24.279</v>
      </c>
      <c r="G466" s="1" t="str">
        <f ca="1">IFERROR(__xludf.DUMMYFUNCTION("GOOGLETRANSLATE('대전도시공사_청년임대주택 현황_20240630'!G466,""ko"",""en"")"),"34.519")</f>
        <v>34.519</v>
      </c>
      <c r="H466" s="1" t="str">
        <f ca="1">IFERROR(__xludf.DUMMYFUNCTION("GOOGLETRANSLATE('대전도시공사_청년임대주택 현황_20240630'!H466,""ko"",""en"")"),"3rd place for youth rental")</f>
        <v>3rd place for youth rental</v>
      </c>
      <c r="I466" s="1" t="str">
        <f ca="1">IFERROR(__xludf.DUMMYFUNCTION("GOOGLETRANSLATE('대전도시공사_청년임대주택 현황_20240630'!I466,""ko"",""en"")"),"2000000")</f>
        <v>2000000</v>
      </c>
      <c r="J466" s="1" t="str">
        <f ca="1">IFERROR(__xludf.DUMMYFUNCTION("GOOGLETRANSLATE('대전도시공사_청년임대주택 현황_20240630'!J466,""ko"",""en"")"),"276500")</f>
        <v>276500</v>
      </c>
    </row>
    <row r="467" spans="1:10" ht="12.5" x14ac:dyDescent="0.25">
      <c r="A467" s="1" t="str">
        <f ca="1">IFERROR(__xludf.DUMMYFUNCTION("GOOGLETRANSLATE('대전도시공사_청년임대주택 현황_20240630'!A467,""ko"",""en"")"),"540-8 Bongmyeong-dong (Haenarae, youth rental)")</f>
        <v>540-8 Bongmyeong-dong (Haenarae, youth rental)</v>
      </c>
      <c r="B467" s="1" t="str">
        <f ca="1">IFERROR(__xludf.DUMMYFUNCTION("GOOGLETRANSLATE('대전도시공사_청년임대주택 현황_20240630'!B467,""ko"",""en"")"),"61")</f>
        <v>61</v>
      </c>
      <c r="C467" s="1" t="str">
        <f ca="1">IFERROR(__xludf.DUMMYFUNCTION("GOOGLETRANSLATE('대전도시공사_청년임대주택 현황_20240630'!C467,""ko"",""en"")"),"1")</f>
        <v>1</v>
      </c>
      <c r="D467" s="1" t="str">
        <f ca="1">IFERROR(__xludf.DUMMYFUNCTION("GOOGLETRANSLATE('대전도시공사_청년임대주택 현황_20240630'!D467,""ko"",""en"")"),"803")</f>
        <v>803</v>
      </c>
      <c r="E467" s="1" t="str">
        <f ca="1">IFERROR(__xludf.DUMMYFUNCTION("GOOGLETRANSLATE('대전도시공사_청년임대주택 현황_20240630'!E467,""ko"",""en"")"),"58.799")</f>
        <v>58.799</v>
      </c>
      <c r="F467" s="1" t="str">
        <f ca="1">IFERROR(__xludf.DUMMYFUNCTION("GOOGLETRANSLATE('대전도시공사_청년임대주택 현황_20240630'!F467,""ko"",""en"")"),"24.279")</f>
        <v>24.279</v>
      </c>
      <c r="G467" s="1" t="str">
        <f ca="1">IFERROR(__xludf.DUMMYFUNCTION("GOOGLETRANSLATE('대전도시공사_청년임대주택 현황_20240630'!G467,""ko"",""en"")"),"34.519")</f>
        <v>34.519</v>
      </c>
      <c r="H467" s="1" t="str">
        <f ca="1">IFERROR(__xludf.DUMMYFUNCTION("GOOGLETRANSLATE('대전도시공사_청년임대주택 현황_20240630'!H467,""ko"",""en"")"),"Youth Rent 1st Place")</f>
        <v>Youth Rent 1st Place</v>
      </c>
      <c r="I467" s="1" t="str">
        <f ca="1">IFERROR(__xludf.DUMMYFUNCTION("GOOGLETRANSLATE('대전도시공사_청년임대주택 현황_20240630'!I467,""ko"",""en"")"),"1000000")</f>
        <v>1000000</v>
      </c>
      <c r="J467" s="1" t="str">
        <f ca="1">IFERROR(__xludf.DUMMYFUNCTION("GOOGLETRANSLATE('대전도시공사_청년임대주택 현황_20240630'!J467,""ko"",""en"")"),"224600")</f>
        <v>224600</v>
      </c>
    </row>
    <row r="468" spans="1:10" ht="12.5" x14ac:dyDescent="0.25">
      <c r="A468" s="1" t="str">
        <f ca="1">IFERROR(__xludf.DUMMYFUNCTION("GOOGLETRANSLATE('대전도시공사_청년임대주택 현황_20240630'!A468,""ko"",""en"")"),"540-8 Bongmyeong-dong (Haenarae, youth rental)")</f>
        <v>540-8 Bongmyeong-dong (Haenarae, youth rental)</v>
      </c>
      <c r="B468" s="1" t="str">
        <f ca="1">IFERROR(__xludf.DUMMYFUNCTION("GOOGLETRANSLATE('대전도시공사_청년임대주택 현황_20240630'!B468,""ko"",""en"")"),"62")</f>
        <v>62</v>
      </c>
      <c r="C468" s="1" t="str">
        <f ca="1">IFERROR(__xludf.DUMMYFUNCTION("GOOGLETRANSLATE('대전도시공사_청년임대주택 현황_20240630'!C468,""ko"",""en"")"),"1")</f>
        <v>1</v>
      </c>
      <c r="D468" s="1" t="str">
        <f ca="1">IFERROR(__xludf.DUMMYFUNCTION("GOOGLETRANSLATE('대전도시공사_청년임대주택 현황_20240630'!D468,""ko"",""en"")"),"803")</f>
        <v>803</v>
      </c>
      <c r="E468" s="1" t="str">
        <f ca="1">IFERROR(__xludf.DUMMYFUNCTION("GOOGLETRANSLATE('대전도시공사_청년임대주택 현황_20240630'!E468,""ko"",""en"")"),"58.799")</f>
        <v>58.799</v>
      </c>
      <c r="F468" s="1" t="str">
        <f ca="1">IFERROR(__xludf.DUMMYFUNCTION("GOOGLETRANSLATE('대전도시공사_청년임대주택 현황_20240630'!F468,""ko"",""en"")"),"24.279")</f>
        <v>24.279</v>
      </c>
      <c r="G468" s="1" t="str">
        <f ca="1">IFERROR(__xludf.DUMMYFUNCTION("GOOGLETRANSLATE('대전도시공사_청년임대주택 현황_20240630'!G468,""ko"",""en"")"),"34.519")</f>
        <v>34.519</v>
      </c>
      <c r="H468" s="1" t="str">
        <f ca="1">IFERROR(__xludf.DUMMYFUNCTION("GOOGLETRANSLATE('대전도시공사_청년임대주택 현황_20240630'!H468,""ko"",""en"")"),"Youth Rental 2nd Place")</f>
        <v>Youth Rental 2nd Place</v>
      </c>
      <c r="I468" s="1" t="str">
        <f ca="1">IFERROR(__xludf.DUMMYFUNCTION("GOOGLETRANSLATE('대전도시공사_청년임대주택 현황_20240630'!I468,""ko"",""en"")"),"2000000")</f>
        <v>2000000</v>
      </c>
      <c r="J468" s="1" t="str">
        <f ca="1">IFERROR(__xludf.DUMMYFUNCTION("GOOGLETRANSLATE('대전도시공사_청년임대주택 현황_20240630'!J468,""ko"",""en"")"),"276500")</f>
        <v>276500</v>
      </c>
    </row>
    <row r="469" spans="1:10" ht="12.5" x14ac:dyDescent="0.25">
      <c r="A469" s="1" t="str">
        <f ca="1">IFERROR(__xludf.DUMMYFUNCTION("GOOGLETRANSLATE('대전도시공사_청년임대주택 현황_20240630'!A469,""ko"",""en"")"),"540-8 Bongmyeong-dong (Haenarae, youth rental)")</f>
        <v>540-8 Bongmyeong-dong (Haenarae, youth rental)</v>
      </c>
      <c r="B469" s="1" t="str">
        <f ca="1">IFERROR(__xludf.DUMMYFUNCTION("GOOGLETRANSLATE('대전도시공사_청년임대주택 현황_20240630'!B469,""ko"",""en"")"),"63")</f>
        <v>63</v>
      </c>
      <c r="C469" s="1" t="str">
        <f ca="1">IFERROR(__xludf.DUMMYFUNCTION("GOOGLETRANSLATE('대전도시공사_청년임대주택 현황_20240630'!C469,""ko"",""en"")"),"1")</f>
        <v>1</v>
      </c>
      <c r="D469" s="1" t="str">
        <f ca="1">IFERROR(__xludf.DUMMYFUNCTION("GOOGLETRANSLATE('대전도시공사_청년임대주택 현황_20240630'!D469,""ko"",""en"")"),"803")</f>
        <v>803</v>
      </c>
      <c r="E469" s="1" t="str">
        <f ca="1">IFERROR(__xludf.DUMMYFUNCTION("GOOGLETRANSLATE('대전도시공사_청년임대주택 현황_20240630'!E469,""ko"",""en"")"),"58.799")</f>
        <v>58.799</v>
      </c>
      <c r="F469" s="1" t="str">
        <f ca="1">IFERROR(__xludf.DUMMYFUNCTION("GOOGLETRANSLATE('대전도시공사_청년임대주택 현황_20240630'!F469,""ko"",""en"")"),"24.279")</f>
        <v>24.279</v>
      </c>
      <c r="G469" s="1" t="str">
        <f ca="1">IFERROR(__xludf.DUMMYFUNCTION("GOOGLETRANSLATE('대전도시공사_청년임대주택 현황_20240630'!G469,""ko"",""en"")"),"34.519")</f>
        <v>34.519</v>
      </c>
      <c r="H469" s="1" t="str">
        <f ca="1">IFERROR(__xludf.DUMMYFUNCTION("GOOGLETRANSLATE('대전도시공사_청년임대주택 현황_20240630'!H469,""ko"",""en"")"),"3rd place for youth rental")</f>
        <v>3rd place for youth rental</v>
      </c>
      <c r="I469" s="1" t="str">
        <f ca="1">IFERROR(__xludf.DUMMYFUNCTION("GOOGLETRANSLATE('대전도시공사_청년임대주택 현황_20240630'!I469,""ko"",""en"")"),"2000000")</f>
        <v>2000000</v>
      </c>
      <c r="J469" s="1" t="str">
        <f ca="1">IFERROR(__xludf.DUMMYFUNCTION("GOOGLETRANSLATE('대전도시공사_청년임대주택 현황_20240630'!J469,""ko"",""en"")"),"276500")</f>
        <v>276500</v>
      </c>
    </row>
    <row r="470" spans="1:10" ht="12.5" x14ac:dyDescent="0.25">
      <c r="A470" s="1" t="str">
        <f ca="1">IFERROR(__xludf.DUMMYFUNCTION("GOOGLETRANSLATE('대전도시공사_청년임대주택 현황_20240630'!A470,""ko"",""en"")"),"540-8 Bongmyeong-dong (Haenarae, youth rental)")</f>
        <v>540-8 Bongmyeong-dong (Haenarae, youth rental)</v>
      </c>
      <c r="B470" s="1" t="str">
        <f ca="1">IFERROR(__xludf.DUMMYFUNCTION("GOOGLETRANSLATE('대전도시공사_청년임대주택 현황_20240630'!B470,""ko"",""en"")"),"64")</f>
        <v>64</v>
      </c>
      <c r="C470" s="1" t="str">
        <f ca="1">IFERROR(__xludf.DUMMYFUNCTION("GOOGLETRANSLATE('대전도시공사_청년임대주택 현황_20240630'!C470,""ko"",""en"")"),"1")</f>
        <v>1</v>
      </c>
      <c r="D470" s="1" t="str">
        <f ca="1">IFERROR(__xludf.DUMMYFUNCTION("GOOGLETRANSLATE('대전도시공사_청년임대주택 현황_20240630'!D470,""ko"",""en"")"),"804")</f>
        <v>804</v>
      </c>
      <c r="E470" s="1" t="str">
        <f ca="1">IFERROR(__xludf.DUMMYFUNCTION("GOOGLETRANSLATE('대전도시공사_청년임대주택 현황_20240630'!E470,""ko"",""en"")"),"58.799")</f>
        <v>58.799</v>
      </c>
      <c r="F470" s="1" t="str">
        <f ca="1">IFERROR(__xludf.DUMMYFUNCTION("GOOGLETRANSLATE('대전도시공사_청년임대주택 현황_20240630'!F470,""ko"",""en"")"),"24.279")</f>
        <v>24.279</v>
      </c>
      <c r="G470" s="1" t="str">
        <f ca="1">IFERROR(__xludf.DUMMYFUNCTION("GOOGLETRANSLATE('대전도시공사_청년임대주택 현황_20240630'!G470,""ko"",""en"")"),"34.519")</f>
        <v>34.519</v>
      </c>
      <c r="H470" s="1" t="str">
        <f ca="1">IFERROR(__xludf.DUMMYFUNCTION("GOOGLETRANSLATE('대전도시공사_청년임대주택 현황_20240630'!H470,""ko"",""en"")"),"Youth Rent 1st Place")</f>
        <v>Youth Rent 1st Place</v>
      </c>
      <c r="I470" s="1" t="str">
        <f ca="1">IFERROR(__xludf.DUMMYFUNCTION("GOOGLETRANSLATE('대전도시공사_청년임대주택 현황_20240630'!I470,""ko"",""en"")"),"1000000")</f>
        <v>1000000</v>
      </c>
      <c r="J470" s="1" t="str">
        <f ca="1">IFERROR(__xludf.DUMMYFUNCTION("GOOGLETRANSLATE('대전도시공사_청년임대주택 현황_20240630'!J470,""ko"",""en"")"),"224600")</f>
        <v>224600</v>
      </c>
    </row>
    <row r="471" spans="1:10" ht="12.5" x14ac:dyDescent="0.25">
      <c r="A471" s="1" t="str">
        <f ca="1">IFERROR(__xludf.DUMMYFUNCTION("GOOGLETRANSLATE('대전도시공사_청년임대주택 현황_20240630'!A471,""ko"",""en"")"),"540-8 Bongmyeong-dong (Haenarae, youth rental)")</f>
        <v>540-8 Bongmyeong-dong (Haenarae, youth rental)</v>
      </c>
      <c r="B471" s="1" t="str">
        <f ca="1">IFERROR(__xludf.DUMMYFUNCTION("GOOGLETRANSLATE('대전도시공사_청년임대주택 현황_20240630'!B471,""ko"",""en"")"),"65")</f>
        <v>65</v>
      </c>
      <c r="C471" s="1" t="str">
        <f ca="1">IFERROR(__xludf.DUMMYFUNCTION("GOOGLETRANSLATE('대전도시공사_청년임대주택 현황_20240630'!C471,""ko"",""en"")"),"1")</f>
        <v>1</v>
      </c>
      <c r="D471" s="1" t="str">
        <f ca="1">IFERROR(__xludf.DUMMYFUNCTION("GOOGLETRANSLATE('대전도시공사_청년임대주택 현황_20240630'!D471,""ko"",""en"")"),"804")</f>
        <v>804</v>
      </c>
      <c r="E471" s="1" t="str">
        <f ca="1">IFERROR(__xludf.DUMMYFUNCTION("GOOGLETRANSLATE('대전도시공사_청년임대주택 현황_20240630'!E471,""ko"",""en"")"),"58.799")</f>
        <v>58.799</v>
      </c>
      <c r="F471" s="1" t="str">
        <f ca="1">IFERROR(__xludf.DUMMYFUNCTION("GOOGLETRANSLATE('대전도시공사_청년임대주택 현황_20240630'!F471,""ko"",""en"")"),"24.279")</f>
        <v>24.279</v>
      </c>
      <c r="G471" s="1" t="str">
        <f ca="1">IFERROR(__xludf.DUMMYFUNCTION("GOOGLETRANSLATE('대전도시공사_청년임대주택 현황_20240630'!G471,""ko"",""en"")"),"34.519")</f>
        <v>34.519</v>
      </c>
      <c r="H471" s="1" t="str">
        <f ca="1">IFERROR(__xludf.DUMMYFUNCTION("GOOGLETRANSLATE('대전도시공사_청년임대주택 현황_20240630'!H471,""ko"",""en"")"),"Youth Rental 2nd Place")</f>
        <v>Youth Rental 2nd Place</v>
      </c>
      <c r="I471" s="1" t="str">
        <f ca="1">IFERROR(__xludf.DUMMYFUNCTION("GOOGLETRANSLATE('대전도시공사_청년임대주택 현황_20240630'!I471,""ko"",""en"")"),"2000000")</f>
        <v>2000000</v>
      </c>
      <c r="J471" s="1" t="str">
        <f ca="1">IFERROR(__xludf.DUMMYFUNCTION("GOOGLETRANSLATE('대전도시공사_청년임대주택 현황_20240630'!J471,""ko"",""en"")"),"276500")</f>
        <v>276500</v>
      </c>
    </row>
    <row r="472" spans="1:10" ht="12.5" x14ac:dyDescent="0.25">
      <c r="A472" s="1" t="str">
        <f ca="1">IFERROR(__xludf.DUMMYFUNCTION("GOOGLETRANSLATE('대전도시공사_청년임대주택 현황_20240630'!A472,""ko"",""en"")"),"540-8 Bongmyeong-dong (Haenarae, youth rental)")</f>
        <v>540-8 Bongmyeong-dong (Haenarae, youth rental)</v>
      </c>
      <c r="B472" s="1" t="str">
        <f ca="1">IFERROR(__xludf.DUMMYFUNCTION("GOOGLETRANSLATE('대전도시공사_청년임대주택 현황_20240630'!B472,""ko"",""en"")"),"66")</f>
        <v>66</v>
      </c>
      <c r="C472" s="1" t="str">
        <f ca="1">IFERROR(__xludf.DUMMYFUNCTION("GOOGLETRANSLATE('대전도시공사_청년임대주택 현황_20240630'!C472,""ko"",""en"")"),"1")</f>
        <v>1</v>
      </c>
      <c r="D472" s="1" t="str">
        <f ca="1">IFERROR(__xludf.DUMMYFUNCTION("GOOGLETRANSLATE('대전도시공사_청년임대주택 현황_20240630'!D472,""ko"",""en"")"),"804")</f>
        <v>804</v>
      </c>
      <c r="E472" s="1" t="str">
        <f ca="1">IFERROR(__xludf.DUMMYFUNCTION("GOOGLETRANSLATE('대전도시공사_청년임대주택 현황_20240630'!E472,""ko"",""en"")"),"58.799")</f>
        <v>58.799</v>
      </c>
      <c r="F472" s="1" t="str">
        <f ca="1">IFERROR(__xludf.DUMMYFUNCTION("GOOGLETRANSLATE('대전도시공사_청년임대주택 현황_20240630'!F472,""ko"",""en"")"),"24.279")</f>
        <v>24.279</v>
      </c>
      <c r="G472" s="1" t="str">
        <f ca="1">IFERROR(__xludf.DUMMYFUNCTION("GOOGLETRANSLATE('대전도시공사_청년임대주택 현황_20240630'!G472,""ko"",""en"")"),"34.519")</f>
        <v>34.519</v>
      </c>
      <c r="H472" s="1" t="str">
        <f ca="1">IFERROR(__xludf.DUMMYFUNCTION("GOOGLETRANSLATE('대전도시공사_청년임대주택 현황_20240630'!H472,""ko"",""en"")"),"3rd place for youth rental")</f>
        <v>3rd place for youth rental</v>
      </c>
      <c r="I472" s="1" t="str">
        <f ca="1">IFERROR(__xludf.DUMMYFUNCTION("GOOGLETRANSLATE('대전도시공사_청년임대주택 현황_20240630'!I472,""ko"",""en"")"),"2000000")</f>
        <v>2000000</v>
      </c>
      <c r="J472" s="1" t="str">
        <f ca="1">IFERROR(__xludf.DUMMYFUNCTION("GOOGLETRANSLATE('대전도시공사_청년임대주택 현황_20240630'!J472,""ko"",""en"")"),"276500")</f>
        <v>276500</v>
      </c>
    </row>
    <row r="473" spans="1:10" ht="12.5" x14ac:dyDescent="0.25">
      <c r="A473" s="1" t="str">
        <f ca="1">IFERROR(__xludf.DUMMYFUNCTION("GOOGLETRANSLATE('대전도시공사_청년임대주택 현황_20240630'!A473,""ko"",""en"")"),"540-8 Bongmyeong-dong (Haenarae, youth rental)")</f>
        <v>540-8 Bongmyeong-dong (Haenarae, youth rental)</v>
      </c>
      <c r="B473" s="1" t="str">
        <f ca="1">IFERROR(__xludf.DUMMYFUNCTION("GOOGLETRANSLATE('대전도시공사_청년임대주택 현황_20240630'!B473,""ko"",""en"")"),"79")</f>
        <v>79</v>
      </c>
      <c r="C473" s="1" t="str">
        <f ca="1">IFERROR(__xludf.DUMMYFUNCTION("GOOGLETRANSLATE('대전도시공사_청년임대주택 현황_20240630'!C473,""ko"",""en"")"),"1")</f>
        <v>1</v>
      </c>
      <c r="D473" s="1" t="str">
        <f ca="1">IFERROR(__xludf.DUMMYFUNCTION("GOOGLETRANSLATE('대전도시공사_청년임대주택 현황_20240630'!D473,""ko"",""en"")"),"815")</f>
        <v>815</v>
      </c>
      <c r="E473" s="1" t="str">
        <f ca="1">IFERROR(__xludf.DUMMYFUNCTION("GOOGLETRANSLATE('대전도시공사_청년임대주택 현황_20240630'!E473,""ko"",""en"")"),"46.296")</f>
        <v>46.296</v>
      </c>
      <c r="F473" s="1" t="str">
        <f ca="1">IFERROR(__xludf.DUMMYFUNCTION("GOOGLETRANSLATE('대전도시공사_청년임대주택 현황_20240630'!F473,""ko"",""en"")"),"18.459")</f>
        <v>18.459</v>
      </c>
      <c r="G473" s="1" t="str">
        <f ca="1">IFERROR(__xludf.DUMMYFUNCTION("GOOGLETRANSLATE('대전도시공사_청년임대주택 현황_20240630'!G473,""ko"",""en"")"),"27.837")</f>
        <v>27.837</v>
      </c>
      <c r="H473" s="1" t="str">
        <f ca="1">IFERROR(__xludf.DUMMYFUNCTION("GOOGLETRANSLATE('대전도시공사_청년임대주택 현황_20240630'!H473,""ko"",""en"")"),"Youth Rent 1st Place")</f>
        <v>Youth Rent 1st Place</v>
      </c>
      <c r="I473" s="1" t="str">
        <f ca="1">IFERROR(__xludf.DUMMYFUNCTION("GOOGLETRANSLATE('대전도시공사_청년임대주택 현황_20240630'!I473,""ko"",""en"")"),"1000000")</f>
        <v>1000000</v>
      </c>
      <c r="J473" s="1" t="str">
        <f ca="1">IFERROR(__xludf.DUMMYFUNCTION("GOOGLETRANSLATE('대전도시공사_청년임대주택 현황_20240630'!J473,""ko"",""en"")"),"209900")</f>
        <v>209900</v>
      </c>
    </row>
    <row r="474" spans="1:10" ht="12.5" x14ac:dyDescent="0.25">
      <c r="A474" s="1" t="str">
        <f ca="1">IFERROR(__xludf.DUMMYFUNCTION("GOOGLETRANSLATE('대전도시공사_청년임대주택 현황_20240630'!A474,""ko"",""en"")"),"540-8 Bongmyeong-dong (Haenarae, youth rental)")</f>
        <v>540-8 Bongmyeong-dong (Haenarae, youth rental)</v>
      </c>
      <c r="B474" s="1" t="str">
        <f ca="1">IFERROR(__xludf.DUMMYFUNCTION("GOOGLETRANSLATE('대전도시공사_청년임대주택 현황_20240630'!B474,""ko"",""en"")"),"80")</f>
        <v>80</v>
      </c>
      <c r="C474" s="1" t="str">
        <f ca="1">IFERROR(__xludf.DUMMYFUNCTION("GOOGLETRANSLATE('대전도시공사_청년임대주택 현황_20240630'!C474,""ko"",""en"")"),"1")</f>
        <v>1</v>
      </c>
      <c r="D474" s="1" t="str">
        <f ca="1">IFERROR(__xludf.DUMMYFUNCTION("GOOGLETRANSLATE('대전도시공사_청년임대주택 현황_20240630'!D474,""ko"",""en"")"),"815")</f>
        <v>815</v>
      </c>
      <c r="E474" s="1" t="str">
        <f ca="1">IFERROR(__xludf.DUMMYFUNCTION("GOOGLETRANSLATE('대전도시공사_청년임대주택 현황_20240630'!E474,""ko"",""en"")"),"46.296")</f>
        <v>46.296</v>
      </c>
      <c r="F474" s="1" t="str">
        <f ca="1">IFERROR(__xludf.DUMMYFUNCTION("GOOGLETRANSLATE('대전도시공사_청년임대주택 현황_20240630'!F474,""ko"",""en"")"),"18.459")</f>
        <v>18.459</v>
      </c>
      <c r="G474" s="1" t="str">
        <f ca="1">IFERROR(__xludf.DUMMYFUNCTION("GOOGLETRANSLATE('대전도시공사_청년임대주택 현황_20240630'!G474,""ko"",""en"")"),"27.837")</f>
        <v>27.837</v>
      </c>
      <c r="H474" s="1" t="str">
        <f ca="1">IFERROR(__xludf.DUMMYFUNCTION("GOOGLETRANSLATE('대전도시공사_청년임대주택 현황_20240630'!H474,""ko"",""en"")"),"Youth Rental 2nd Place")</f>
        <v>Youth Rental 2nd Place</v>
      </c>
      <c r="I474" s="1" t="str">
        <f ca="1">IFERROR(__xludf.DUMMYFUNCTION("GOOGLETRANSLATE('대전도시공사_청년임대주택 현황_20240630'!I474,""ko"",""en"")"),"2000000")</f>
        <v>2000000</v>
      </c>
      <c r="J474" s="1" t="str">
        <f ca="1">IFERROR(__xludf.DUMMYFUNCTION("GOOGLETRANSLATE('대전도시공사_청년임대주택 현황_20240630'!J474,""ko"",""en"")"),"258200")</f>
        <v>258200</v>
      </c>
    </row>
    <row r="475" spans="1:10" ht="12.5" x14ac:dyDescent="0.25">
      <c r="A475" s="1" t="str">
        <f ca="1">IFERROR(__xludf.DUMMYFUNCTION("GOOGLETRANSLATE('대전도시공사_청년임대주택 현황_20240630'!A475,""ko"",""en"")"),"540-8 Bongmyeong-dong (Haenarae, youth rental)")</f>
        <v>540-8 Bongmyeong-dong (Haenarae, youth rental)</v>
      </c>
      <c r="B475" s="1" t="str">
        <f ca="1">IFERROR(__xludf.DUMMYFUNCTION("GOOGLETRANSLATE('대전도시공사_청년임대주택 현황_20240630'!B475,""ko"",""en"")"),"81")</f>
        <v>81</v>
      </c>
      <c r="C475" s="1" t="str">
        <f ca="1">IFERROR(__xludf.DUMMYFUNCTION("GOOGLETRANSLATE('대전도시공사_청년임대주택 현황_20240630'!C475,""ko"",""en"")"),"1")</f>
        <v>1</v>
      </c>
      <c r="D475" s="1" t="str">
        <f ca="1">IFERROR(__xludf.DUMMYFUNCTION("GOOGLETRANSLATE('대전도시공사_청년임대주택 현황_20240630'!D475,""ko"",""en"")"),"815")</f>
        <v>815</v>
      </c>
      <c r="E475" s="1" t="str">
        <f ca="1">IFERROR(__xludf.DUMMYFUNCTION("GOOGLETRANSLATE('대전도시공사_청년임대주택 현황_20240630'!E475,""ko"",""en"")"),"46.296")</f>
        <v>46.296</v>
      </c>
      <c r="F475" s="1" t="str">
        <f ca="1">IFERROR(__xludf.DUMMYFUNCTION("GOOGLETRANSLATE('대전도시공사_청년임대주택 현황_20240630'!F475,""ko"",""en"")"),"18.459")</f>
        <v>18.459</v>
      </c>
      <c r="G475" s="1" t="str">
        <f ca="1">IFERROR(__xludf.DUMMYFUNCTION("GOOGLETRANSLATE('대전도시공사_청년임대주택 현황_20240630'!G475,""ko"",""en"")"),"27.837")</f>
        <v>27.837</v>
      </c>
      <c r="H475" s="1" t="str">
        <f ca="1">IFERROR(__xludf.DUMMYFUNCTION("GOOGLETRANSLATE('대전도시공사_청년임대주택 현황_20240630'!H475,""ko"",""en"")"),"3rd place for youth rental")</f>
        <v>3rd place for youth rental</v>
      </c>
      <c r="I475" s="1" t="str">
        <f ca="1">IFERROR(__xludf.DUMMYFUNCTION("GOOGLETRANSLATE('대전도시공사_청년임대주택 현황_20240630'!I475,""ko"",""en"")"),"2000000")</f>
        <v>2000000</v>
      </c>
      <c r="J475" s="1" t="str">
        <f ca="1">IFERROR(__xludf.DUMMYFUNCTION("GOOGLETRANSLATE('대전도시공사_청년임대주택 현황_20240630'!J475,""ko"",""en"")"),"258200")</f>
        <v>258200</v>
      </c>
    </row>
    <row r="476" spans="1:10" ht="12.5" x14ac:dyDescent="0.25">
      <c r="A476" s="1" t="str">
        <f ca="1">IFERROR(__xludf.DUMMYFUNCTION("GOOGLETRANSLATE('대전도시공사_청년임대주택 현황_20240630'!A476,""ko"",""en"")"),"540-8 Bongmyeong-dong (Haenarae, youth rental)")</f>
        <v>540-8 Bongmyeong-dong (Haenarae, youth rental)</v>
      </c>
      <c r="B476" s="1" t="str">
        <f ca="1">IFERROR(__xludf.DUMMYFUNCTION("GOOGLETRANSLATE('대전도시공사_청년임대주택 현황_20240630'!B476,""ko"",""en"")"),"82")</f>
        <v>82</v>
      </c>
      <c r="C476" s="1" t="str">
        <f ca="1">IFERROR(__xludf.DUMMYFUNCTION("GOOGLETRANSLATE('대전도시공사_청년임대주택 현황_20240630'!C476,""ko"",""en"")"),"1")</f>
        <v>1</v>
      </c>
      <c r="D476" s="1" t="str">
        <f ca="1">IFERROR(__xludf.DUMMYFUNCTION("GOOGLETRANSLATE('대전도시공사_청년임대주택 현황_20240630'!D476,""ko"",""en"")"),"901")</f>
        <v>901</v>
      </c>
      <c r="E476" s="1" t="str">
        <f ca="1">IFERROR(__xludf.DUMMYFUNCTION("GOOGLETRANSLATE('대전도시공사_청년임대주택 현황_20240630'!E476,""ko"",""en"")"),"46.862")</f>
        <v>46.862</v>
      </c>
      <c r="F476" s="1" t="str">
        <f ca="1">IFERROR(__xludf.DUMMYFUNCTION("GOOGLETRANSLATE('대전도시공사_청년임대주택 현황_20240630'!F476,""ko"",""en"")"),"18.887")</f>
        <v>18.887</v>
      </c>
      <c r="G476" s="1" t="str">
        <f ca="1">IFERROR(__xludf.DUMMYFUNCTION("GOOGLETRANSLATE('대전도시공사_청년임대주택 현황_20240630'!G476,""ko"",""en"")"),"27.974")</f>
        <v>27.974</v>
      </c>
      <c r="H476" s="1" t="str">
        <f ca="1">IFERROR(__xludf.DUMMYFUNCTION("GOOGLETRANSLATE('대전도시공사_청년임대주택 현황_20240630'!H476,""ko"",""en"")"),"Youth Rent 1st Place")</f>
        <v>Youth Rent 1st Place</v>
      </c>
      <c r="I476" s="1" t="str">
        <f ca="1">IFERROR(__xludf.DUMMYFUNCTION("GOOGLETRANSLATE('대전도시공사_청년임대주택 현황_20240630'!I476,""ko"",""en"")"),"1000000")</f>
        <v>1000000</v>
      </c>
      <c r="J476" s="1" t="str">
        <f ca="1">IFERROR(__xludf.DUMMYFUNCTION("GOOGLETRANSLATE('대전도시공사_청년임대주택 현황_20240630'!J476,""ko"",""en"")"),"224600")</f>
        <v>224600</v>
      </c>
    </row>
    <row r="477" spans="1:10" ht="12.5" x14ac:dyDescent="0.25">
      <c r="A477" s="1" t="str">
        <f ca="1">IFERROR(__xludf.DUMMYFUNCTION("GOOGLETRANSLATE('대전도시공사_청년임대주택 현황_20240630'!A477,""ko"",""en"")"),"540-8 Bongmyeong-dong (Haenarae, youth rental)")</f>
        <v>540-8 Bongmyeong-dong (Haenarae, youth rental)</v>
      </c>
      <c r="B477" s="1" t="str">
        <f ca="1">IFERROR(__xludf.DUMMYFUNCTION("GOOGLETRANSLATE('대전도시공사_청년임대주택 현황_20240630'!B477,""ko"",""en"")"),"83")</f>
        <v>83</v>
      </c>
      <c r="C477" s="1" t="str">
        <f ca="1">IFERROR(__xludf.DUMMYFUNCTION("GOOGLETRANSLATE('대전도시공사_청년임대주택 현황_20240630'!C477,""ko"",""en"")"),"1")</f>
        <v>1</v>
      </c>
      <c r="D477" s="1" t="str">
        <f ca="1">IFERROR(__xludf.DUMMYFUNCTION("GOOGLETRANSLATE('대전도시공사_청년임대주택 현황_20240630'!D477,""ko"",""en"")"),"901")</f>
        <v>901</v>
      </c>
      <c r="E477" s="1" t="str">
        <f ca="1">IFERROR(__xludf.DUMMYFUNCTION("GOOGLETRANSLATE('대전도시공사_청년임대주택 현황_20240630'!E477,""ko"",""en"")"),"46.862")</f>
        <v>46.862</v>
      </c>
      <c r="F477" s="1" t="str">
        <f ca="1">IFERROR(__xludf.DUMMYFUNCTION("GOOGLETRANSLATE('대전도시공사_청년임대주택 현황_20240630'!F477,""ko"",""en"")"),"18.887")</f>
        <v>18.887</v>
      </c>
      <c r="G477" s="1" t="str">
        <f ca="1">IFERROR(__xludf.DUMMYFUNCTION("GOOGLETRANSLATE('대전도시공사_청년임대주택 현황_20240630'!G477,""ko"",""en"")"),"27.974")</f>
        <v>27.974</v>
      </c>
      <c r="H477" s="1" t="str">
        <f ca="1">IFERROR(__xludf.DUMMYFUNCTION("GOOGLETRANSLATE('대전도시공사_청년임대주택 현황_20240630'!H477,""ko"",""en"")"),"Youth Rental 2nd Place")</f>
        <v>Youth Rental 2nd Place</v>
      </c>
      <c r="I477" s="1" t="str">
        <f ca="1">IFERROR(__xludf.DUMMYFUNCTION("GOOGLETRANSLATE('대전도시공사_청년임대주택 현황_20240630'!I477,""ko"",""en"")"),"2000000")</f>
        <v>2000000</v>
      </c>
      <c r="J477" s="1" t="str">
        <f ca="1">IFERROR(__xludf.DUMMYFUNCTION("GOOGLETRANSLATE('대전도시공사_청년임대주택 현황_20240630'!J477,""ko"",""en"")"),"276600")</f>
        <v>276600</v>
      </c>
    </row>
    <row r="478" spans="1:10" ht="12.5" x14ac:dyDescent="0.25">
      <c r="A478" s="1" t="str">
        <f ca="1">IFERROR(__xludf.DUMMYFUNCTION("GOOGLETRANSLATE('대전도시공사_청년임대주택 현황_20240630'!A478,""ko"",""en"")"),"540-8 Bongmyeong-dong (Haenarae, youth rental)")</f>
        <v>540-8 Bongmyeong-dong (Haenarae, youth rental)</v>
      </c>
      <c r="B478" s="1" t="str">
        <f ca="1">IFERROR(__xludf.DUMMYFUNCTION("GOOGLETRANSLATE('대전도시공사_청년임대주택 현황_20240630'!B478,""ko"",""en"")"),"84")</f>
        <v>84</v>
      </c>
      <c r="C478" s="1" t="str">
        <f ca="1">IFERROR(__xludf.DUMMYFUNCTION("GOOGLETRANSLATE('대전도시공사_청년임대주택 현황_20240630'!C478,""ko"",""en"")"),"1")</f>
        <v>1</v>
      </c>
      <c r="D478" s="1" t="str">
        <f ca="1">IFERROR(__xludf.DUMMYFUNCTION("GOOGLETRANSLATE('대전도시공사_청년임대주택 현황_20240630'!D478,""ko"",""en"")"),"901")</f>
        <v>901</v>
      </c>
      <c r="E478" s="1" t="str">
        <f ca="1">IFERROR(__xludf.DUMMYFUNCTION("GOOGLETRANSLATE('대전도시공사_청년임대주택 현황_20240630'!E478,""ko"",""en"")"),"46.862")</f>
        <v>46.862</v>
      </c>
      <c r="F478" s="1" t="str">
        <f ca="1">IFERROR(__xludf.DUMMYFUNCTION("GOOGLETRANSLATE('대전도시공사_청년임대주택 현황_20240630'!F478,""ko"",""en"")"),"18.887")</f>
        <v>18.887</v>
      </c>
      <c r="G478" s="1" t="str">
        <f ca="1">IFERROR(__xludf.DUMMYFUNCTION("GOOGLETRANSLATE('대전도시공사_청년임대주택 현황_20240630'!G478,""ko"",""en"")"),"27.974")</f>
        <v>27.974</v>
      </c>
      <c r="H478" s="1" t="str">
        <f ca="1">IFERROR(__xludf.DUMMYFUNCTION("GOOGLETRANSLATE('대전도시공사_청년임대주택 현황_20240630'!H478,""ko"",""en"")"),"3rd place for youth rental")</f>
        <v>3rd place for youth rental</v>
      </c>
      <c r="I478" s="1" t="str">
        <f ca="1">IFERROR(__xludf.DUMMYFUNCTION("GOOGLETRANSLATE('대전도시공사_청년임대주택 현황_20240630'!I478,""ko"",""en"")"),"2000000")</f>
        <v>2000000</v>
      </c>
      <c r="J478" s="1" t="str">
        <f ca="1">IFERROR(__xludf.DUMMYFUNCTION("GOOGLETRANSLATE('대전도시공사_청년임대주택 현황_20240630'!J478,""ko"",""en"")"),"276600")</f>
        <v>276600</v>
      </c>
    </row>
    <row r="479" spans="1:10" ht="12.5" x14ac:dyDescent="0.25">
      <c r="A479" s="1" t="str">
        <f ca="1">IFERROR(__xludf.DUMMYFUNCTION("GOOGLETRANSLATE('대전도시공사_청년임대주택 현황_20240630'!A479,""ko"",""en"")"),"540-8 Bongmyeong-dong (Haenarae, youth rental)")</f>
        <v>540-8 Bongmyeong-dong (Haenarae, youth rental)</v>
      </c>
      <c r="B479" s="1" t="str">
        <f ca="1">IFERROR(__xludf.DUMMYFUNCTION("GOOGLETRANSLATE('대전도시공사_청년임대주택 현황_20240630'!B479,""ko"",""en"")"),"85")</f>
        <v>85</v>
      </c>
      <c r="C479" s="1" t="str">
        <f ca="1">IFERROR(__xludf.DUMMYFUNCTION("GOOGLETRANSLATE('대전도시공사_청년임대주택 현황_20240630'!C479,""ko"",""en"")"),"1")</f>
        <v>1</v>
      </c>
      <c r="D479" s="1" t="str">
        <f ca="1">IFERROR(__xludf.DUMMYFUNCTION("GOOGLETRANSLATE('대전도시공사_청년임대주택 현황_20240630'!D479,""ko"",""en"")"),"902")</f>
        <v>902</v>
      </c>
      <c r="E479" s="1" t="str">
        <f ca="1">IFERROR(__xludf.DUMMYFUNCTION("GOOGLETRANSLATE('대전도시공사_청년임대주택 현황_20240630'!E479,""ko"",""en"")"),"58.799")</f>
        <v>58.799</v>
      </c>
      <c r="F479" s="1" t="str">
        <f ca="1">IFERROR(__xludf.DUMMYFUNCTION("GOOGLETRANSLATE('대전도시공사_청년임대주택 현황_20240630'!F479,""ko"",""en"")"),"24.279")</f>
        <v>24.279</v>
      </c>
      <c r="G479" s="1" t="str">
        <f ca="1">IFERROR(__xludf.DUMMYFUNCTION("GOOGLETRANSLATE('대전도시공사_청년임대주택 현황_20240630'!G479,""ko"",""en"")"),"34.519")</f>
        <v>34.519</v>
      </c>
      <c r="H479" s="1" t="str">
        <f ca="1">IFERROR(__xludf.DUMMYFUNCTION("GOOGLETRANSLATE('대전도시공사_청년임대주택 현황_20240630'!H479,""ko"",""en"")"),"Youth Rent 1st Place")</f>
        <v>Youth Rent 1st Place</v>
      </c>
      <c r="I479" s="1" t="str">
        <f ca="1">IFERROR(__xludf.DUMMYFUNCTION("GOOGLETRANSLATE('대전도시공사_청년임대주택 현황_20240630'!I479,""ko"",""en"")"),"1000000")</f>
        <v>1000000</v>
      </c>
      <c r="J479" s="1" t="str">
        <f ca="1">IFERROR(__xludf.DUMMYFUNCTION("GOOGLETRANSLATE('대전도시공사_청년임대주택 현황_20240630'!J479,""ko"",""en"")"),"226700")</f>
        <v>226700</v>
      </c>
    </row>
    <row r="480" spans="1:10" ht="12.5" x14ac:dyDescent="0.25">
      <c r="A480" s="1" t="str">
        <f ca="1">IFERROR(__xludf.DUMMYFUNCTION("GOOGLETRANSLATE('대전도시공사_청년임대주택 현황_20240630'!A480,""ko"",""en"")"),"540-8 Bongmyeong-dong (Haenarae, youth rental)")</f>
        <v>540-8 Bongmyeong-dong (Haenarae, youth rental)</v>
      </c>
      <c r="B480" s="1" t="str">
        <f ca="1">IFERROR(__xludf.DUMMYFUNCTION("GOOGLETRANSLATE('대전도시공사_청년임대주택 현황_20240630'!B480,""ko"",""en"")"),"86")</f>
        <v>86</v>
      </c>
      <c r="C480" s="1" t="str">
        <f ca="1">IFERROR(__xludf.DUMMYFUNCTION("GOOGLETRANSLATE('대전도시공사_청년임대주택 현황_20240630'!C480,""ko"",""en"")"),"1")</f>
        <v>1</v>
      </c>
      <c r="D480" s="1" t="str">
        <f ca="1">IFERROR(__xludf.DUMMYFUNCTION("GOOGLETRANSLATE('대전도시공사_청년임대주택 현황_20240630'!D480,""ko"",""en"")"),"902")</f>
        <v>902</v>
      </c>
      <c r="E480" s="1" t="str">
        <f ca="1">IFERROR(__xludf.DUMMYFUNCTION("GOOGLETRANSLATE('대전도시공사_청년임대주택 현황_20240630'!E480,""ko"",""en"")"),"58.799")</f>
        <v>58.799</v>
      </c>
      <c r="F480" s="1" t="str">
        <f ca="1">IFERROR(__xludf.DUMMYFUNCTION("GOOGLETRANSLATE('대전도시공사_청년임대주택 현황_20240630'!F480,""ko"",""en"")"),"24.279")</f>
        <v>24.279</v>
      </c>
      <c r="G480" s="1" t="str">
        <f ca="1">IFERROR(__xludf.DUMMYFUNCTION("GOOGLETRANSLATE('대전도시공사_청년임대주택 현황_20240630'!G480,""ko"",""en"")"),"34.519")</f>
        <v>34.519</v>
      </c>
      <c r="H480" s="1" t="str">
        <f ca="1">IFERROR(__xludf.DUMMYFUNCTION("GOOGLETRANSLATE('대전도시공사_청년임대주택 현황_20240630'!H480,""ko"",""en"")"),"Youth Rental 2nd Place")</f>
        <v>Youth Rental 2nd Place</v>
      </c>
      <c r="I480" s="1" t="str">
        <f ca="1">IFERROR(__xludf.DUMMYFUNCTION("GOOGLETRANSLATE('대전도시공사_청년임대주택 현황_20240630'!I480,""ko"",""en"")"),"2000000")</f>
        <v>2000000</v>
      </c>
      <c r="J480" s="1" t="str">
        <f ca="1">IFERROR(__xludf.DUMMYFUNCTION("GOOGLETRANSLATE('대전도시공사_청년임대주택 현황_20240630'!J480,""ko"",""en"")"),"279200")</f>
        <v>279200</v>
      </c>
    </row>
    <row r="481" spans="1:10" ht="12.5" x14ac:dyDescent="0.25">
      <c r="A481" s="1" t="str">
        <f ca="1">IFERROR(__xludf.DUMMYFUNCTION("GOOGLETRANSLATE('대전도시공사_청년임대주택 현황_20240630'!A481,""ko"",""en"")"),"540-8 Bongmyeong-dong (Haenarae, youth rental)")</f>
        <v>540-8 Bongmyeong-dong (Haenarae, youth rental)</v>
      </c>
      <c r="B481" s="1" t="str">
        <f ca="1">IFERROR(__xludf.DUMMYFUNCTION("GOOGLETRANSLATE('대전도시공사_청년임대주택 현황_20240630'!B481,""ko"",""en"")"),"87")</f>
        <v>87</v>
      </c>
      <c r="C481" s="1" t="str">
        <f ca="1">IFERROR(__xludf.DUMMYFUNCTION("GOOGLETRANSLATE('대전도시공사_청년임대주택 현황_20240630'!C481,""ko"",""en"")"),"1")</f>
        <v>1</v>
      </c>
      <c r="D481" s="1" t="str">
        <f ca="1">IFERROR(__xludf.DUMMYFUNCTION("GOOGLETRANSLATE('대전도시공사_청년임대주택 현황_20240630'!D481,""ko"",""en"")"),"902")</f>
        <v>902</v>
      </c>
      <c r="E481" s="1" t="str">
        <f ca="1">IFERROR(__xludf.DUMMYFUNCTION("GOOGLETRANSLATE('대전도시공사_청년임대주택 현황_20240630'!E481,""ko"",""en"")"),"58.799")</f>
        <v>58.799</v>
      </c>
      <c r="F481" s="1" t="str">
        <f ca="1">IFERROR(__xludf.DUMMYFUNCTION("GOOGLETRANSLATE('대전도시공사_청년임대주택 현황_20240630'!F481,""ko"",""en"")"),"24.279")</f>
        <v>24.279</v>
      </c>
      <c r="G481" s="1" t="str">
        <f ca="1">IFERROR(__xludf.DUMMYFUNCTION("GOOGLETRANSLATE('대전도시공사_청년임대주택 현황_20240630'!G481,""ko"",""en"")"),"34.519")</f>
        <v>34.519</v>
      </c>
      <c r="H481" s="1" t="str">
        <f ca="1">IFERROR(__xludf.DUMMYFUNCTION("GOOGLETRANSLATE('대전도시공사_청년임대주택 현황_20240630'!H481,""ko"",""en"")"),"3rd place for youth rental")</f>
        <v>3rd place for youth rental</v>
      </c>
      <c r="I481" s="1" t="str">
        <f ca="1">IFERROR(__xludf.DUMMYFUNCTION("GOOGLETRANSLATE('대전도시공사_청년임대주택 현황_20240630'!I481,""ko"",""en"")"),"2000000")</f>
        <v>2000000</v>
      </c>
      <c r="J481" s="1" t="str">
        <f ca="1">IFERROR(__xludf.DUMMYFUNCTION("GOOGLETRANSLATE('대전도시공사_청년임대주택 현황_20240630'!J481,""ko"",""en"")"),"279200")</f>
        <v>279200</v>
      </c>
    </row>
    <row r="482" spans="1:10" ht="12.5" x14ac:dyDescent="0.25">
      <c r="A482" s="1" t="str">
        <f ca="1">IFERROR(__xludf.DUMMYFUNCTION("GOOGLETRANSLATE('대전도시공사_청년임대주택 현황_20240630'!A482,""ko"",""en"")"),"540-8 Bongmyeong-dong (Haenarae, youth rental)")</f>
        <v>540-8 Bongmyeong-dong (Haenarae, youth rental)</v>
      </c>
      <c r="B482" s="1" t="str">
        <f ca="1">IFERROR(__xludf.DUMMYFUNCTION("GOOGLETRANSLATE('대전도시공사_청년임대주택 현황_20240630'!B482,""ko"",""en"")"),"100")</f>
        <v>100</v>
      </c>
      <c r="C482" s="1" t="str">
        <f ca="1">IFERROR(__xludf.DUMMYFUNCTION("GOOGLETRANSLATE('대전도시공사_청년임대주택 현황_20240630'!C482,""ko"",""en"")"),"1")</f>
        <v>1</v>
      </c>
      <c r="D482" s="1" t="str">
        <f ca="1">IFERROR(__xludf.DUMMYFUNCTION("GOOGLETRANSLATE('대전도시공사_청년임대주택 현황_20240630'!D482,""ko"",""en"")"),"907")</f>
        <v>907</v>
      </c>
      <c r="E482" s="1" t="str">
        <f ca="1">IFERROR(__xludf.DUMMYFUNCTION("GOOGLETRANSLATE('대전도시공사_청년임대주택 현황_20240630'!E482,""ko"",""en"")"),"58.799")</f>
        <v>58.799</v>
      </c>
      <c r="F482" s="1" t="str">
        <f ca="1">IFERROR(__xludf.DUMMYFUNCTION("GOOGLETRANSLATE('대전도시공사_청년임대주택 현황_20240630'!F482,""ko"",""en"")"),"24.279")</f>
        <v>24.279</v>
      </c>
      <c r="G482" s="1" t="str">
        <f ca="1">IFERROR(__xludf.DUMMYFUNCTION("GOOGLETRANSLATE('대전도시공사_청년임대주택 현황_20240630'!G482,""ko"",""en"")"),"34.519")</f>
        <v>34.519</v>
      </c>
      <c r="H482" s="1" t="str">
        <f ca="1">IFERROR(__xludf.DUMMYFUNCTION("GOOGLETRANSLATE('대전도시공사_청년임대주택 현황_20240630'!H482,""ko"",""en"")"),"Youth Rent 1st Place")</f>
        <v>Youth Rent 1st Place</v>
      </c>
      <c r="I482" s="1" t="str">
        <f ca="1">IFERROR(__xludf.DUMMYFUNCTION("GOOGLETRANSLATE('대전도시공사_청년임대주택 현황_20240630'!I482,""ko"",""en"")"),"1000000")</f>
        <v>1000000</v>
      </c>
      <c r="J482" s="1" t="str">
        <f ca="1">IFERROR(__xludf.DUMMYFUNCTION("GOOGLETRANSLATE('대전도시공사_청년임대주택 현황_20240630'!J482,""ko"",""en"")"),"218300")</f>
        <v>218300</v>
      </c>
    </row>
    <row r="483" spans="1:10" ht="12.5" x14ac:dyDescent="0.25">
      <c r="A483" s="1" t="str">
        <f ca="1">IFERROR(__xludf.DUMMYFUNCTION("GOOGLETRANSLATE('대전도시공사_청년임대주택 현황_20240630'!A483,""ko"",""en"")"),"540-8 Bongmyeong-dong (Haenarae, youth rental)")</f>
        <v>540-8 Bongmyeong-dong (Haenarae, youth rental)</v>
      </c>
      <c r="B483" s="1" t="str">
        <f ca="1">IFERROR(__xludf.DUMMYFUNCTION("GOOGLETRANSLATE('대전도시공사_청년임대주택 현황_20240630'!B483,""ko"",""en"")"),"101")</f>
        <v>101</v>
      </c>
      <c r="C483" s="1" t="str">
        <f ca="1">IFERROR(__xludf.DUMMYFUNCTION("GOOGLETRANSLATE('대전도시공사_청년임대주택 현황_20240630'!C483,""ko"",""en"")"),"1")</f>
        <v>1</v>
      </c>
      <c r="D483" s="1" t="str">
        <f ca="1">IFERROR(__xludf.DUMMYFUNCTION("GOOGLETRANSLATE('대전도시공사_청년임대주택 현황_20240630'!D483,""ko"",""en"")"),"907")</f>
        <v>907</v>
      </c>
      <c r="E483" s="1" t="str">
        <f ca="1">IFERROR(__xludf.DUMMYFUNCTION("GOOGLETRANSLATE('대전도시공사_청년임대주택 현황_20240630'!E483,""ko"",""en"")"),"58.799")</f>
        <v>58.799</v>
      </c>
      <c r="F483" s="1" t="str">
        <f ca="1">IFERROR(__xludf.DUMMYFUNCTION("GOOGLETRANSLATE('대전도시공사_청년임대주택 현황_20240630'!F483,""ko"",""en"")"),"24.279")</f>
        <v>24.279</v>
      </c>
      <c r="G483" s="1" t="str">
        <f ca="1">IFERROR(__xludf.DUMMYFUNCTION("GOOGLETRANSLATE('대전도시공사_청년임대주택 현황_20240630'!G483,""ko"",""en"")"),"34.519")</f>
        <v>34.519</v>
      </c>
      <c r="H483" s="1" t="str">
        <f ca="1">IFERROR(__xludf.DUMMYFUNCTION("GOOGLETRANSLATE('대전도시공사_청년임대주택 현황_20240630'!H483,""ko"",""en"")"),"Youth Rental 2nd Place")</f>
        <v>Youth Rental 2nd Place</v>
      </c>
      <c r="I483" s="1" t="str">
        <f ca="1">IFERROR(__xludf.DUMMYFUNCTION("GOOGLETRANSLATE('대전도시공사_청년임대주택 현황_20240630'!I483,""ko"",""en"")"),"2000000")</f>
        <v>2000000</v>
      </c>
      <c r="J483" s="1" t="str">
        <f ca="1">IFERROR(__xludf.DUMMYFUNCTION("GOOGLETRANSLATE('대전도시공사_청년임대주택 현황_20240630'!J483,""ko"",""en"")"),"268700")</f>
        <v>268700</v>
      </c>
    </row>
    <row r="484" spans="1:10" ht="12.5" x14ac:dyDescent="0.25">
      <c r="A484" s="1" t="str">
        <f ca="1">IFERROR(__xludf.DUMMYFUNCTION("GOOGLETRANSLATE('대전도시공사_청년임대주택 현황_20240630'!A484,""ko"",""en"")"),"540-8 Bongmyeong-dong (Haenarae, youth rental)")</f>
        <v>540-8 Bongmyeong-dong (Haenarae, youth rental)</v>
      </c>
      <c r="B484" s="1" t="str">
        <f ca="1">IFERROR(__xludf.DUMMYFUNCTION("GOOGLETRANSLATE('대전도시공사_청년임대주택 현황_20240630'!B484,""ko"",""en"")"),"102")</f>
        <v>102</v>
      </c>
      <c r="C484" s="1" t="str">
        <f ca="1">IFERROR(__xludf.DUMMYFUNCTION("GOOGLETRANSLATE('대전도시공사_청년임대주택 현황_20240630'!C484,""ko"",""en"")"),"1")</f>
        <v>1</v>
      </c>
      <c r="D484" s="1" t="str">
        <f ca="1">IFERROR(__xludf.DUMMYFUNCTION("GOOGLETRANSLATE('대전도시공사_청년임대주택 현황_20240630'!D484,""ko"",""en"")"),"907")</f>
        <v>907</v>
      </c>
      <c r="E484" s="1" t="str">
        <f ca="1">IFERROR(__xludf.DUMMYFUNCTION("GOOGLETRANSLATE('대전도시공사_청년임대주택 현황_20240630'!E484,""ko"",""en"")"),"58.799")</f>
        <v>58.799</v>
      </c>
      <c r="F484" s="1" t="str">
        <f ca="1">IFERROR(__xludf.DUMMYFUNCTION("GOOGLETRANSLATE('대전도시공사_청년임대주택 현황_20240630'!F484,""ko"",""en"")"),"24.279")</f>
        <v>24.279</v>
      </c>
      <c r="G484" s="1" t="str">
        <f ca="1">IFERROR(__xludf.DUMMYFUNCTION("GOOGLETRANSLATE('대전도시공사_청년임대주택 현황_20240630'!G484,""ko"",""en"")"),"34.519")</f>
        <v>34.519</v>
      </c>
      <c r="H484" s="1" t="str">
        <f ca="1">IFERROR(__xludf.DUMMYFUNCTION("GOOGLETRANSLATE('대전도시공사_청년임대주택 현황_20240630'!H484,""ko"",""en"")"),"3rd place for youth rental")</f>
        <v>3rd place for youth rental</v>
      </c>
      <c r="I484" s="1" t="str">
        <f ca="1">IFERROR(__xludf.DUMMYFUNCTION("GOOGLETRANSLATE('대전도시공사_청년임대주택 현황_20240630'!I484,""ko"",""en"")"),"2000000")</f>
        <v>2000000</v>
      </c>
      <c r="J484" s="1" t="str">
        <f ca="1">IFERROR(__xludf.DUMMYFUNCTION("GOOGLETRANSLATE('대전도시공사_청년임대주택 현황_20240630'!J484,""ko"",""en"")"),"268700")</f>
        <v>268700</v>
      </c>
    </row>
    <row r="485" spans="1:10" ht="12.5" x14ac:dyDescent="0.25">
      <c r="A485" s="1" t="str">
        <f ca="1">IFERROR(__xludf.DUMMYFUNCTION("GOOGLETRANSLATE('대전도시공사_청년임대주택 현황_20240630'!A485,""ko"",""en"")"),"540-8 Bongmyeong-dong (Haenarae, youth rental)")</f>
        <v>540-8 Bongmyeong-dong (Haenarae, youth rental)</v>
      </c>
      <c r="B485" s="1" t="str">
        <f ca="1">IFERROR(__xludf.DUMMYFUNCTION("GOOGLETRANSLATE('대전도시공사_청년임대주택 현황_20240630'!B485,""ko"",""en"")"),"109")</f>
        <v>109</v>
      </c>
      <c r="C485" s="1" t="str">
        <f ca="1">IFERROR(__xludf.DUMMYFUNCTION("GOOGLETRANSLATE('대전도시공사_청년임대주택 현황_20240630'!C485,""ko"",""en"")"),"1")</f>
        <v>1</v>
      </c>
      <c r="D485" s="1" t="str">
        <f ca="1">IFERROR(__xludf.DUMMYFUNCTION("GOOGLETRANSLATE('대전도시공사_청년임대주택 현황_20240630'!D485,""ko"",""en"")"),"1001")</f>
        <v>1001</v>
      </c>
      <c r="E485" s="1" t="str">
        <f ca="1">IFERROR(__xludf.DUMMYFUNCTION("GOOGLETRANSLATE('대전도시공사_청년임대주택 현황_20240630'!E485,""ko"",""en"")"),"46.862")</f>
        <v>46.862</v>
      </c>
      <c r="F485" s="1" t="str">
        <f ca="1">IFERROR(__xludf.DUMMYFUNCTION("GOOGLETRANSLATE('대전도시공사_청년임대주택 현황_20240630'!F485,""ko"",""en"")"),"18.887")</f>
        <v>18.887</v>
      </c>
      <c r="G485" s="1" t="str">
        <f ca="1">IFERROR(__xludf.DUMMYFUNCTION("GOOGLETRANSLATE('대전도시공사_청년임대주택 현황_20240630'!G485,""ko"",""en"")"),"27.974")</f>
        <v>27.974</v>
      </c>
      <c r="H485" s="1" t="str">
        <f ca="1">IFERROR(__xludf.DUMMYFUNCTION("GOOGLETRANSLATE('대전도시공사_청년임대주택 현황_20240630'!H485,""ko"",""en"")"),"Beneficiary")</f>
        <v>Beneficiary</v>
      </c>
      <c r="I485" s="1" t="str">
        <f ca="1">IFERROR(__xludf.DUMMYFUNCTION("GOOGLETRANSLATE('대전도시공사_청년임대주택 현황_20240630'!I485,""ko"",""en"")"),"1000000")</f>
        <v>1000000</v>
      </c>
      <c r="J485" s="1" t="str">
        <f ca="1">IFERROR(__xludf.DUMMYFUNCTION("GOOGLETRANSLATE('대전도시공사_청년임대주택 현황_20240630'!J485,""ko"",""en"")"),"224600")</f>
        <v>224600</v>
      </c>
    </row>
    <row r="486" spans="1:10" ht="12.5" x14ac:dyDescent="0.25">
      <c r="A486" s="1" t="str">
        <f ca="1">IFERROR(__xludf.DUMMYFUNCTION("GOOGLETRANSLATE('대전도시공사_청년임대주택 현황_20240630'!A486,""ko"",""en"")"),"540-8 Bongmyeong-dong (Haenarae, youth rental)")</f>
        <v>540-8 Bongmyeong-dong (Haenarae, youth rental)</v>
      </c>
      <c r="B486" s="1" t="str">
        <f ca="1">IFERROR(__xludf.DUMMYFUNCTION("GOOGLETRANSLATE('대전도시공사_청년임대주택 현황_20240630'!B486,""ko"",""en"")"),"110")</f>
        <v>110</v>
      </c>
      <c r="C486" s="1" t="str">
        <f ca="1">IFERROR(__xludf.DUMMYFUNCTION("GOOGLETRANSLATE('대전도시공사_청년임대주택 현황_20240630'!C486,""ko"",""en"")"),"1")</f>
        <v>1</v>
      </c>
      <c r="D486" s="1" t="str">
        <f ca="1">IFERROR(__xludf.DUMMYFUNCTION("GOOGLETRANSLATE('대전도시공사_청년임대주택 현황_20240630'!D486,""ko"",""en"")"),"1001")</f>
        <v>1001</v>
      </c>
      <c r="E486" s="1" t="str">
        <f ca="1">IFERROR(__xludf.DUMMYFUNCTION("GOOGLETRANSLATE('대전도시공사_청년임대주택 현황_20240630'!E486,""ko"",""en"")"),"46.862")</f>
        <v>46.862</v>
      </c>
      <c r="F486" s="1" t="str">
        <f ca="1">IFERROR(__xludf.DUMMYFUNCTION("GOOGLETRANSLATE('대전도시공사_청년임대주택 현황_20240630'!F486,""ko"",""en"")"),"18.887")</f>
        <v>18.887</v>
      </c>
      <c r="G486" s="1" t="str">
        <f ca="1">IFERROR(__xludf.DUMMYFUNCTION("GOOGLETRANSLATE('대전도시공사_청년임대주택 현황_20240630'!G486,""ko"",""en"")"),"27.974")</f>
        <v>27.974</v>
      </c>
      <c r="H486" s="1" t="str">
        <f ca="1">IFERROR(__xludf.DUMMYFUNCTION("GOOGLETRANSLATE('대전도시공사_청년임대주택 현황_20240630'!H486,""ko"",""en"")"),"Youth Rental 2nd Place")</f>
        <v>Youth Rental 2nd Place</v>
      </c>
      <c r="I486" s="1" t="str">
        <f ca="1">IFERROR(__xludf.DUMMYFUNCTION("GOOGLETRANSLATE('대전도시공사_청년임대주택 현황_20240630'!I486,""ko"",""en"")"),"2000000")</f>
        <v>2000000</v>
      </c>
      <c r="J486" s="1" t="str">
        <f ca="1">IFERROR(__xludf.DUMMYFUNCTION("GOOGLETRANSLATE('대전도시공사_청년임대주택 현황_20240630'!J486,""ko"",""en"")"),"276600")</f>
        <v>276600</v>
      </c>
    </row>
    <row r="487" spans="1:10" ht="12.5" x14ac:dyDescent="0.25">
      <c r="A487" s="1" t="str">
        <f ca="1">IFERROR(__xludf.DUMMYFUNCTION("GOOGLETRANSLATE('대전도시공사_청년임대주택 현황_20240630'!A487,""ko"",""en"")"),"540-8 Bongmyeong-dong (Haenarae, youth rental)")</f>
        <v>540-8 Bongmyeong-dong (Haenarae, youth rental)</v>
      </c>
      <c r="B487" s="1" t="str">
        <f ca="1">IFERROR(__xludf.DUMMYFUNCTION("GOOGLETRANSLATE('대전도시공사_청년임대주택 현황_20240630'!B487,""ko"",""en"")"),"111")</f>
        <v>111</v>
      </c>
      <c r="C487" s="1" t="str">
        <f ca="1">IFERROR(__xludf.DUMMYFUNCTION("GOOGLETRANSLATE('대전도시공사_청년임대주택 현황_20240630'!C487,""ko"",""en"")"),"1")</f>
        <v>1</v>
      </c>
      <c r="D487" s="1" t="str">
        <f ca="1">IFERROR(__xludf.DUMMYFUNCTION("GOOGLETRANSLATE('대전도시공사_청년임대주택 현황_20240630'!D487,""ko"",""en"")"),"1001")</f>
        <v>1001</v>
      </c>
      <c r="E487" s="1" t="str">
        <f ca="1">IFERROR(__xludf.DUMMYFUNCTION("GOOGLETRANSLATE('대전도시공사_청년임대주택 현황_20240630'!E487,""ko"",""en"")"),"46.862")</f>
        <v>46.862</v>
      </c>
      <c r="F487" s="1" t="str">
        <f ca="1">IFERROR(__xludf.DUMMYFUNCTION("GOOGLETRANSLATE('대전도시공사_청년임대주택 현황_20240630'!F487,""ko"",""en"")"),"18.887")</f>
        <v>18.887</v>
      </c>
      <c r="G487" s="1" t="str">
        <f ca="1">IFERROR(__xludf.DUMMYFUNCTION("GOOGLETRANSLATE('대전도시공사_청년임대주택 현황_20240630'!G487,""ko"",""en"")"),"27.974")</f>
        <v>27.974</v>
      </c>
      <c r="H487" s="1" t="str">
        <f ca="1">IFERROR(__xludf.DUMMYFUNCTION("GOOGLETRANSLATE('대전도시공사_청년임대주택 현황_20240630'!H487,""ko"",""en"")"),"3rd place for youth rental")</f>
        <v>3rd place for youth rental</v>
      </c>
      <c r="I487" s="1" t="str">
        <f ca="1">IFERROR(__xludf.DUMMYFUNCTION("GOOGLETRANSLATE('대전도시공사_청년임대주택 현황_20240630'!I487,""ko"",""en"")"),"2000000")</f>
        <v>2000000</v>
      </c>
      <c r="J487" s="1" t="str">
        <f ca="1">IFERROR(__xludf.DUMMYFUNCTION("GOOGLETRANSLATE('대전도시공사_청년임대주택 현황_20240630'!J487,""ko"",""en"")"),"276600")</f>
        <v>276600</v>
      </c>
    </row>
    <row r="488" spans="1:10" ht="12.5" x14ac:dyDescent="0.25">
      <c r="A488" s="1" t="str">
        <f ca="1">IFERROR(__xludf.DUMMYFUNCTION("GOOGLETRANSLATE('대전도시공사_청년임대주택 현황_20240630'!A488,""ko"",""en"")"),"540-8 Bongmyeong-dong (Haenarae, youth rental)")</f>
        <v>540-8 Bongmyeong-dong (Haenarae, youth rental)</v>
      </c>
      <c r="B488" s="1" t="str">
        <f ca="1">IFERROR(__xludf.DUMMYFUNCTION("GOOGLETRANSLATE('대전도시공사_청년임대주택 현황_20240630'!B488,""ko"",""en"")"),"112")</f>
        <v>112</v>
      </c>
      <c r="C488" s="1" t="str">
        <f ca="1">IFERROR(__xludf.DUMMYFUNCTION("GOOGLETRANSLATE('대전도시공사_청년임대주택 현황_20240630'!C488,""ko"",""en"")"),"1")</f>
        <v>1</v>
      </c>
      <c r="D488" s="1" t="str">
        <f ca="1">IFERROR(__xludf.DUMMYFUNCTION("GOOGLETRANSLATE('대전도시공사_청년임대주택 현황_20240630'!D488,""ko"",""en"")"),"1002")</f>
        <v>1002</v>
      </c>
      <c r="E488" s="1" t="str">
        <f ca="1">IFERROR(__xludf.DUMMYFUNCTION("GOOGLETRANSLATE('대전도시공사_청년임대주택 현황_20240630'!E488,""ko"",""en"")"),"58.799")</f>
        <v>58.799</v>
      </c>
      <c r="F488" s="1" t="str">
        <f ca="1">IFERROR(__xludf.DUMMYFUNCTION("GOOGLETRANSLATE('대전도시공사_청년임대주택 현황_20240630'!F488,""ko"",""en"")"),"24.279")</f>
        <v>24.279</v>
      </c>
      <c r="G488" s="1" t="str">
        <f ca="1">IFERROR(__xludf.DUMMYFUNCTION("GOOGLETRANSLATE('대전도시공사_청년임대주택 현황_20240630'!G488,""ko"",""en"")"),"34.519")</f>
        <v>34.519</v>
      </c>
      <c r="H488" s="1" t="str">
        <f ca="1">IFERROR(__xludf.DUMMYFUNCTION("GOOGLETRANSLATE('대전도시공사_청년임대주택 현황_20240630'!H488,""ko"",""en"")"),"Youth Rent 1st Place")</f>
        <v>Youth Rent 1st Place</v>
      </c>
      <c r="I488" s="1" t="str">
        <f ca="1">IFERROR(__xludf.DUMMYFUNCTION("GOOGLETRANSLATE('대전도시공사_청년임대주택 현황_20240630'!I488,""ko"",""en"")"),"1000000")</f>
        <v>1000000</v>
      </c>
      <c r="J488" s="1" t="str">
        <f ca="1">IFERROR(__xludf.DUMMYFUNCTION("GOOGLETRANSLATE('대전도시공사_청년임대주택 현황_20240630'!J488,""ko"",""en"")"),"226700")</f>
        <v>226700</v>
      </c>
    </row>
    <row r="489" spans="1:10" ht="12.5" x14ac:dyDescent="0.25">
      <c r="A489" s="1" t="str">
        <f ca="1">IFERROR(__xludf.DUMMYFUNCTION("GOOGLETRANSLATE('대전도시공사_청년임대주택 현황_20240630'!A489,""ko"",""en"")"),"540-8 Bongmyeong-dong (Haenarae, youth rental)")</f>
        <v>540-8 Bongmyeong-dong (Haenarae, youth rental)</v>
      </c>
      <c r="B489" s="1" t="str">
        <f ca="1">IFERROR(__xludf.DUMMYFUNCTION("GOOGLETRANSLATE('대전도시공사_청년임대주택 현황_20240630'!B489,""ko"",""en"")"),"113")</f>
        <v>113</v>
      </c>
      <c r="C489" s="1" t="str">
        <f ca="1">IFERROR(__xludf.DUMMYFUNCTION("GOOGLETRANSLATE('대전도시공사_청년임대주택 현황_20240630'!C489,""ko"",""en"")"),"1")</f>
        <v>1</v>
      </c>
      <c r="D489" s="1" t="str">
        <f ca="1">IFERROR(__xludf.DUMMYFUNCTION("GOOGLETRANSLATE('대전도시공사_청년임대주택 현황_20240630'!D489,""ko"",""en"")"),"1002")</f>
        <v>1002</v>
      </c>
      <c r="E489" s="1" t="str">
        <f ca="1">IFERROR(__xludf.DUMMYFUNCTION("GOOGLETRANSLATE('대전도시공사_청년임대주택 현황_20240630'!E489,""ko"",""en"")"),"58.799")</f>
        <v>58.799</v>
      </c>
      <c r="F489" s="1" t="str">
        <f ca="1">IFERROR(__xludf.DUMMYFUNCTION("GOOGLETRANSLATE('대전도시공사_청년임대주택 현황_20240630'!F489,""ko"",""en"")"),"24.279")</f>
        <v>24.279</v>
      </c>
      <c r="G489" s="1" t="str">
        <f ca="1">IFERROR(__xludf.DUMMYFUNCTION("GOOGLETRANSLATE('대전도시공사_청년임대주택 현황_20240630'!G489,""ko"",""en"")"),"34.519")</f>
        <v>34.519</v>
      </c>
      <c r="H489" s="1" t="str">
        <f ca="1">IFERROR(__xludf.DUMMYFUNCTION("GOOGLETRANSLATE('대전도시공사_청년임대주택 현황_20240630'!H489,""ko"",""en"")"),"Youth Rental 2nd Place")</f>
        <v>Youth Rental 2nd Place</v>
      </c>
      <c r="I489" s="1" t="str">
        <f ca="1">IFERROR(__xludf.DUMMYFUNCTION("GOOGLETRANSLATE('대전도시공사_청년임대주택 현황_20240630'!I489,""ko"",""en"")"),"2000000")</f>
        <v>2000000</v>
      </c>
      <c r="J489" s="1" t="str">
        <f ca="1">IFERROR(__xludf.DUMMYFUNCTION("GOOGLETRANSLATE('대전도시공사_청년임대주택 현황_20240630'!J489,""ko"",""en"")"),"279200")</f>
        <v>279200</v>
      </c>
    </row>
    <row r="490" spans="1:10" ht="12.5" x14ac:dyDescent="0.25">
      <c r="A490" s="1" t="str">
        <f ca="1">IFERROR(__xludf.DUMMYFUNCTION("GOOGLETRANSLATE('대전도시공사_청년임대주택 현황_20240630'!A490,""ko"",""en"")"),"540-8 Bongmyeong-dong (Haenarae, youth rental)")</f>
        <v>540-8 Bongmyeong-dong (Haenarae, youth rental)</v>
      </c>
      <c r="B490" s="1" t="str">
        <f ca="1">IFERROR(__xludf.DUMMYFUNCTION("GOOGLETRANSLATE('대전도시공사_청년임대주택 현황_20240630'!B490,""ko"",""en"")"),"114")</f>
        <v>114</v>
      </c>
      <c r="C490" s="1" t="str">
        <f ca="1">IFERROR(__xludf.DUMMYFUNCTION("GOOGLETRANSLATE('대전도시공사_청년임대주택 현황_20240630'!C490,""ko"",""en"")"),"1")</f>
        <v>1</v>
      </c>
      <c r="D490" s="1" t="str">
        <f ca="1">IFERROR(__xludf.DUMMYFUNCTION("GOOGLETRANSLATE('대전도시공사_청년임대주택 현황_20240630'!D490,""ko"",""en"")"),"1002")</f>
        <v>1002</v>
      </c>
      <c r="E490" s="1" t="str">
        <f ca="1">IFERROR(__xludf.DUMMYFUNCTION("GOOGLETRANSLATE('대전도시공사_청년임대주택 현황_20240630'!E490,""ko"",""en"")"),"58.799")</f>
        <v>58.799</v>
      </c>
      <c r="F490" s="1" t="str">
        <f ca="1">IFERROR(__xludf.DUMMYFUNCTION("GOOGLETRANSLATE('대전도시공사_청년임대주택 현황_20240630'!F490,""ko"",""en"")"),"24.279")</f>
        <v>24.279</v>
      </c>
      <c r="G490" s="1" t="str">
        <f ca="1">IFERROR(__xludf.DUMMYFUNCTION("GOOGLETRANSLATE('대전도시공사_청년임대주택 현황_20240630'!G490,""ko"",""en"")"),"34.519")</f>
        <v>34.519</v>
      </c>
      <c r="H490" s="1" t="str">
        <f ca="1">IFERROR(__xludf.DUMMYFUNCTION("GOOGLETRANSLATE('대전도시공사_청년임대주택 현황_20240630'!H490,""ko"",""en"")"),"3rd place for youth rental")</f>
        <v>3rd place for youth rental</v>
      </c>
      <c r="I490" s="1" t="str">
        <f ca="1">IFERROR(__xludf.DUMMYFUNCTION("GOOGLETRANSLATE('대전도시공사_청년임대주택 현황_20240630'!I490,""ko"",""en"")"),"2000000")</f>
        <v>2000000</v>
      </c>
      <c r="J490" s="1" t="str">
        <f ca="1">IFERROR(__xludf.DUMMYFUNCTION("GOOGLETRANSLATE('대전도시공사_청년임대주택 현황_20240630'!J490,""ko"",""en"")"),"279200")</f>
        <v>279200</v>
      </c>
    </row>
    <row r="491" spans="1:10" ht="12.5" x14ac:dyDescent="0.25">
      <c r="A491" s="1" t="str">
        <f ca="1">IFERROR(__xludf.DUMMYFUNCTION("GOOGLETRANSLATE('대전도시공사_청년임대주택 현황_20240630'!A491,""ko"",""en"")"),"540-8 Bongmyeong-dong (Haenarae, youth rental)")</f>
        <v>540-8 Bongmyeong-dong (Haenarae, youth rental)</v>
      </c>
      <c r="B491" s="1" t="str">
        <f ca="1">IFERROR(__xludf.DUMMYFUNCTION("GOOGLETRANSLATE('대전도시공사_청년임대주택 현황_20240630'!B491,""ko"",""en"")"),"115")</f>
        <v>115</v>
      </c>
      <c r="C491" s="1" t="str">
        <f ca="1">IFERROR(__xludf.DUMMYFUNCTION("GOOGLETRANSLATE('대전도시공사_청년임대주택 현황_20240630'!C491,""ko"",""en"")"),"1")</f>
        <v>1</v>
      </c>
      <c r="D491" s="1" t="str">
        <f ca="1">IFERROR(__xludf.DUMMYFUNCTION("GOOGLETRANSLATE('대전도시공사_청년임대주택 현황_20240630'!D491,""ko"",""en"")"),"1004")</f>
        <v>1004</v>
      </c>
      <c r="E491" s="1" t="str">
        <f ca="1">IFERROR(__xludf.DUMMYFUNCTION("GOOGLETRANSLATE('대전도시공사_청년임대주택 현황_20240630'!E491,""ko"",""en"")"),"58.799")</f>
        <v>58.799</v>
      </c>
      <c r="F491" s="1" t="str">
        <f ca="1">IFERROR(__xludf.DUMMYFUNCTION("GOOGLETRANSLATE('대전도시공사_청년임대주택 현황_20240630'!F491,""ko"",""en"")"),"24.279")</f>
        <v>24.279</v>
      </c>
      <c r="G491" s="1" t="str">
        <f ca="1">IFERROR(__xludf.DUMMYFUNCTION("GOOGLETRANSLATE('대전도시공사_청년임대주택 현황_20240630'!G491,""ko"",""en"")"),"34.519")</f>
        <v>34.519</v>
      </c>
      <c r="H491" s="1" t="str">
        <f ca="1">IFERROR(__xludf.DUMMYFUNCTION("GOOGLETRANSLATE('대전도시공사_청년임대주택 현황_20240630'!H491,""ko"",""en"")"),"Youth Rent 1st Place")</f>
        <v>Youth Rent 1st Place</v>
      </c>
      <c r="I491" s="1" t="str">
        <f ca="1">IFERROR(__xludf.DUMMYFUNCTION("GOOGLETRANSLATE('대전도시공사_청년임대주택 현황_20240630'!I491,""ko"",""en"")"),"1000000")</f>
        <v>1000000</v>
      </c>
      <c r="J491" s="1" t="str">
        <f ca="1">IFERROR(__xludf.DUMMYFUNCTION("GOOGLETRANSLATE('대전도시공사_청년임대주택 현황_20240630'!J491,""ko"",""en"")"),"226700")</f>
        <v>226700</v>
      </c>
    </row>
    <row r="492" spans="1:10" ht="12.5" x14ac:dyDescent="0.25">
      <c r="A492" s="1" t="str">
        <f ca="1">IFERROR(__xludf.DUMMYFUNCTION("GOOGLETRANSLATE('대전도시공사_청년임대주택 현황_20240630'!A492,""ko"",""en"")"),"540-8 Bongmyeong-dong (Haenarae, youth rental)")</f>
        <v>540-8 Bongmyeong-dong (Haenarae, youth rental)</v>
      </c>
      <c r="B492" s="1" t="str">
        <f ca="1">IFERROR(__xludf.DUMMYFUNCTION("GOOGLETRANSLATE('대전도시공사_청년임대주택 현황_20240630'!B492,""ko"",""en"")"),"116")</f>
        <v>116</v>
      </c>
      <c r="C492" s="1" t="str">
        <f ca="1">IFERROR(__xludf.DUMMYFUNCTION("GOOGLETRANSLATE('대전도시공사_청년임대주택 현황_20240630'!C492,""ko"",""en"")"),"1")</f>
        <v>1</v>
      </c>
      <c r="D492" s="1" t="str">
        <f ca="1">IFERROR(__xludf.DUMMYFUNCTION("GOOGLETRANSLATE('대전도시공사_청년임대주택 현황_20240630'!D492,""ko"",""en"")"),"1004")</f>
        <v>1004</v>
      </c>
      <c r="E492" s="1" t="str">
        <f ca="1">IFERROR(__xludf.DUMMYFUNCTION("GOOGLETRANSLATE('대전도시공사_청년임대주택 현황_20240630'!E492,""ko"",""en"")"),"58.799")</f>
        <v>58.799</v>
      </c>
      <c r="F492" s="1" t="str">
        <f ca="1">IFERROR(__xludf.DUMMYFUNCTION("GOOGLETRANSLATE('대전도시공사_청년임대주택 현황_20240630'!F492,""ko"",""en"")"),"24.279")</f>
        <v>24.279</v>
      </c>
      <c r="G492" s="1" t="str">
        <f ca="1">IFERROR(__xludf.DUMMYFUNCTION("GOOGLETRANSLATE('대전도시공사_청년임대주택 현황_20240630'!G492,""ko"",""en"")"),"34.519")</f>
        <v>34.519</v>
      </c>
      <c r="H492" s="1" t="str">
        <f ca="1">IFERROR(__xludf.DUMMYFUNCTION("GOOGLETRANSLATE('대전도시공사_청년임대주택 현황_20240630'!H492,""ko"",""en"")"),"Youth Rental 2nd Place")</f>
        <v>Youth Rental 2nd Place</v>
      </c>
      <c r="I492" s="1" t="str">
        <f ca="1">IFERROR(__xludf.DUMMYFUNCTION("GOOGLETRANSLATE('대전도시공사_청년임대주택 현황_20240630'!I492,""ko"",""en"")"),"2000000")</f>
        <v>2000000</v>
      </c>
      <c r="J492" s="1" t="str">
        <f ca="1">IFERROR(__xludf.DUMMYFUNCTION("GOOGLETRANSLATE('대전도시공사_청년임대주택 현황_20240630'!J492,""ko"",""en"")"),"279200")</f>
        <v>279200</v>
      </c>
    </row>
    <row r="493" spans="1:10" ht="12.5" x14ac:dyDescent="0.25">
      <c r="A493" s="1" t="str">
        <f ca="1">IFERROR(__xludf.DUMMYFUNCTION("GOOGLETRANSLATE('대전도시공사_청년임대주택 현황_20240630'!A493,""ko"",""en"")"),"540-8 Bongmyeong-dong (Haenarae, youth rental)")</f>
        <v>540-8 Bongmyeong-dong (Haenarae, youth rental)</v>
      </c>
      <c r="B493" s="1" t="str">
        <f ca="1">IFERROR(__xludf.DUMMYFUNCTION("GOOGLETRANSLATE('대전도시공사_청년임대주택 현황_20240630'!B493,""ko"",""en"")"),"117")</f>
        <v>117</v>
      </c>
      <c r="C493" s="1" t="str">
        <f ca="1">IFERROR(__xludf.DUMMYFUNCTION("GOOGLETRANSLATE('대전도시공사_청년임대주택 현황_20240630'!C493,""ko"",""en"")"),"1")</f>
        <v>1</v>
      </c>
      <c r="D493" s="1" t="str">
        <f ca="1">IFERROR(__xludf.DUMMYFUNCTION("GOOGLETRANSLATE('대전도시공사_청년임대주택 현황_20240630'!D493,""ko"",""en"")"),"1004")</f>
        <v>1004</v>
      </c>
      <c r="E493" s="1" t="str">
        <f ca="1">IFERROR(__xludf.DUMMYFUNCTION("GOOGLETRANSLATE('대전도시공사_청년임대주택 현황_20240630'!E493,""ko"",""en"")"),"58.799")</f>
        <v>58.799</v>
      </c>
      <c r="F493" s="1" t="str">
        <f ca="1">IFERROR(__xludf.DUMMYFUNCTION("GOOGLETRANSLATE('대전도시공사_청년임대주택 현황_20240630'!F493,""ko"",""en"")"),"24.279")</f>
        <v>24.279</v>
      </c>
      <c r="G493" s="1" t="str">
        <f ca="1">IFERROR(__xludf.DUMMYFUNCTION("GOOGLETRANSLATE('대전도시공사_청년임대주택 현황_20240630'!G493,""ko"",""en"")"),"34.519")</f>
        <v>34.519</v>
      </c>
      <c r="H493" s="1" t="str">
        <f ca="1">IFERROR(__xludf.DUMMYFUNCTION("GOOGLETRANSLATE('대전도시공사_청년임대주택 현황_20240630'!H493,""ko"",""en"")"),"3rd place for youth rental")</f>
        <v>3rd place for youth rental</v>
      </c>
      <c r="I493" s="1" t="str">
        <f ca="1">IFERROR(__xludf.DUMMYFUNCTION("GOOGLETRANSLATE('대전도시공사_청년임대주택 현황_20240630'!I493,""ko"",""en"")"),"2000000")</f>
        <v>2000000</v>
      </c>
      <c r="J493" s="1" t="str">
        <f ca="1">IFERROR(__xludf.DUMMYFUNCTION("GOOGLETRANSLATE('대전도시공사_청년임대주택 현황_20240630'!J493,""ko"",""en"")"),"279200")</f>
        <v>279200</v>
      </c>
    </row>
    <row r="494" spans="1:10" ht="12.5" x14ac:dyDescent="0.25">
      <c r="A494" s="1" t="str">
        <f ca="1">IFERROR(__xludf.DUMMYFUNCTION("GOOGLETRANSLATE('대전도시공사_청년임대주택 현황_20240630'!A494,""ko"",""en"")"),"540-8 Bongmyeong-dong (Haenarae, youth rental)")</f>
        <v>540-8 Bongmyeong-dong (Haenarae, youth rental)</v>
      </c>
      <c r="B494" s="1" t="str">
        <f ca="1">IFERROR(__xludf.DUMMYFUNCTION("GOOGLETRANSLATE('대전도시공사_청년임대주택 현황_20240630'!B494,""ko"",""en"")"),"118")</f>
        <v>118</v>
      </c>
      <c r="C494" s="1" t="str">
        <f ca="1">IFERROR(__xludf.DUMMYFUNCTION("GOOGLETRANSLATE('대전도시공사_청년임대주택 현황_20240630'!C494,""ko"",""en"")"),"1")</f>
        <v>1</v>
      </c>
      <c r="D494" s="1" t="str">
        <f ca="1">IFERROR(__xludf.DUMMYFUNCTION("GOOGLETRANSLATE('대전도시공사_청년임대주택 현황_20240630'!D494,""ko"",""en"")"),"1005")</f>
        <v>1005</v>
      </c>
      <c r="E494" s="1" t="str">
        <f ca="1">IFERROR(__xludf.DUMMYFUNCTION("GOOGLETRANSLATE('대전도시공사_청년임대주택 현황_20240630'!E494,""ko"",""en"")"),"46.862")</f>
        <v>46.862</v>
      </c>
      <c r="F494" s="1" t="str">
        <f ca="1">IFERROR(__xludf.DUMMYFUNCTION("GOOGLETRANSLATE('대전도시공사_청년임대주택 현황_20240630'!F494,""ko"",""en"")"),"18.887")</f>
        <v>18.887</v>
      </c>
      <c r="G494" s="1" t="str">
        <f ca="1">IFERROR(__xludf.DUMMYFUNCTION("GOOGLETRANSLATE('대전도시공사_청년임대주택 현황_20240630'!G494,""ko"",""en"")"),"27.974")</f>
        <v>27.974</v>
      </c>
      <c r="H494" s="1" t="str">
        <f ca="1">IFERROR(__xludf.DUMMYFUNCTION("GOOGLETRANSLATE('대전도시공사_청년임대주택 현황_20240630'!H494,""ko"",""en"")"),"Youth Rent 1st Place")</f>
        <v>Youth Rent 1st Place</v>
      </c>
      <c r="I494" s="1" t="str">
        <f ca="1">IFERROR(__xludf.DUMMYFUNCTION("GOOGLETRANSLATE('대전도시공사_청년임대주택 현황_20240630'!I494,""ko"",""en"")"),"1000000")</f>
        <v>1000000</v>
      </c>
      <c r="J494" s="1" t="str">
        <f ca="1">IFERROR(__xludf.DUMMYFUNCTION("GOOGLETRANSLATE('대전도시공사_청년임대주택 현황_20240630'!J494,""ko"",""en"")"),"226700")</f>
        <v>226700</v>
      </c>
    </row>
    <row r="495" spans="1:10" ht="12.5" x14ac:dyDescent="0.25">
      <c r="A495" s="1" t="str">
        <f ca="1">IFERROR(__xludf.DUMMYFUNCTION("GOOGLETRANSLATE('대전도시공사_청년임대주택 현황_20240630'!A495,""ko"",""en"")"),"540-8 Bongmyeong-dong (Haenarae, youth rental)")</f>
        <v>540-8 Bongmyeong-dong (Haenarae, youth rental)</v>
      </c>
      <c r="B495" s="1" t="str">
        <f ca="1">IFERROR(__xludf.DUMMYFUNCTION("GOOGLETRANSLATE('대전도시공사_청년임대주택 현황_20240630'!B495,""ko"",""en"")"),"119")</f>
        <v>119</v>
      </c>
      <c r="C495" s="1" t="str">
        <f ca="1">IFERROR(__xludf.DUMMYFUNCTION("GOOGLETRANSLATE('대전도시공사_청년임대주택 현황_20240630'!C495,""ko"",""en"")"),"1")</f>
        <v>1</v>
      </c>
      <c r="D495" s="1" t="str">
        <f ca="1">IFERROR(__xludf.DUMMYFUNCTION("GOOGLETRANSLATE('대전도시공사_청년임대주택 현황_20240630'!D495,""ko"",""en"")"),"1005")</f>
        <v>1005</v>
      </c>
      <c r="E495" s="1" t="str">
        <f ca="1">IFERROR(__xludf.DUMMYFUNCTION("GOOGLETRANSLATE('대전도시공사_청년임대주택 현황_20240630'!E495,""ko"",""en"")"),"46.862")</f>
        <v>46.862</v>
      </c>
      <c r="F495" s="1" t="str">
        <f ca="1">IFERROR(__xludf.DUMMYFUNCTION("GOOGLETRANSLATE('대전도시공사_청년임대주택 현황_20240630'!F495,""ko"",""en"")"),"18.887")</f>
        <v>18.887</v>
      </c>
      <c r="G495" s="1" t="str">
        <f ca="1">IFERROR(__xludf.DUMMYFUNCTION("GOOGLETRANSLATE('대전도시공사_청년임대주택 현황_20240630'!G495,""ko"",""en"")"),"27.974")</f>
        <v>27.974</v>
      </c>
      <c r="H495" s="1" t="str">
        <f ca="1">IFERROR(__xludf.DUMMYFUNCTION("GOOGLETRANSLATE('대전도시공사_청년임대주택 현황_20240630'!H495,""ko"",""en"")"),"Youth Rental 2nd Place")</f>
        <v>Youth Rental 2nd Place</v>
      </c>
      <c r="I495" s="1" t="str">
        <f ca="1">IFERROR(__xludf.DUMMYFUNCTION("GOOGLETRANSLATE('대전도시공사_청년임대주택 현황_20240630'!I495,""ko"",""en"")"),"2000000")</f>
        <v>2000000</v>
      </c>
      <c r="J495" s="1" t="str">
        <f ca="1">IFERROR(__xludf.DUMMYFUNCTION("GOOGLETRANSLATE('대전도시공사_청년임대주택 현황_20240630'!J495,""ko"",""en"")"),"279200")</f>
        <v>279200</v>
      </c>
    </row>
    <row r="496" spans="1:10" ht="12.5" x14ac:dyDescent="0.25">
      <c r="A496" s="1" t="str">
        <f ca="1">IFERROR(__xludf.DUMMYFUNCTION("GOOGLETRANSLATE('대전도시공사_청년임대주택 현황_20240630'!A496,""ko"",""en"")"),"540-8 Bongmyeong-dong (Haenarae, youth rental)")</f>
        <v>540-8 Bongmyeong-dong (Haenarae, youth rental)</v>
      </c>
      <c r="B496" s="1" t="str">
        <f ca="1">IFERROR(__xludf.DUMMYFUNCTION("GOOGLETRANSLATE('대전도시공사_청년임대주택 현황_20240630'!B496,""ko"",""en"")"),"120")</f>
        <v>120</v>
      </c>
      <c r="C496" s="1" t="str">
        <f ca="1">IFERROR(__xludf.DUMMYFUNCTION("GOOGLETRANSLATE('대전도시공사_청년임대주택 현황_20240630'!C496,""ko"",""en"")"),"1")</f>
        <v>1</v>
      </c>
      <c r="D496" s="1" t="str">
        <f ca="1">IFERROR(__xludf.DUMMYFUNCTION("GOOGLETRANSLATE('대전도시공사_청년임대주택 현황_20240630'!D496,""ko"",""en"")"),"1005")</f>
        <v>1005</v>
      </c>
      <c r="E496" s="1" t="str">
        <f ca="1">IFERROR(__xludf.DUMMYFUNCTION("GOOGLETRANSLATE('대전도시공사_청년임대주택 현황_20240630'!E496,""ko"",""en"")"),"46.862")</f>
        <v>46.862</v>
      </c>
      <c r="F496" s="1" t="str">
        <f ca="1">IFERROR(__xludf.DUMMYFUNCTION("GOOGLETRANSLATE('대전도시공사_청년임대주택 현황_20240630'!F496,""ko"",""en"")"),"18.887")</f>
        <v>18.887</v>
      </c>
      <c r="G496" s="1" t="str">
        <f ca="1">IFERROR(__xludf.DUMMYFUNCTION("GOOGLETRANSLATE('대전도시공사_청년임대주택 현황_20240630'!G496,""ko"",""en"")"),"27.974")</f>
        <v>27.974</v>
      </c>
      <c r="H496" s="1" t="str">
        <f ca="1">IFERROR(__xludf.DUMMYFUNCTION("GOOGLETRANSLATE('대전도시공사_청년임대주택 현황_20240630'!H496,""ko"",""en"")"),"3rd place for youth rental")</f>
        <v>3rd place for youth rental</v>
      </c>
      <c r="I496" s="1" t="str">
        <f ca="1">IFERROR(__xludf.DUMMYFUNCTION("GOOGLETRANSLATE('대전도시공사_청년임대주택 현황_20240630'!I496,""ko"",""en"")"),"2000000")</f>
        <v>2000000</v>
      </c>
      <c r="J496" s="1" t="str">
        <f ca="1">IFERROR(__xludf.DUMMYFUNCTION("GOOGLETRANSLATE('대전도시공사_청년임대주택 현황_20240630'!J496,""ko"",""en"")"),"279200")</f>
        <v>279200</v>
      </c>
    </row>
    <row r="497" spans="1:10" ht="12.5" x14ac:dyDescent="0.25">
      <c r="A497" s="1" t="str">
        <f ca="1">IFERROR(__xludf.DUMMYFUNCTION("GOOGLETRANSLATE('대전도시공사_청년임대주택 현황_20240630'!A497,""ko"",""en"")"),"540-8 Bongmyeong-dong (Haenarae, youth rental)")</f>
        <v>540-8 Bongmyeong-dong (Haenarae, youth rental)</v>
      </c>
      <c r="B497" s="1" t="str">
        <f ca="1">IFERROR(__xludf.DUMMYFUNCTION("GOOGLETRANSLATE('대전도시공사_청년임대주택 현황_20240630'!B497,""ko"",""en"")"),"127")</f>
        <v>127</v>
      </c>
      <c r="C497" s="1" t="str">
        <f ca="1">IFERROR(__xludf.DUMMYFUNCTION("GOOGLETRANSLATE('대전도시공사_청년임대주택 현황_20240630'!C497,""ko"",""en"")"),"1")</f>
        <v>1</v>
      </c>
      <c r="D497" s="1" t="str">
        <f ca="1">IFERROR(__xludf.DUMMYFUNCTION("GOOGLETRANSLATE('대전도시공사_청년임대주택 현황_20240630'!D497,""ko"",""en"")"),"1008")</f>
        <v>1008</v>
      </c>
      <c r="E497" s="1" t="str">
        <f ca="1">IFERROR(__xludf.DUMMYFUNCTION("GOOGLETRANSLATE('대전도시공사_청년임대주택 현황_20240630'!E497,""ko"",""en"")"),"58.14")</f>
        <v>58.14</v>
      </c>
      <c r="F497" s="1" t="str">
        <f ca="1">IFERROR(__xludf.DUMMYFUNCTION("GOOGLETRANSLATE('대전도시공사_청년임대주택 현황_20240630'!F497,""ko"",""en"")"),"23.78")</f>
        <v>23.78</v>
      </c>
      <c r="G497" s="1" t="str">
        <f ca="1">IFERROR(__xludf.DUMMYFUNCTION("GOOGLETRANSLATE('대전도시공사_청년임대주택 현황_20240630'!G497,""ko"",""en"")"),"34.36")</f>
        <v>34.36</v>
      </c>
      <c r="H497" s="1" t="str">
        <f ca="1">IFERROR(__xludf.DUMMYFUNCTION("GOOGLETRANSLATE('대전도시공사_청년임대주택 현황_20240630'!H497,""ko"",""en"")"),"Youth Rent 1st Place")</f>
        <v>Youth Rent 1st Place</v>
      </c>
      <c r="I497" s="1" t="str">
        <f ca="1">IFERROR(__xludf.DUMMYFUNCTION("GOOGLETRANSLATE('대전도시공사_청년임대주택 현황_20240630'!I497,""ko"",""en"")"),"1000000")</f>
        <v>1000000</v>
      </c>
      <c r="J497" s="1" t="str">
        <f ca="1">IFERROR(__xludf.DUMMYFUNCTION("GOOGLETRANSLATE('대전도시공사_청년임대주택 현황_20240630'!J497,""ko"",""en"")"),"214100")</f>
        <v>214100</v>
      </c>
    </row>
    <row r="498" spans="1:10" ht="12.5" x14ac:dyDescent="0.25">
      <c r="A498" s="1" t="str">
        <f ca="1">IFERROR(__xludf.DUMMYFUNCTION("GOOGLETRANSLATE('대전도시공사_청년임대주택 현황_20240630'!A498,""ko"",""en"")"),"540-8 Bongmyeong-dong (Haenarae, youth rental)")</f>
        <v>540-8 Bongmyeong-dong (Haenarae, youth rental)</v>
      </c>
      <c r="B498" s="1" t="str">
        <f ca="1">IFERROR(__xludf.DUMMYFUNCTION("GOOGLETRANSLATE('대전도시공사_청년임대주택 현황_20240630'!B498,""ko"",""en"")"),"128")</f>
        <v>128</v>
      </c>
      <c r="C498" s="1" t="str">
        <f ca="1">IFERROR(__xludf.DUMMYFUNCTION("GOOGLETRANSLATE('대전도시공사_청년임대주택 현황_20240630'!C498,""ko"",""en"")"),"1")</f>
        <v>1</v>
      </c>
      <c r="D498" s="1" t="str">
        <f ca="1">IFERROR(__xludf.DUMMYFUNCTION("GOOGLETRANSLATE('대전도시공사_청년임대주택 현황_20240630'!D498,""ko"",""en"")"),"1008")</f>
        <v>1008</v>
      </c>
      <c r="E498" s="1" t="str">
        <f ca="1">IFERROR(__xludf.DUMMYFUNCTION("GOOGLETRANSLATE('대전도시공사_청년임대주택 현황_20240630'!E498,""ko"",""en"")"),"58.14")</f>
        <v>58.14</v>
      </c>
      <c r="F498" s="1" t="str">
        <f ca="1">IFERROR(__xludf.DUMMYFUNCTION("GOOGLETRANSLATE('대전도시공사_청년임대주택 현황_20240630'!F498,""ko"",""en"")"),"23.78")</f>
        <v>23.78</v>
      </c>
      <c r="G498" s="1" t="str">
        <f ca="1">IFERROR(__xludf.DUMMYFUNCTION("GOOGLETRANSLATE('대전도시공사_청년임대주택 현황_20240630'!G498,""ko"",""en"")"),"34.36")</f>
        <v>34.36</v>
      </c>
      <c r="H498" s="1" t="str">
        <f ca="1">IFERROR(__xludf.DUMMYFUNCTION("GOOGLETRANSLATE('대전도시공사_청년임대주택 현황_20240630'!H498,""ko"",""en"")"),"Youth Rental 2nd Place")</f>
        <v>Youth Rental 2nd Place</v>
      </c>
      <c r="I498" s="1" t="str">
        <f ca="1">IFERROR(__xludf.DUMMYFUNCTION("GOOGLETRANSLATE('대전도시공사_청년임대주택 현황_20240630'!I498,""ko"",""en"")"),"2000000")</f>
        <v>2000000</v>
      </c>
      <c r="J498" s="1" t="str">
        <f ca="1">IFERROR(__xludf.DUMMYFUNCTION("GOOGLETRANSLATE('대전도시공사_청년임대주택 현황_20240630'!J498,""ko"",""en"")"),"263400")</f>
        <v>263400</v>
      </c>
    </row>
    <row r="499" spans="1:10" ht="12.5" x14ac:dyDescent="0.25">
      <c r="A499" s="1" t="str">
        <f ca="1">IFERROR(__xludf.DUMMYFUNCTION("GOOGLETRANSLATE('대전도시공사_청년임대주택 현황_20240630'!A499,""ko"",""en"")"),"540-8 Bongmyeong-dong (Haenarae, youth rental)")</f>
        <v>540-8 Bongmyeong-dong (Haenarae, youth rental)</v>
      </c>
      <c r="B499" s="1" t="str">
        <f ca="1">IFERROR(__xludf.DUMMYFUNCTION("GOOGLETRANSLATE('대전도시공사_청년임대주택 현황_20240630'!B499,""ko"",""en"")"),"129")</f>
        <v>129</v>
      </c>
      <c r="C499" s="1" t="str">
        <f ca="1">IFERROR(__xludf.DUMMYFUNCTION("GOOGLETRANSLATE('대전도시공사_청년임대주택 현황_20240630'!C499,""ko"",""en"")"),"1")</f>
        <v>1</v>
      </c>
      <c r="D499" s="1" t="str">
        <f ca="1">IFERROR(__xludf.DUMMYFUNCTION("GOOGLETRANSLATE('대전도시공사_청년임대주택 현황_20240630'!D499,""ko"",""en"")"),"1008")</f>
        <v>1008</v>
      </c>
      <c r="E499" s="1" t="str">
        <f ca="1">IFERROR(__xludf.DUMMYFUNCTION("GOOGLETRANSLATE('대전도시공사_청년임대주택 현황_20240630'!E499,""ko"",""en"")"),"58.14")</f>
        <v>58.14</v>
      </c>
      <c r="F499" s="1" t="str">
        <f ca="1">IFERROR(__xludf.DUMMYFUNCTION("GOOGLETRANSLATE('대전도시공사_청년임대주택 현황_20240630'!F499,""ko"",""en"")"),"23.78")</f>
        <v>23.78</v>
      </c>
      <c r="G499" s="1" t="str">
        <f ca="1">IFERROR(__xludf.DUMMYFUNCTION("GOOGLETRANSLATE('대전도시공사_청년임대주택 현황_20240630'!G499,""ko"",""en"")"),"34.36")</f>
        <v>34.36</v>
      </c>
      <c r="H499" s="1" t="str">
        <f ca="1">IFERROR(__xludf.DUMMYFUNCTION("GOOGLETRANSLATE('대전도시공사_청년임대주택 현황_20240630'!H499,""ko"",""en"")"),"3rd place for youth rental")</f>
        <v>3rd place for youth rental</v>
      </c>
      <c r="I499" s="1" t="str">
        <f ca="1">IFERROR(__xludf.DUMMYFUNCTION("GOOGLETRANSLATE('대전도시공사_청년임대주택 현황_20240630'!I499,""ko"",""en"")"),"2000000")</f>
        <v>2000000</v>
      </c>
      <c r="J499" s="1" t="str">
        <f ca="1">IFERROR(__xludf.DUMMYFUNCTION("GOOGLETRANSLATE('대전도시공사_청년임대주택 현황_20240630'!J499,""ko"",""en"")"),"263400")</f>
        <v>263400</v>
      </c>
    </row>
    <row r="500" spans="1:10" ht="12.5" x14ac:dyDescent="0.25">
      <c r="A500" s="1" t="str">
        <f ca="1">IFERROR(__xludf.DUMMYFUNCTION("GOOGLETRANSLATE('대전도시공사_청년임대주택 현황_20240630'!A500,""ko"",""en"")"),"540-8 Bongmyeong-dong (Haenarae, youth rental)")</f>
        <v>540-8 Bongmyeong-dong (Haenarae, youth rental)</v>
      </c>
      <c r="B500" s="1" t="str">
        <f ca="1">IFERROR(__xludf.DUMMYFUNCTION("GOOGLETRANSLATE('대전도시공사_청년임대주택 현황_20240630'!B500,""ko"",""en"")"),"139")</f>
        <v>139</v>
      </c>
      <c r="C500" s="1" t="str">
        <f ca="1">IFERROR(__xludf.DUMMYFUNCTION("GOOGLETRANSLATE('대전도시공사_청년임대주택 현황_20240630'!C500,""ko"",""en"")"),"1")</f>
        <v>1</v>
      </c>
      <c r="D500" s="1" t="str">
        <f ca="1">IFERROR(__xludf.DUMMYFUNCTION("GOOGLETRANSLATE('대전도시공사_청년임대주택 현황_20240630'!D500,""ko"",""en"")"),"1106")</f>
        <v>1106</v>
      </c>
      <c r="E500" s="1" t="str">
        <f ca="1">IFERROR(__xludf.DUMMYFUNCTION("GOOGLETRANSLATE('대전도시공사_청년임대주택 현황_20240630'!E500,""ko"",""en"")"),"58.813")</f>
        <v>58.813</v>
      </c>
      <c r="F500" s="1" t="str">
        <f ca="1">IFERROR(__xludf.DUMMYFUNCTION("GOOGLETRANSLATE('대전도시공사_청년임대주택 현황_20240630'!F500,""ko"",""en"")"),"24.017")</f>
        <v>24.017</v>
      </c>
      <c r="G500" s="1" t="str">
        <f ca="1">IFERROR(__xludf.DUMMYFUNCTION("GOOGLETRANSLATE('대전도시공사_청년임대주택 현황_20240630'!G500,""ko"",""en"")"),"34.795")</f>
        <v>34.795</v>
      </c>
      <c r="H500" s="1" t="str">
        <f ca="1">IFERROR(__xludf.DUMMYFUNCTION("GOOGLETRANSLATE('대전도시공사_청년임대주택 현황_20240630'!H500,""ko"",""en"")"),"Youth Rent 1st Place")</f>
        <v>Youth Rent 1st Place</v>
      </c>
      <c r="I500" s="1" t="str">
        <f ca="1">IFERROR(__xludf.DUMMYFUNCTION("GOOGLETRANSLATE('대전도시공사_청년임대주택 현황_20240630'!I500,""ko"",""en"")"),"1000000")</f>
        <v>1000000</v>
      </c>
      <c r="J500" s="1" t="str">
        <f ca="1">IFERROR(__xludf.DUMMYFUNCTION("GOOGLETRANSLATE('대전도시공사_청년임대주택 현황_20240630'!J500,""ko"",""en"")"),"216200")</f>
        <v>216200</v>
      </c>
    </row>
    <row r="501" spans="1:10" ht="12.5" x14ac:dyDescent="0.25">
      <c r="A501" s="1" t="str">
        <f ca="1">IFERROR(__xludf.DUMMYFUNCTION("GOOGLETRANSLATE('대전도시공사_청년임대주택 현황_20240630'!A501,""ko"",""en"")"),"540-8 Bongmyeong-dong (Haenarae, youth rental)")</f>
        <v>540-8 Bongmyeong-dong (Haenarae, youth rental)</v>
      </c>
      <c r="B501" s="1" t="str">
        <f ca="1">IFERROR(__xludf.DUMMYFUNCTION("GOOGLETRANSLATE('대전도시공사_청년임대주택 현황_20240630'!B501,""ko"",""en"")"),"140")</f>
        <v>140</v>
      </c>
      <c r="C501" s="1" t="str">
        <f ca="1">IFERROR(__xludf.DUMMYFUNCTION("GOOGLETRANSLATE('대전도시공사_청년임대주택 현황_20240630'!C501,""ko"",""en"")"),"1")</f>
        <v>1</v>
      </c>
      <c r="D501" s="1" t="str">
        <f ca="1">IFERROR(__xludf.DUMMYFUNCTION("GOOGLETRANSLATE('대전도시공사_청년임대주택 현황_20240630'!D501,""ko"",""en"")"),"1106")</f>
        <v>1106</v>
      </c>
      <c r="E501" s="1" t="str">
        <f ca="1">IFERROR(__xludf.DUMMYFUNCTION("GOOGLETRANSLATE('대전도시공사_청년임대주택 현황_20240630'!E501,""ko"",""en"")"),"58.813")</f>
        <v>58.813</v>
      </c>
      <c r="F501" s="1" t="str">
        <f ca="1">IFERROR(__xludf.DUMMYFUNCTION("GOOGLETRANSLATE('대전도시공사_청년임대주택 현황_20240630'!F501,""ko"",""en"")"),"24.017")</f>
        <v>24.017</v>
      </c>
      <c r="G501" s="1" t="str">
        <f ca="1">IFERROR(__xludf.DUMMYFUNCTION("GOOGLETRANSLATE('대전도시공사_청년임대주택 현황_20240630'!G501,""ko"",""en"")"),"34.795")</f>
        <v>34.795</v>
      </c>
      <c r="H501" s="1" t="str">
        <f ca="1">IFERROR(__xludf.DUMMYFUNCTION("GOOGLETRANSLATE('대전도시공사_청년임대주택 현황_20240630'!H501,""ko"",""en"")"),"Youth Rental 2nd Place")</f>
        <v>Youth Rental 2nd Place</v>
      </c>
      <c r="I501" s="1" t="str">
        <f ca="1">IFERROR(__xludf.DUMMYFUNCTION("GOOGLETRANSLATE('대전도시공사_청년임대주택 현황_20240630'!I501,""ko"",""en"")"),"2000000")</f>
        <v>2000000</v>
      </c>
      <c r="J501" s="1" t="str">
        <f ca="1">IFERROR(__xludf.DUMMYFUNCTION("GOOGLETRANSLATE('대전도시공사_청년임대주택 현황_20240630'!J501,""ko"",""en"")"),"266100")</f>
        <v>266100</v>
      </c>
    </row>
    <row r="502" spans="1:10" ht="12.5" x14ac:dyDescent="0.25">
      <c r="A502" s="1" t="str">
        <f ca="1">IFERROR(__xludf.DUMMYFUNCTION("GOOGLETRANSLATE('대전도시공사_청년임대주택 현황_20240630'!A502,""ko"",""en"")"),"540-8 Bongmyeong-dong (Haenarae, youth rental)")</f>
        <v>540-8 Bongmyeong-dong (Haenarae, youth rental)</v>
      </c>
      <c r="B502" s="1" t="str">
        <f ca="1">IFERROR(__xludf.DUMMYFUNCTION("GOOGLETRANSLATE('대전도시공사_청년임대주택 현황_20240630'!B502,""ko"",""en"")"),"141")</f>
        <v>141</v>
      </c>
      <c r="C502" s="1" t="str">
        <f ca="1">IFERROR(__xludf.DUMMYFUNCTION("GOOGLETRANSLATE('대전도시공사_청년임대주택 현황_20240630'!C502,""ko"",""en"")"),"1")</f>
        <v>1</v>
      </c>
      <c r="D502" s="1" t="str">
        <f ca="1">IFERROR(__xludf.DUMMYFUNCTION("GOOGLETRANSLATE('대전도시공사_청년임대주택 현황_20240630'!D502,""ko"",""en"")"),"1106")</f>
        <v>1106</v>
      </c>
      <c r="E502" s="1" t="str">
        <f ca="1">IFERROR(__xludf.DUMMYFUNCTION("GOOGLETRANSLATE('대전도시공사_청년임대주택 현황_20240630'!E502,""ko"",""en"")"),"58.813")</f>
        <v>58.813</v>
      </c>
      <c r="F502" s="1" t="str">
        <f ca="1">IFERROR(__xludf.DUMMYFUNCTION("GOOGLETRANSLATE('대전도시공사_청년임대주택 현황_20240630'!F502,""ko"",""en"")"),"24.017")</f>
        <v>24.017</v>
      </c>
      <c r="G502" s="1" t="str">
        <f ca="1">IFERROR(__xludf.DUMMYFUNCTION("GOOGLETRANSLATE('대전도시공사_청년임대주택 현황_20240630'!G502,""ko"",""en"")"),"34.795")</f>
        <v>34.795</v>
      </c>
      <c r="H502" s="1" t="str">
        <f ca="1">IFERROR(__xludf.DUMMYFUNCTION("GOOGLETRANSLATE('대전도시공사_청년임대주택 현황_20240630'!H502,""ko"",""en"")"),"3rd place for youth rental")</f>
        <v>3rd place for youth rental</v>
      </c>
      <c r="I502" s="1" t="str">
        <f ca="1">IFERROR(__xludf.DUMMYFUNCTION("GOOGLETRANSLATE('대전도시공사_청년임대주택 현황_20240630'!I502,""ko"",""en"")"),"2000000")</f>
        <v>2000000</v>
      </c>
      <c r="J502" s="1" t="str">
        <f ca="1">IFERROR(__xludf.DUMMYFUNCTION("GOOGLETRANSLATE('대전도시공사_청년임대주택 현황_20240630'!J502,""ko"",""en"")"),"266100")</f>
        <v>266100</v>
      </c>
    </row>
    <row r="503" spans="1:10" ht="12.5" x14ac:dyDescent="0.25">
      <c r="A503" s="1" t="str">
        <f ca="1">IFERROR(__xludf.DUMMYFUNCTION("GOOGLETRANSLATE('대전도시공사_청년임대주택 현황_20240630'!A503,""ko"",""en"")"),"540-8 Bongmyeong-dong (Haenarae, youth rental)")</f>
        <v>540-8 Bongmyeong-dong (Haenarae, youth rental)</v>
      </c>
      <c r="B503" s="1" t="str">
        <f ca="1">IFERROR(__xludf.DUMMYFUNCTION("GOOGLETRANSLATE('대전도시공사_청년임대주택 현황_20240630'!B503,""ko"",""en"")"),"148")</f>
        <v>148</v>
      </c>
      <c r="C503" s="1" t="str">
        <f ca="1">IFERROR(__xludf.DUMMYFUNCTION("GOOGLETRANSLATE('대전도시공사_청년임대주택 현황_20240630'!C503,""ko"",""en"")"),"1")</f>
        <v>1</v>
      </c>
      <c r="D503" s="1" t="str">
        <f ca="1">IFERROR(__xludf.DUMMYFUNCTION("GOOGLETRANSLATE('대전도시공사_청년임대주택 현황_20240630'!D503,""ko"",""en"")"),"1115")</f>
        <v>1115</v>
      </c>
      <c r="E503" s="1" t="str">
        <f ca="1">IFERROR(__xludf.DUMMYFUNCTION("GOOGLETRANSLATE('대전도시공사_청년임대주택 현황_20240630'!E503,""ko"",""en"")"),"46.296")</f>
        <v>46.296</v>
      </c>
      <c r="F503" s="1" t="str">
        <f ca="1">IFERROR(__xludf.DUMMYFUNCTION("GOOGLETRANSLATE('대전도시공사_청년임대주택 현황_20240630'!F503,""ko"",""en"")"),"18.459")</f>
        <v>18.459</v>
      </c>
      <c r="G503" s="1" t="str">
        <f ca="1">IFERROR(__xludf.DUMMYFUNCTION("GOOGLETRANSLATE('대전도시공사_청년임대주택 현황_20240630'!G503,""ko"",""en"")"),"27.837")</f>
        <v>27.837</v>
      </c>
      <c r="H503" s="1" t="str">
        <f ca="1">IFERROR(__xludf.DUMMYFUNCTION("GOOGLETRANSLATE('대전도시공사_청년임대주택 현황_20240630'!H503,""ko"",""en"")"),"Youth Rent 1st Place")</f>
        <v>Youth Rent 1st Place</v>
      </c>
      <c r="I503" s="1" t="str">
        <f ca="1">IFERROR(__xludf.DUMMYFUNCTION("GOOGLETRANSLATE('대전도시공사_청년임대주택 현황_20240630'!I503,""ko"",""en"")"),"1000000")</f>
        <v>1000000</v>
      </c>
      <c r="J503" s="1" t="str">
        <f ca="1">IFERROR(__xludf.DUMMYFUNCTION("GOOGLETRANSLATE('대전도시공사_청년임대주택 현황_20240630'!J503,""ko"",""en"")"),"218300")</f>
        <v>218300</v>
      </c>
    </row>
    <row r="504" spans="1:10" ht="12.5" x14ac:dyDescent="0.25">
      <c r="A504" s="1" t="str">
        <f ca="1">IFERROR(__xludf.DUMMYFUNCTION("GOOGLETRANSLATE('대전도시공사_청년임대주택 현황_20240630'!A504,""ko"",""en"")"),"540-8 Bongmyeong-dong (Haenarae, youth rental)")</f>
        <v>540-8 Bongmyeong-dong (Haenarae, youth rental)</v>
      </c>
      <c r="B504" s="1" t="str">
        <f ca="1">IFERROR(__xludf.DUMMYFUNCTION("GOOGLETRANSLATE('대전도시공사_청년임대주택 현황_20240630'!B504,""ko"",""en"")"),"149")</f>
        <v>149</v>
      </c>
      <c r="C504" s="1" t="str">
        <f ca="1">IFERROR(__xludf.DUMMYFUNCTION("GOOGLETRANSLATE('대전도시공사_청년임대주택 현황_20240630'!C504,""ko"",""en"")"),"1")</f>
        <v>1</v>
      </c>
      <c r="D504" s="1" t="str">
        <f ca="1">IFERROR(__xludf.DUMMYFUNCTION("GOOGLETRANSLATE('대전도시공사_청년임대주택 현황_20240630'!D504,""ko"",""en"")"),"1115")</f>
        <v>1115</v>
      </c>
      <c r="E504" s="1" t="str">
        <f ca="1">IFERROR(__xludf.DUMMYFUNCTION("GOOGLETRANSLATE('대전도시공사_청년임대주택 현황_20240630'!E504,""ko"",""en"")"),"46.296")</f>
        <v>46.296</v>
      </c>
      <c r="F504" s="1" t="str">
        <f ca="1">IFERROR(__xludf.DUMMYFUNCTION("GOOGLETRANSLATE('대전도시공사_청년임대주택 현황_20240630'!F504,""ko"",""en"")"),"18.459")</f>
        <v>18.459</v>
      </c>
      <c r="G504" s="1" t="str">
        <f ca="1">IFERROR(__xludf.DUMMYFUNCTION("GOOGLETRANSLATE('대전도시공사_청년임대주택 현황_20240630'!G504,""ko"",""en"")"),"27.837")</f>
        <v>27.837</v>
      </c>
      <c r="H504" s="1" t="str">
        <f ca="1">IFERROR(__xludf.DUMMYFUNCTION("GOOGLETRANSLATE('대전도시공사_청년임대주택 현황_20240630'!H504,""ko"",""en"")"),"Youth Rental 2nd Place")</f>
        <v>Youth Rental 2nd Place</v>
      </c>
      <c r="I504" s="1" t="str">
        <f ca="1">IFERROR(__xludf.DUMMYFUNCTION("GOOGLETRANSLATE('대전도시공사_청년임대주택 현황_20240630'!I504,""ko"",""en"")"),"2000000")</f>
        <v>2000000</v>
      </c>
      <c r="J504" s="1" t="str">
        <f ca="1">IFERROR(__xludf.DUMMYFUNCTION("GOOGLETRANSLATE('대전도시공사_청년임대주택 현황_20240630'!J504,""ko"",""en"")"),"268700")</f>
        <v>268700</v>
      </c>
    </row>
    <row r="505" spans="1:10" ht="12.5" x14ac:dyDescent="0.25">
      <c r="A505" s="1" t="str">
        <f ca="1">IFERROR(__xludf.DUMMYFUNCTION("GOOGLETRANSLATE('대전도시공사_청년임대주택 현황_20240630'!A505,""ko"",""en"")"),"540-8 Bongmyeong-dong (Haenarae, youth rental)")</f>
        <v>540-8 Bongmyeong-dong (Haenarae, youth rental)</v>
      </c>
      <c r="B505" s="1" t="str">
        <f ca="1">IFERROR(__xludf.DUMMYFUNCTION("GOOGLETRANSLATE('대전도시공사_청년임대주택 현황_20240630'!B505,""ko"",""en"")"),"150")</f>
        <v>150</v>
      </c>
      <c r="C505" s="1" t="str">
        <f ca="1">IFERROR(__xludf.DUMMYFUNCTION("GOOGLETRANSLATE('대전도시공사_청년임대주택 현황_20240630'!C505,""ko"",""en"")"),"1")</f>
        <v>1</v>
      </c>
      <c r="D505" s="1" t="str">
        <f ca="1">IFERROR(__xludf.DUMMYFUNCTION("GOOGLETRANSLATE('대전도시공사_청년임대주택 현황_20240630'!D505,""ko"",""en"")"),"1115")</f>
        <v>1115</v>
      </c>
      <c r="E505" s="1" t="str">
        <f ca="1">IFERROR(__xludf.DUMMYFUNCTION("GOOGLETRANSLATE('대전도시공사_청년임대주택 현황_20240630'!E505,""ko"",""en"")"),"46.296")</f>
        <v>46.296</v>
      </c>
      <c r="F505" s="1" t="str">
        <f ca="1">IFERROR(__xludf.DUMMYFUNCTION("GOOGLETRANSLATE('대전도시공사_청년임대주택 현황_20240630'!F505,""ko"",""en"")"),"18.459")</f>
        <v>18.459</v>
      </c>
      <c r="G505" s="1" t="str">
        <f ca="1">IFERROR(__xludf.DUMMYFUNCTION("GOOGLETRANSLATE('대전도시공사_청년임대주택 현황_20240630'!G505,""ko"",""en"")"),"27.837")</f>
        <v>27.837</v>
      </c>
      <c r="H505" s="1" t="str">
        <f ca="1">IFERROR(__xludf.DUMMYFUNCTION("GOOGLETRANSLATE('대전도시공사_청년임대주택 현황_20240630'!H505,""ko"",""en"")"),"3rd place for youth rental")</f>
        <v>3rd place for youth rental</v>
      </c>
      <c r="I505" s="1" t="str">
        <f ca="1">IFERROR(__xludf.DUMMYFUNCTION("GOOGLETRANSLATE('대전도시공사_청년임대주택 현황_20240630'!I505,""ko"",""en"")"),"2000000")</f>
        <v>2000000</v>
      </c>
      <c r="J505" s="1" t="str">
        <f ca="1">IFERROR(__xludf.DUMMYFUNCTION("GOOGLETRANSLATE('대전도시공사_청년임대주택 현황_20240630'!J505,""ko"",""en"")"),"268700")</f>
        <v>268700</v>
      </c>
    </row>
    <row r="506" spans="1:10" ht="12.5" x14ac:dyDescent="0.25">
      <c r="A506" s="1" t="str">
        <f ca="1">IFERROR(__xludf.DUMMYFUNCTION("GOOGLETRANSLATE('대전도시공사_청년임대주택 현황_20240630'!A506,""ko"",""en"")"),"540-8 Bongmyeong-dong (Haenarae, youth rental)")</f>
        <v>540-8 Bongmyeong-dong (Haenarae, youth rental)</v>
      </c>
      <c r="B506" s="1" t="str">
        <f ca="1">IFERROR(__xludf.DUMMYFUNCTION("GOOGLETRANSLATE('대전도시공사_청년임대주택 현황_20240630'!B506,""ko"",""en"")"),"157")</f>
        <v>157</v>
      </c>
      <c r="C506" s="1" t="str">
        <f ca="1">IFERROR(__xludf.DUMMYFUNCTION("GOOGLETRANSLATE('대전도시공사_청년임대주택 현황_20240630'!C506,""ko"",""en"")"),"1")</f>
        <v>1</v>
      </c>
      <c r="D506" s="1" t="str">
        <f ca="1">IFERROR(__xludf.DUMMYFUNCTION("GOOGLETRANSLATE('대전도시공사_청년임대주택 현황_20240630'!D506,""ko"",""en"")"),"1203")</f>
        <v>1203</v>
      </c>
      <c r="E506" s="1" t="str">
        <f ca="1">IFERROR(__xludf.DUMMYFUNCTION("GOOGLETRANSLATE('대전도시공사_청년임대주택 현황_20240630'!E506,""ko"",""en"")"),"58.799")</f>
        <v>58.799</v>
      </c>
      <c r="F506" s="1" t="str">
        <f ca="1">IFERROR(__xludf.DUMMYFUNCTION("GOOGLETRANSLATE('대전도시공사_청년임대주택 현황_20240630'!F506,""ko"",""en"")"),"24.279")</f>
        <v>24.279</v>
      </c>
      <c r="G506" s="1" t="str">
        <f ca="1">IFERROR(__xludf.DUMMYFUNCTION("GOOGLETRANSLATE('대전도시공사_청년임대주택 현황_20240630'!G506,""ko"",""en"")"),"34.519")</f>
        <v>34.519</v>
      </c>
      <c r="H506" s="1" t="str">
        <f ca="1">IFERROR(__xludf.DUMMYFUNCTION("GOOGLETRANSLATE('대전도시공사_청년임대주택 현황_20240630'!H506,""ko"",""en"")"),"Beneficiary")</f>
        <v>Beneficiary</v>
      </c>
      <c r="I506" s="1" t="str">
        <f ca="1">IFERROR(__xludf.DUMMYFUNCTION("GOOGLETRANSLATE('대전도시공사_청년임대주택 현황_20240630'!I506,""ko"",""en"")"),"1000000")</f>
        <v>1000000</v>
      </c>
      <c r="J506" s="1" t="str">
        <f ca="1">IFERROR(__xludf.DUMMYFUNCTION("GOOGLETRANSLATE('대전도시공사_청년임대주택 현황_20240630'!J506,""ko"",""en"")"),"226700")</f>
        <v>226700</v>
      </c>
    </row>
    <row r="507" spans="1:10" ht="12.5" x14ac:dyDescent="0.25">
      <c r="A507" s="1" t="str">
        <f ca="1">IFERROR(__xludf.DUMMYFUNCTION("GOOGLETRANSLATE('대전도시공사_청년임대주택 현황_20240630'!A507,""ko"",""en"")"),"540-8 Bongmyeong-dong (Haenarae, youth rental)")</f>
        <v>540-8 Bongmyeong-dong (Haenarae, youth rental)</v>
      </c>
      <c r="B507" s="1" t="str">
        <f ca="1">IFERROR(__xludf.DUMMYFUNCTION("GOOGLETRANSLATE('대전도시공사_청년임대주택 현황_20240630'!B507,""ko"",""en"")"),"158")</f>
        <v>158</v>
      </c>
      <c r="C507" s="1" t="str">
        <f ca="1">IFERROR(__xludf.DUMMYFUNCTION("GOOGLETRANSLATE('대전도시공사_청년임대주택 현황_20240630'!C507,""ko"",""en"")"),"1")</f>
        <v>1</v>
      </c>
      <c r="D507" s="1" t="str">
        <f ca="1">IFERROR(__xludf.DUMMYFUNCTION("GOOGLETRANSLATE('대전도시공사_청년임대주택 현황_20240630'!D507,""ko"",""en"")"),"1203")</f>
        <v>1203</v>
      </c>
      <c r="E507" s="1" t="str">
        <f ca="1">IFERROR(__xludf.DUMMYFUNCTION("GOOGLETRANSLATE('대전도시공사_청년임대주택 현황_20240630'!E507,""ko"",""en"")"),"58.799")</f>
        <v>58.799</v>
      </c>
      <c r="F507" s="1" t="str">
        <f ca="1">IFERROR(__xludf.DUMMYFUNCTION("GOOGLETRANSLATE('대전도시공사_청년임대주택 현황_20240630'!F507,""ko"",""en"")"),"24.279")</f>
        <v>24.279</v>
      </c>
      <c r="G507" s="1" t="str">
        <f ca="1">IFERROR(__xludf.DUMMYFUNCTION("GOOGLETRANSLATE('대전도시공사_청년임대주택 현황_20240630'!G507,""ko"",""en"")"),"34.519")</f>
        <v>34.519</v>
      </c>
      <c r="H507" s="1" t="str">
        <f ca="1">IFERROR(__xludf.DUMMYFUNCTION("GOOGLETRANSLATE('대전도시공사_청년임대주택 현황_20240630'!H507,""ko"",""en"")"),"Youth Rental 2nd Place")</f>
        <v>Youth Rental 2nd Place</v>
      </c>
      <c r="I507" s="1" t="str">
        <f ca="1">IFERROR(__xludf.DUMMYFUNCTION("GOOGLETRANSLATE('대전도시공사_청년임대주택 현황_20240630'!I507,""ko"",""en"")"),"2000000")</f>
        <v>2000000</v>
      </c>
      <c r="J507" s="1" t="str">
        <f ca="1">IFERROR(__xludf.DUMMYFUNCTION("GOOGLETRANSLATE('대전도시공사_청년임대주택 현황_20240630'!J507,""ko"",""en"")"),"279200")</f>
        <v>279200</v>
      </c>
    </row>
    <row r="508" spans="1:10" ht="12.5" x14ac:dyDescent="0.25">
      <c r="A508" s="1" t="str">
        <f ca="1">IFERROR(__xludf.DUMMYFUNCTION("GOOGLETRANSLATE('대전도시공사_청년임대주택 현황_20240630'!A508,""ko"",""en"")"),"540-8 Bongmyeong-dong (Haenarae, youth rental)")</f>
        <v>540-8 Bongmyeong-dong (Haenarae, youth rental)</v>
      </c>
      <c r="B508" s="1" t="str">
        <f ca="1">IFERROR(__xludf.DUMMYFUNCTION("GOOGLETRANSLATE('대전도시공사_청년임대주택 현황_20240630'!B508,""ko"",""en"")"),"159")</f>
        <v>159</v>
      </c>
      <c r="C508" s="1" t="str">
        <f ca="1">IFERROR(__xludf.DUMMYFUNCTION("GOOGLETRANSLATE('대전도시공사_청년임대주택 현황_20240630'!C508,""ko"",""en"")"),"1")</f>
        <v>1</v>
      </c>
      <c r="D508" s="1" t="str">
        <f ca="1">IFERROR(__xludf.DUMMYFUNCTION("GOOGLETRANSLATE('대전도시공사_청년임대주택 현황_20240630'!D508,""ko"",""en"")"),"1203")</f>
        <v>1203</v>
      </c>
      <c r="E508" s="1" t="str">
        <f ca="1">IFERROR(__xludf.DUMMYFUNCTION("GOOGLETRANSLATE('대전도시공사_청년임대주택 현황_20240630'!E508,""ko"",""en"")"),"58.799")</f>
        <v>58.799</v>
      </c>
      <c r="F508" s="1" t="str">
        <f ca="1">IFERROR(__xludf.DUMMYFUNCTION("GOOGLETRANSLATE('대전도시공사_청년임대주택 현황_20240630'!F508,""ko"",""en"")"),"24.279")</f>
        <v>24.279</v>
      </c>
      <c r="G508" s="1" t="str">
        <f ca="1">IFERROR(__xludf.DUMMYFUNCTION("GOOGLETRANSLATE('대전도시공사_청년임대주택 현황_20240630'!G508,""ko"",""en"")"),"34.519")</f>
        <v>34.519</v>
      </c>
      <c r="H508" s="1" t="str">
        <f ca="1">IFERROR(__xludf.DUMMYFUNCTION("GOOGLETRANSLATE('대전도시공사_청년임대주택 현황_20240630'!H508,""ko"",""en"")"),"3rd place for youth rental")</f>
        <v>3rd place for youth rental</v>
      </c>
      <c r="I508" s="1" t="str">
        <f ca="1">IFERROR(__xludf.DUMMYFUNCTION("GOOGLETRANSLATE('대전도시공사_청년임대주택 현황_20240630'!I508,""ko"",""en"")"),"2000000")</f>
        <v>2000000</v>
      </c>
      <c r="J508" s="1" t="str">
        <f ca="1">IFERROR(__xludf.DUMMYFUNCTION("GOOGLETRANSLATE('대전도시공사_청년임대주택 현황_20240630'!J508,""ko"",""en"")"),"279200")</f>
        <v>279200</v>
      </c>
    </row>
    <row r="509" spans="1:10" ht="12.5" x14ac:dyDescent="0.25">
      <c r="A509" s="1" t="str">
        <f ca="1">IFERROR(__xludf.DUMMYFUNCTION("GOOGLETRANSLATE('대전도시공사_청년임대주택 현황_20240630'!A509,""ko"",""en"")"),"540-8 Bongmyeong-dong (Haenarae, youth rental)")</f>
        <v>540-8 Bongmyeong-dong (Haenarae, youth rental)</v>
      </c>
      <c r="B509" s="1" t="str">
        <f ca="1">IFERROR(__xludf.DUMMYFUNCTION("GOOGLETRANSLATE('대전도시공사_청년임대주택 현황_20240630'!B509,""ko"",""en"")"),"160")</f>
        <v>160</v>
      </c>
      <c r="C509" s="1" t="str">
        <f ca="1">IFERROR(__xludf.DUMMYFUNCTION("GOOGLETRANSLATE('대전도시공사_청년임대주택 현황_20240630'!C509,""ko"",""en"")"),"1")</f>
        <v>1</v>
      </c>
      <c r="D509" s="1" t="str">
        <f ca="1">IFERROR(__xludf.DUMMYFUNCTION("GOOGLETRANSLATE('대전도시공사_청년임대주택 현황_20240630'!D509,""ko"",""en"")"),"1206")</f>
        <v>1206</v>
      </c>
      <c r="E509" s="1" t="str">
        <f ca="1">IFERROR(__xludf.DUMMYFUNCTION("GOOGLETRANSLATE('대전도시공사_청년임대주택 현황_20240630'!E509,""ko"",""en"")"),"58.813")</f>
        <v>58.813</v>
      </c>
      <c r="F509" s="1" t="str">
        <f ca="1">IFERROR(__xludf.DUMMYFUNCTION("GOOGLETRANSLATE('대전도시공사_청년임대주택 현황_20240630'!F509,""ko"",""en"")"),"24.017")</f>
        <v>24.017</v>
      </c>
      <c r="G509" s="1" t="str">
        <f ca="1">IFERROR(__xludf.DUMMYFUNCTION("GOOGLETRANSLATE('대전도시공사_청년임대주택 현황_20240630'!G509,""ko"",""en"")"),"34.795")</f>
        <v>34.795</v>
      </c>
      <c r="H509" s="1" t="str">
        <f ca="1">IFERROR(__xludf.DUMMYFUNCTION("GOOGLETRANSLATE('대전도시공사_청년임대주택 현황_20240630'!H509,""ko"",""en"")"),"Youth Rent 1st Place")</f>
        <v>Youth Rent 1st Place</v>
      </c>
      <c r="I509" s="1" t="str">
        <f ca="1">IFERROR(__xludf.DUMMYFUNCTION("GOOGLETRANSLATE('대전도시공사_청년임대주택 현황_20240630'!I509,""ko"",""en"")"),"1000000")</f>
        <v>1000000</v>
      </c>
      <c r="J509" s="1" t="str">
        <f ca="1">IFERROR(__xludf.DUMMYFUNCTION("GOOGLETRANSLATE('대전도시공사_청년임대주택 현황_20240630'!J509,""ko"",""en"")"),"216200")</f>
        <v>216200</v>
      </c>
    </row>
    <row r="510" spans="1:10" ht="12.5" x14ac:dyDescent="0.25">
      <c r="A510" s="1" t="str">
        <f ca="1">IFERROR(__xludf.DUMMYFUNCTION("GOOGLETRANSLATE('대전도시공사_청년임대주택 현황_20240630'!A510,""ko"",""en"")"),"540-8 Bongmyeong-dong (Haenarae, youth rental)")</f>
        <v>540-8 Bongmyeong-dong (Haenarae, youth rental)</v>
      </c>
      <c r="B510" s="1" t="str">
        <f ca="1">IFERROR(__xludf.DUMMYFUNCTION("GOOGLETRANSLATE('대전도시공사_청년임대주택 현황_20240630'!B510,""ko"",""en"")"),"161")</f>
        <v>161</v>
      </c>
      <c r="C510" s="1" t="str">
        <f ca="1">IFERROR(__xludf.DUMMYFUNCTION("GOOGLETRANSLATE('대전도시공사_청년임대주택 현황_20240630'!C510,""ko"",""en"")"),"1")</f>
        <v>1</v>
      </c>
      <c r="D510" s="1" t="str">
        <f ca="1">IFERROR(__xludf.DUMMYFUNCTION("GOOGLETRANSLATE('대전도시공사_청년임대주택 현황_20240630'!D510,""ko"",""en"")"),"1206")</f>
        <v>1206</v>
      </c>
      <c r="E510" s="1" t="str">
        <f ca="1">IFERROR(__xludf.DUMMYFUNCTION("GOOGLETRANSLATE('대전도시공사_청년임대주택 현황_20240630'!E510,""ko"",""en"")"),"58.813")</f>
        <v>58.813</v>
      </c>
      <c r="F510" s="1" t="str">
        <f ca="1">IFERROR(__xludf.DUMMYFUNCTION("GOOGLETRANSLATE('대전도시공사_청년임대주택 현황_20240630'!F510,""ko"",""en"")"),"24.017")</f>
        <v>24.017</v>
      </c>
      <c r="G510" s="1" t="str">
        <f ca="1">IFERROR(__xludf.DUMMYFUNCTION("GOOGLETRANSLATE('대전도시공사_청년임대주택 현황_20240630'!G510,""ko"",""en"")"),"34.795")</f>
        <v>34.795</v>
      </c>
      <c r="H510" s="1" t="str">
        <f ca="1">IFERROR(__xludf.DUMMYFUNCTION("GOOGLETRANSLATE('대전도시공사_청년임대주택 현황_20240630'!H510,""ko"",""en"")"),"Youth Rental 2nd Place")</f>
        <v>Youth Rental 2nd Place</v>
      </c>
      <c r="I510" s="1" t="str">
        <f ca="1">IFERROR(__xludf.DUMMYFUNCTION("GOOGLETRANSLATE('대전도시공사_청년임대주택 현황_20240630'!I510,""ko"",""en"")"),"2000000")</f>
        <v>2000000</v>
      </c>
      <c r="J510" s="1" t="str">
        <f ca="1">IFERROR(__xludf.DUMMYFUNCTION("GOOGLETRANSLATE('대전도시공사_청년임대주택 현황_20240630'!J510,""ko"",""en"")"),"266100")</f>
        <v>266100</v>
      </c>
    </row>
    <row r="511" spans="1:10" ht="12.5" x14ac:dyDescent="0.25">
      <c r="A511" s="1" t="str">
        <f ca="1">IFERROR(__xludf.DUMMYFUNCTION("GOOGLETRANSLATE('대전도시공사_청년임대주택 현황_20240630'!A511,""ko"",""en"")"),"540-8 Bongmyeong-dong (Haenarae, youth rental)")</f>
        <v>540-8 Bongmyeong-dong (Haenarae, youth rental)</v>
      </c>
      <c r="B511" s="1" t="str">
        <f ca="1">IFERROR(__xludf.DUMMYFUNCTION("GOOGLETRANSLATE('대전도시공사_청년임대주택 현황_20240630'!B511,""ko"",""en"")"),"162")</f>
        <v>162</v>
      </c>
      <c r="C511" s="1" t="str">
        <f ca="1">IFERROR(__xludf.DUMMYFUNCTION("GOOGLETRANSLATE('대전도시공사_청년임대주택 현황_20240630'!C511,""ko"",""en"")"),"1")</f>
        <v>1</v>
      </c>
      <c r="D511" s="1" t="str">
        <f ca="1">IFERROR(__xludf.DUMMYFUNCTION("GOOGLETRANSLATE('대전도시공사_청년임대주택 현황_20240630'!D511,""ko"",""en"")"),"1206")</f>
        <v>1206</v>
      </c>
      <c r="E511" s="1" t="str">
        <f ca="1">IFERROR(__xludf.DUMMYFUNCTION("GOOGLETRANSLATE('대전도시공사_청년임대주택 현황_20240630'!E511,""ko"",""en"")"),"58.813")</f>
        <v>58.813</v>
      </c>
      <c r="F511" s="1" t="str">
        <f ca="1">IFERROR(__xludf.DUMMYFUNCTION("GOOGLETRANSLATE('대전도시공사_청년임대주택 현황_20240630'!F511,""ko"",""en"")"),"24.017")</f>
        <v>24.017</v>
      </c>
      <c r="G511" s="1" t="str">
        <f ca="1">IFERROR(__xludf.DUMMYFUNCTION("GOOGLETRANSLATE('대전도시공사_청년임대주택 현황_20240630'!G511,""ko"",""en"")"),"34.795")</f>
        <v>34.795</v>
      </c>
      <c r="H511" s="1" t="str">
        <f ca="1">IFERROR(__xludf.DUMMYFUNCTION("GOOGLETRANSLATE('대전도시공사_청년임대주택 현황_20240630'!H511,""ko"",""en"")"),"3rd place for youth rental")</f>
        <v>3rd place for youth rental</v>
      </c>
      <c r="I511" s="1" t="str">
        <f ca="1">IFERROR(__xludf.DUMMYFUNCTION("GOOGLETRANSLATE('대전도시공사_청년임대주택 현황_20240630'!I511,""ko"",""en"")"),"2000000")</f>
        <v>2000000</v>
      </c>
      <c r="J511" s="1" t="str">
        <f ca="1">IFERROR(__xludf.DUMMYFUNCTION("GOOGLETRANSLATE('대전도시공사_청년임대주택 현황_20240630'!J511,""ko"",""en"")"),"266100")</f>
        <v>266100</v>
      </c>
    </row>
    <row r="512" spans="1:10" ht="12.5" x14ac:dyDescent="0.25">
      <c r="A512" s="1" t="str">
        <f ca="1">IFERROR(__xludf.DUMMYFUNCTION("GOOGLETRANSLATE('대전도시공사_청년임대주택 현황_20240630'!A512,""ko"",""en"")"),"540-8 Bongmyeong-dong (Haenarae, youth rental)")</f>
        <v>540-8 Bongmyeong-dong (Haenarae, youth rental)</v>
      </c>
      <c r="B512" s="1" t="str">
        <f ca="1">IFERROR(__xludf.DUMMYFUNCTION("GOOGLETRANSLATE('대전도시공사_청년임대주택 현황_20240630'!B512,""ko"",""en"")"),"172")</f>
        <v>172</v>
      </c>
      <c r="C512" s="1" t="str">
        <f ca="1">IFERROR(__xludf.DUMMYFUNCTION("GOOGLETRANSLATE('대전도시공사_청년임대주택 현황_20240630'!C512,""ko"",""en"")"),"1")</f>
        <v>1</v>
      </c>
      <c r="D512" s="1" t="str">
        <f ca="1">IFERROR(__xludf.DUMMYFUNCTION("GOOGLETRANSLATE('대전도시공사_청년임대주택 현황_20240630'!D512,""ko"",""en"")"),"1215")</f>
        <v>1215</v>
      </c>
      <c r="E512" s="1" t="str">
        <f ca="1">IFERROR(__xludf.DUMMYFUNCTION("GOOGLETRANSLATE('대전도시공사_청년임대주택 현황_20240630'!E512,""ko"",""en"")"),"46.296")</f>
        <v>46.296</v>
      </c>
      <c r="F512" s="1" t="str">
        <f ca="1">IFERROR(__xludf.DUMMYFUNCTION("GOOGLETRANSLATE('대전도시공사_청년임대주택 현황_20240630'!F512,""ko"",""en"")"),"18.459")</f>
        <v>18.459</v>
      </c>
      <c r="G512" s="1" t="str">
        <f ca="1">IFERROR(__xludf.DUMMYFUNCTION("GOOGLETRANSLATE('대전도시공사_청년임대주택 현황_20240630'!G512,""ko"",""en"")"),"27.837")</f>
        <v>27.837</v>
      </c>
      <c r="H512" s="1" t="str">
        <f ca="1">IFERROR(__xludf.DUMMYFUNCTION("GOOGLETRANSLATE('대전도시공사_청년임대주택 현황_20240630'!H512,""ko"",""en"")"),"Youth Rent 1st Place")</f>
        <v>Youth Rent 1st Place</v>
      </c>
      <c r="I512" s="1" t="str">
        <f ca="1">IFERROR(__xludf.DUMMYFUNCTION("GOOGLETRANSLATE('대전도시공사_청년임대주택 현황_20240630'!I512,""ko"",""en"")"),"1000000")</f>
        <v>1000000</v>
      </c>
      <c r="J512" s="1" t="str">
        <f ca="1">IFERROR(__xludf.DUMMYFUNCTION("GOOGLETRANSLATE('대전도시공사_청년임대주택 현황_20240630'!J512,""ko"",""en"")"),"218300")</f>
        <v>218300</v>
      </c>
    </row>
    <row r="513" spans="1:10" ht="12.5" x14ac:dyDescent="0.25">
      <c r="A513" s="1" t="str">
        <f ca="1">IFERROR(__xludf.DUMMYFUNCTION("GOOGLETRANSLATE('대전도시공사_청년임대주택 현황_20240630'!A513,""ko"",""en"")"),"540-8 Bongmyeong-dong (Haenarae, youth rental)")</f>
        <v>540-8 Bongmyeong-dong (Haenarae, youth rental)</v>
      </c>
      <c r="B513" s="1" t="str">
        <f ca="1">IFERROR(__xludf.DUMMYFUNCTION("GOOGLETRANSLATE('대전도시공사_청년임대주택 현황_20240630'!B513,""ko"",""en"")"),"173")</f>
        <v>173</v>
      </c>
      <c r="C513" s="1" t="str">
        <f ca="1">IFERROR(__xludf.DUMMYFUNCTION("GOOGLETRANSLATE('대전도시공사_청년임대주택 현황_20240630'!C513,""ko"",""en"")"),"1")</f>
        <v>1</v>
      </c>
      <c r="D513" s="1" t="str">
        <f ca="1">IFERROR(__xludf.DUMMYFUNCTION("GOOGLETRANSLATE('대전도시공사_청년임대주택 현황_20240630'!D513,""ko"",""en"")"),"1215")</f>
        <v>1215</v>
      </c>
      <c r="E513" s="1" t="str">
        <f ca="1">IFERROR(__xludf.DUMMYFUNCTION("GOOGLETRANSLATE('대전도시공사_청년임대주택 현황_20240630'!E513,""ko"",""en"")"),"46.296")</f>
        <v>46.296</v>
      </c>
      <c r="F513" s="1" t="str">
        <f ca="1">IFERROR(__xludf.DUMMYFUNCTION("GOOGLETRANSLATE('대전도시공사_청년임대주택 현황_20240630'!F513,""ko"",""en"")"),"18.459")</f>
        <v>18.459</v>
      </c>
      <c r="G513" s="1" t="str">
        <f ca="1">IFERROR(__xludf.DUMMYFUNCTION("GOOGLETRANSLATE('대전도시공사_청년임대주택 현황_20240630'!G513,""ko"",""en"")"),"27.837")</f>
        <v>27.837</v>
      </c>
      <c r="H513" s="1" t="str">
        <f ca="1">IFERROR(__xludf.DUMMYFUNCTION("GOOGLETRANSLATE('대전도시공사_청년임대주택 현황_20240630'!H513,""ko"",""en"")"),"Youth Rental 2nd Place")</f>
        <v>Youth Rental 2nd Place</v>
      </c>
      <c r="I513" s="1" t="str">
        <f ca="1">IFERROR(__xludf.DUMMYFUNCTION("GOOGLETRANSLATE('대전도시공사_청년임대주택 현황_20240630'!I513,""ko"",""en"")"),"2000000")</f>
        <v>2000000</v>
      </c>
      <c r="J513" s="1" t="str">
        <f ca="1">IFERROR(__xludf.DUMMYFUNCTION("GOOGLETRANSLATE('대전도시공사_청년임대주택 현황_20240630'!J513,""ko"",""en"")"),"268700")</f>
        <v>268700</v>
      </c>
    </row>
    <row r="514" spans="1:10" ht="12.5" x14ac:dyDescent="0.25">
      <c r="A514" s="1" t="str">
        <f ca="1">IFERROR(__xludf.DUMMYFUNCTION("GOOGLETRANSLATE('대전도시공사_청년임대주택 현황_20240630'!A514,""ko"",""en"")"),"540-8 Bongmyeong-dong (Haenarae, youth rental)")</f>
        <v>540-8 Bongmyeong-dong (Haenarae, youth rental)</v>
      </c>
      <c r="B514" s="1" t="str">
        <f ca="1">IFERROR(__xludf.DUMMYFUNCTION("GOOGLETRANSLATE('대전도시공사_청년임대주택 현황_20240630'!B514,""ko"",""en"")"),"174")</f>
        <v>174</v>
      </c>
      <c r="C514" s="1" t="str">
        <f ca="1">IFERROR(__xludf.DUMMYFUNCTION("GOOGLETRANSLATE('대전도시공사_청년임대주택 현황_20240630'!C514,""ko"",""en"")"),"1")</f>
        <v>1</v>
      </c>
      <c r="D514" s="1" t="str">
        <f ca="1">IFERROR(__xludf.DUMMYFUNCTION("GOOGLETRANSLATE('대전도시공사_청년임대주택 현황_20240630'!D514,""ko"",""en"")"),"1215")</f>
        <v>1215</v>
      </c>
      <c r="E514" s="1" t="str">
        <f ca="1">IFERROR(__xludf.DUMMYFUNCTION("GOOGLETRANSLATE('대전도시공사_청년임대주택 현황_20240630'!E514,""ko"",""en"")"),"46.296")</f>
        <v>46.296</v>
      </c>
      <c r="F514" s="1" t="str">
        <f ca="1">IFERROR(__xludf.DUMMYFUNCTION("GOOGLETRANSLATE('대전도시공사_청년임대주택 현황_20240630'!F514,""ko"",""en"")"),"18.459")</f>
        <v>18.459</v>
      </c>
      <c r="G514" s="1" t="str">
        <f ca="1">IFERROR(__xludf.DUMMYFUNCTION("GOOGLETRANSLATE('대전도시공사_청년임대주택 현황_20240630'!G514,""ko"",""en"")"),"27.837")</f>
        <v>27.837</v>
      </c>
      <c r="H514" s="1" t="str">
        <f ca="1">IFERROR(__xludf.DUMMYFUNCTION("GOOGLETRANSLATE('대전도시공사_청년임대주택 현황_20240630'!H514,""ko"",""en"")"),"3rd place for youth rental")</f>
        <v>3rd place for youth rental</v>
      </c>
      <c r="I514" s="1" t="str">
        <f ca="1">IFERROR(__xludf.DUMMYFUNCTION("GOOGLETRANSLATE('대전도시공사_청년임대주택 현황_20240630'!I514,""ko"",""en"")"),"2000000")</f>
        <v>2000000</v>
      </c>
      <c r="J514" s="1" t="str">
        <f ca="1">IFERROR(__xludf.DUMMYFUNCTION("GOOGLETRANSLATE('대전도시공사_청년임대주택 현황_20240630'!J514,""ko"",""en"")"),"268700")</f>
        <v>268700</v>
      </c>
    </row>
    <row r="515" spans="1:10" ht="12.5" x14ac:dyDescent="0.25">
      <c r="A515" s="1" t="str">
        <f ca="1">IFERROR(__xludf.DUMMYFUNCTION("GOOGLETRANSLATE('대전도시공사_청년임대주택 현황_20240630'!A515,""ko"",""en"")"),"540-8 Bongmyeong-dong (Haenarae, youth rental)")</f>
        <v>540-8 Bongmyeong-dong (Haenarae, youth rental)</v>
      </c>
      <c r="B515" s="1" t="str">
        <f ca="1">IFERROR(__xludf.DUMMYFUNCTION("GOOGLETRANSLATE('대전도시공사_청년임대주택 현황_20240630'!B515,""ko"",""en"")"),"178")</f>
        <v>178</v>
      </c>
      <c r="C515" s="1" t="str">
        <f ca="1">IFERROR(__xludf.DUMMYFUNCTION("GOOGLETRANSLATE('대전도시공사_청년임대주택 현황_20240630'!C515,""ko"",""en"")"),"1")</f>
        <v>1</v>
      </c>
      <c r="D515" s="1" t="str">
        <f ca="1">IFERROR(__xludf.DUMMYFUNCTION("GOOGLETRANSLATE('대전도시공사_청년임대주택 현황_20240630'!D515,""ko"",""en"")"),"1302")</f>
        <v>1302</v>
      </c>
      <c r="E515" s="1" t="str">
        <f ca="1">IFERROR(__xludf.DUMMYFUNCTION("GOOGLETRANSLATE('대전도시공사_청년임대주택 현황_20240630'!E515,""ko"",""en"")"),"58.799")</f>
        <v>58.799</v>
      </c>
      <c r="F515" s="1" t="str">
        <f ca="1">IFERROR(__xludf.DUMMYFUNCTION("GOOGLETRANSLATE('대전도시공사_청년임대주택 현황_20240630'!F515,""ko"",""en"")"),"24.279")</f>
        <v>24.279</v>
      </c>
      <c r="G515" s="1" t="str">
        <f ca="1">IFERROR(__xludf.DUMMYFUNCTION("GOOGLETRANSLATE('대전도시공사_청년임대주택 현황_20240630'!G515,""ko"",""en"")"),"34.519")</f>
        <v>34.519</v>
      </c>
      <c r="H515" s="1" t="str">
        <f ca="1">IFERROR(__xludf.DUMMYFUNCTION("GOOGLETRANSLATE('대전도시공사_청년임대주택 현황_20240630'!H515,""ko"",""en"")"),"Beneficiary")</f>
        <v>Beneficiary</v>
      </c>
      <c r="I515" s="1" t="str">
        <f ca="1">IFERROR(__xludf.DUMMYFUNCTION("GOOGLETRANSLATE('대전도시공사_청년임대주택 현황_20240630'!I515,""ko"",""en"")"),"1000000")</f>
        <v>1000000</v>
      </c>
      <c r="J515" s="1" t="str">
        <f ca="1">IFERROR(__xludf.DUMMYFUNCTION("GOOGLETRANSLATE('대전도시공사_청년임대주택 현황_20240630'!J515,""ko"",""en"")"),"226700")</f>
        <v>226700</v>
      </c>
    </row>
    <row r="516" spans="1:10" ht="12.5" x14ac:dyDescent="0.25">
      <c r="A516" s="1" t="str">
        <f ca="1">IFERROR(__xludf.DUMMYFUNCTION("GOOGLETRANSLATE('대전도시공사_청년임대주택 현황_20240630'!A516,""ko"",""en"")"),"540-8 Bongmyeong-dong (Haenarae, youth rental)")</f>
        <v>540-8 Bongmyeong-dong (Haenarae, youth rental)</v>
      </c>
      <c r="B516" s="1" t="str">
        <f ca="1">IFERROR(__xludf.DUMMYFUNCTION("GOOGLETRANSLATE('대전도시공사_청년임대주택 현황_20240630'!B516,""ko"",""en"")"),"179")</f>
        <v>179</v>
      </c>
      <c r="C516" s="1" t="str">
        <f ca="1">IFERROR(__xludf.DUMMYFUNCTION("GOOGLETRANSLATE('대전도시공사_청년임대주택 현황_20240630'!C516,""ko"",""en"")"),"1")</f>
        <v>1</v>
      </c>
      <c r="D516" s="1" t="str">
        <f ca="1">IFERROR(__xludf.DUMMYFUNCTION("GOOGLETRANSLATE('대전도시공사_청년임대주택 현황_20240630'!D516,""ko"",""en"")"),"1302")</f>
        <v>1302</v>
      </c>
      <c r="E516" s="1" t="str">
        <f ca="1">IFERROR(__xludf.DUMMYFUNCTION("GOOGLETRANSLATE('대전도시공사_청년임대주택 현황_20240630'!E516,""ko"",""en"")"),"58.799")</f>
        <v>58.799</v>
      </c>
      <c r="F516" s="1" t="str">
        <f ca="1">IFERROR(__xludf.DUMMYFUNCTION("GOOGLETRANSLATE('대전도시공사_청년임대주택 현황_20240630'!F516,""ko"",""en"")"),"24.279")</f>
        <v>24.279</v>
      </c>
      <c r="G516" s="1" t="str">
        <f ca="1">IFERROR(__xludf.DUMMYFUNCTION("GOOGLETRANSLATE('대전도시공사_청년임대주택 현황_20240630'!G516,""ko"",""en"")"),"34.519")</f>
        <v>34.519</v>
      </c>
      <c r="H516" s="1" t="str">
        <f ca="1">IFERROR(__xludf.DUMMYFUNCTION("GOOGLETRANSLATE('대전도시공사_청년임대주택 현황_20240630'!H516,""ko"",""en"")"),"Youth Rental 2nd Place")</f>
        <v>Youth Rental 2nd Place</v>
      </c>
      <c r="I516" s="1" t="str">
        <f ca="1">IFERROR(__xludf.DUMMYFUNCTION("GOOGLETRANSLATE('대전도시공사_청년임대주택 현황_20240630'!I516,""ko"",""en"")"),"2000000")</f>
        <v>2000000</v>
      </c>
      <c r="J516" s="1" t="str">
        <f ca="1">IFERROR(__xludf.DUMMYFUNCTION("GOOGLETRANSLATE('대전도시공사_청년임대주택 현황_20240630'!J516,""ko"",""en"")"),"279200")</f>
        <v>279200</v>
      </c>
    </row>
    <row r="517" spans="1:10" ht="12.5" x14ac:dyDescent="0.25">
      <c r="A517" s="1" t="str">
        <f ca="1">IFERROR(__xludf.DUMMYFUNCTION("GOOGLETRANSLATE('대전도시공사_청년임대주택 현황_20240630'!A517,""ko"",""en"")"),"540-8 Bongmyeong-dong (Haenarae, youth rental)")</f>
        <v>540-8 Bongmyeong-dong (Haenarae, youth rental)</v>
      </c>
      <c r="B517" s="1" t="str">
        <f ca="1">IFERROR(__xludf.DUMMYFUNCTION("GOOGLETRANSLATE('대전도시공사_청년임대주택 현황_20240630'!B517,""ko"",""en"")"),"180")</f>
        <v>180</v>
      </c>
      <c r="C517" s="1" t="str">
        <f ca="1">IFERROR(__xludf.DUMMYFUNCTION("GOOGLETRANSLATE('대전도시공사_청년임대주택 현황_20240630'!C517,""ko"",""en"")"),"1")</f>
        <v>1</v>
      </c>
      <c r="D517" s="1" t="str">
        <f ca="1">IFERROR(__xludf.DUMMYFUNCTION("GOOGLETRANSLATE('대전도시공사_청년임대주택 현황_20240630'!D517,""ko"",""en"")"),"1302")</f>
        <v>1302</v>
      </c>
      <c r="E517" s="1" t="str">
        <f ca="1">IFERROR(__xludf.DUMMYFUNCTION("GOOGLETRANSLATE('대전도시공사_청년임대주택 현황_20240630'!E517,""ko"",""en"")"),"58.799")</f>
        <v>58.799</v>
      </c>
      <c r="F517" s="1" t="str">
        <f ca="1">IFERROR(__xludf.DUMMYFUNCTION("GOOGLETRANSLATE('대전도시공사_청년임대주택 현황_20240630'!F517,""ko"",""en"")"),"24.279")</f>
        <v>24.279</v>
      </c>
      <c r="G517" s="1" t="str">
        <f ca="1">IFERROR(__xludf.DUMMYFUNCTION("GOOGLETRANSLATE('대전도시공사_청년임대주택 현황_20240630'!G517,""ko"",""en"")"),"34.519")</f>
        <v>34.519</v>
      </c>
      <c r="H517" s="1" t="str">
        <f ca="1">IFERROR(__xludf.DUMMYFUNCTION("GOOGLETRANSLATE('대전도시공사_청년임대주택 현황_20240630'!H517,""ko"",""en"")"),"3rd place for youth rental")</f>
        <v>3rd place for youth rental</v>
      </c>
      <c r="I517" s="1" t="str">
        <f ca="1">IFERROR(__xludf.DUMMYFUNCTION("GOOGLETRANSLATE('대전도시공사_청년임대주택 현황_20240630'!I517,""ko"",""en"")"),"2000000")</f>
        <v>2000000</v>
      </c>
      <c r="J517" s="1" t="str">
        <f ca="1">IFERROR(__xludf.DUMMYFUNCTION("GOOGLETRANSLATE('대전도시공사_청년임대주택 현황_20240630'!J517,""ko"",""en"")"),"279200")</f>
        <v>279200</v>
      </c>
    </row>
    <row r="518" spans="1:10" ht="12.5" x14ac:dyDescent="0.25">
      <c r="A518" s="1" t="str">
        <f ca="1">IFERROR(__xludf.DUMMYFUNCTION("GOOGLETRANSLATE('대전도시공사_청년임대주택 현황_20240630'!A518,""ko"",""en"")"),"540-8 Bongmyeong-dong (Haenarae, youth rental)")</f>
        <v>540-8 Bongmyeong-dong (Haenarae, youth rental)</v>
      </c>
      <c r="B518" s="1" t="str">
        <f ca="1">IFERROR(__xludf.DUMMYFUNCTION("GOOGLETRANSLATE('대전도시공사_청년임대주택 현황_20240630'!B518,""ko"",""en"")"),"190")</f>
        <v>190</v>
      </c>
      <c r="C518" s="1" t="str">
        <f ca="1">IFERROR(__xludf.DUMMYFUNCTION("GOOGLETRANSLATE('대전도시공사_청년임대주택 현황_20240630'!C518,""ko"",""en"")"),"1")</f>
        <v>1</v>
      </c>
      <c r="D518" s="1" t="str">
        <f ca="1">IFERROR(__xludf.DUMMYFUNCTION("GOOGLETRANSLATE('대전도시공사_청년임대주택 현황_20240630'!D518,""ko"",""en"")"),"1308")</f>
        <v>1308</v>
      </c>
      <c r="E518" s="1" t="str">
        <f ca="1">IFERROR(__xludf.DUMMYFUNCTION("GOOGLETRANSLATE('대전도시공사_청년임대주택 현황_20240630'!E518,""ko"",""en"")"),"58.14")</f>
        <v>58.14</v>
      </c>
      <c r="F518" s="1" t="str">
        <f ca="1">IFERROR(__xludf.DUMMYFUNCTION("GOOGLETRANSLATE('대전도시공사_청년임대주택 현황_20240630'!F518,""ko"",""en"")"),"23.78")</f>
        <v>23.78</v>
      </c>
      <c r="G518" s="1" t="str">
        <f ca="1">IFERROR(__xludf.DUMMYFUNCTION("GOOGLETRANSLATE('대전도시공사_청년임대주택 현황_20240630'!G518,""ko"",""en"")"),"34.36")</f>
        <v>34.36</v>
      </c>
      <c r="H518" s="1" t="str">
        <f ca="1">IFERROR(__xludf.DUMMYFUNCTION("GOOGLETRANSLATE('대전도시공사_청년임대주택 현황_20240630'!H518,""ko"",""en"")"),"Youth Rent 1st Place")</f>
        <v>Youth Rent 1st Place</v>
      </c>
      <c r="I518" s="1" t="str">
        <f ca="1">IFERROR(__xludf.DUMMYFUNCTION("GOOGLETRANSLATE('대전도시공사_청년임대주택 현황_20240630'!I518,""ko"",""en"")"),"1000000")</f>
        <v>1000000</v>
      </c>
      <c r="J518" s="1" t="str">
        <f ca="1">IFERROR(__xludf.DUMMYFUNCTION("GOOGLETRANSLATE('대전도시공사_청년임대주택 현황_20240630'!J518,""ko"",""en"")"),"214100")</f>
        <v>214100</v>
      </c>
    </row>
    <row r="519" spans="1:10" ht="12.5" x14ac:dyDescent="0.25">
      <c r="A519" s="1" t="str">
        <f ca="1">IFERROR(__xludf.DUMMYFUNCTION("GOOGLETRANSLATE('대전도시공사_청년임대주택 현황_20240630'!A519,""ko"",""en"")"),"540-8 Bongmyeong-dong (Haenarae, youth rental)")</f>
        <v>540-8 Bongmyeong-dong (Haenarae, youth rental)</v>
      </c>
      <c r="B519" s="1" t="str">
        <f ca="1">IFERROR(__xludf.DUMMYFUNCTION("GOOGLETRANSLATE('대전도시공사_청년임대주택 현황_20240630'!B519,""ko"",""en"")"),"191")</f>
        <v>191</v>
      </c>
      <c r="C519" s="1" t="str">
        <f ca="1">IFERROR(__xludf.DUMMYFUNCTION("GOOGLETRANSLATE('대전도시공사_청년임대주택 현황_20240630'!C519,""ko"",""en"")"),"1")</f>
        <v>1</v>
      </c>
      <c r="D519" s="1" t="str">
        <f ca="1">IFERROR(__xludf.DUMMYFUNCTION("GOOGLETRANSLATE('대전도시공사_청년임대주택 현황_20240630'!D519,""ko"",""en"")"),"1308")</f>
        <v>1308</v>
      </c>
      <c r="E519" s="1" t="str">
        <f ca="1">IFERROR(__xludf.DUMMYFUNCTION("GOOGLETRANSLATE('대전도시공사_청년임대주택 현황_20240630'!E519,""ko"",""en"")"),"58.14")</f>
        <v>58.14</v>
      </c>
      <c r="F519" s="1" t="str">
        <f ca="1">IFERROR(__xludf.DUMMYFUNCTION("GOOGLETRANSLATE('대전도시공사_청년임대주택 현황_20240630'!F519,""ko"",""en"")"),"23.78")</f>
        <v>23.78</v>
      </c>
      <c r="G519" s="1" t="str">
        <f ca="1">IFERROR(__xludf.DUMMYFUNCTION("GOOGLETRANSLATE('대전도시공사_청년임대주택 현황_20240630'!G519,""ko"",""en"")"),"34.36")</f>
        <v>34.36</v>
      </c>
      <c r="H519" s="1" t="str">
        <f ca="1">IFERROR(__xludf.DUMMYFUNCTION("GOOGLETRANSLATE('대전도시공사_청년임대주택 현황_20240630'!H519,""ko"",""en"")"),"Youth Rental 2nd Place")</f>
        <v>Youth Rental 2nd Place</v>
      </c>
      <c r="I519" s="1" t="str">
        <f ca="1">IFERROR(__xludf.DUMMYFUNCTION("GOOGLETRANSLATE('대전도시공사_청년임대주택 현황_20240630'!I519,""ko"",""en"")"),"2000000")</f>
        <v>2000000</v>
      </c>
      <c r="J519" s="1" t="str">
        <f ca="1">IFERROR(__xludf.DUMMYFUNCTION("GOOGLETRANSLATE('대전도시공사_청년임대주택 현황_20240630'!J519,""ko"",""en"")"),"263400")</f>
        <v>263400</v>
      </c>
    </row>
    <row r="520" spans="1:10" ht="12.5" x14ac:dyDescent="0.25">
      <c r="A520" s="1" t="str">
        <f ca="1">IFERROR(__xludf.DUMMYFUNCTION("GOOGLETRANSLATE('대전도시공사_청년임대주택 현황_20240630'!A520,""ko"",""en"")"),"540-8 Bongmyeong-dong (Haenarae, youth rental)")</f>
        <v>540-8 Bongmyeong-dong (Haenarae, youth rental)</v>
      </c>
      <c r="B520" s="1" t="str">
        <f ca="1">IFERROR(__xludf.DUMMYFUNCTION("GOOGLETRANSLATE('대전도시공사_청년임대주택 현황_20240630'!B520,""ko"",""en"")"),"192")</f>
        <v>192</v>
      </c>
      <c r="C520" s="1" t="str">
        <f ca="1">IFERROR(__xludf.DUMMYFUNCTION("GOOGLETRANSLATE('대전도시공사_청년임대주택 현황_20240630'!C520,""ko"",""en"")"),"1")</f>
        <v>1</v>
      </c>
      <c r="D520" s="1" t="str">
        <f ca="1">IFERROR(__xludf.DUMMYFUNCTION("GOOGLETRANSLATE('대전도시공사_청년임대주택 현황_20240630'!D520,""ko"",""en"")"),"1308")</f>
        <v>1308</v>
      </c>
      <c r="E520" s="1" t="str">
        <f ca="1">IFERROR(__xludf.DUMMYFUNCTION("GOOGLETRANSLATE('대전도시공사_청년임대주택 현황_20240630'!E520,""ko"",""en"")"),"58.14")</f>
        <v>58.14</v>
      </c>
      <c r="F520" s="1" t="str">
        <f ca="1">IFERROR(__xludf.DUMMYFUNCTION("GOOGLETRANSLATE('대전도시공사_청년임대주택 현황_20240630'!F520,""ko"",""en"")"),"23.78")</f>
        <v>23.78</v>
      </c>
      <c r="G520" s="1" t="str">
        <f ca="1">IFERROR(__xludf.DUMMYFUNCTION("GOOGLETRANSLATE('대전도시공사_청년임대주택 현황_20240630'!G520,""ko"",""en"")"),"34.36")</f>
        <v>34.36</v>
      </c>
      <c r="H520" s="1" t="str">
        <f ca="1">IFERROR(__xludf.DUMMYFUNCTION("GOOGLETRANSLATE('대전도시공사_청년임대주택 현황_20240630'!H520,""ko"",""en"")"),"3rd place for youth rental")</f>
        <v>3rd place for youth rental</v>
      </c>
      <c r="I520" s="1" t="str">
        <f ca="1">IFERROR(__xludf.DUMMYFUNCTION("GOOGLETRANSLATE('대전도시공사_청년임대주택 현황_20240630'!I520,""ko"",""en"")"),"2000000")</f>
        <v>2000000</v>
      </c>
      <c r="J520" s="1" t="str">
        <f ca="1">IFERROR(__xludf.DUMMYFUNCTION("GOOGLETRANSLATE('대전도시공사_청년임대주택 현황_20240630'!J520,""ko"",""en"")"),"263400")</f>
        <v>263400</v>
      </c>
    </row>
    <row r="521" spans="1:10" ht="12.5" x14ac:dyDescent="0.25">
      <c r="A521" s="1" t="str">
        <f ca="1">IFERROR(__xludf.DUMMYFUNCTION("GOOGLETRANSLATE('대전도시공사_청년임대주택 현황_20240630'!A521,""ko"",""en"")"),"540-8 Bongmyeong-dong (Haenarae, youth rental)")</f>
        <v>540-8 Bongmyeong-dong (Haenarae, youth rental)</v>
      </c>
      <c r="B521" s="1" t="str">
        <f ca="1">IFERROR(__xludf.DUMMYFUNCTION("GOOGLETRANSLATE('대전도시공사_청년임대주택 현황_20240630'!B521,""ko"",""en"")"),"199")</f>
        <v>199</v>
      </c>
      <c r="C521" s="1" t="str">
        <f ca="1">IFERROR(__xludf.DUMMYFUNCTION("GOOGLETRANSLATE('대전도시공사_청년임대주택 현황_20240630'!C521,""ko"",""en"")"),"1")</f>
        <v>1</v>
      </c>
      <c r="D521" s="1" t="str">
        <f ca="1">IFERROR(__xludf.DUMMYFUNCTION("GOOGLETRANSLATE('대전도시공사_청년임대주택 현황_20240630'!D521,""ko"",""en"")"),"1404")</f>
        <v>1404</v>
      </c>
      <c r="E521" s="1" t="str">
        <f ca="1">IFERROR(__xludf.DUMMYFUNCTION("GOOGLETRANSLATE('대전도시공사_청년임대주택 현황_20240630'!E521,""ko"",""en"")"),"58.799")</f>
        <v>58.799</v>
      </c>
      <c r="F521" s="1" t="str">
        <f ca="1">IFERROR(__xludf.DUMMYFUNCTION("GOOGLETRANSLATE('대전도시공사_청년임대주택 현황_20240630'!F521,""ko"",""en"")"),"24.279")</f>
        <v>24.279</v>
      </c>
      <c r="G521" s="1" t="str">
        <f ca="1">IFERROR(__xludf.DUMMYFUNCTION("GOOGLETRANSLATE('대전도시공사_청년임대주택 현황_20240630'!G521,""ko"",""en"")"),"34.519")</f>
        <v>34.519</v>
      </c>
      <c r="H521" s="1" t="str">
        <f ca="1">IFERROR(__xludf.DUMMYFUNCTION("GOOGLETRANSLATE('대전도시공사_청년임대주택 현황_20240630'!H521,""ko"",""en"")"),"Beneficiary")</f>
        <v>Beneficiary</v>
      </c>
      <c r="I521" s="1" t="str">
        <f ca="1">IFERROR(__xludf.DUMMYFUNCTION("GOOGLETRANSLATE('대전도시공사_청년임대주택 현황_20240630'!I521,""ko"",""en"")"),"1000000")</f>
        <v>1000000</v>
      </c>
      <c r="J521" s="1" t="str">
        <f ca="1">IFERROR(__xludf.DUMMYFUNCTION("GOOGLETRANSLATE('대전도시공사_청년임대주택 현황_20240630'!J521,""ko"",""en"")"),"226700")</f>
        <v>226700</v>
      </c>
    </row>
    <row r="522" spans="1:10" ht="12.5" x14ac:dyDescent="0.25">
      <c r="A522" s="1" t="str">
        <f ca="1">IFERROR(__xludf.DUMMYFUNCTION("GOOGLETRANSLATE('대전도시공사_청년임대주택 현황_20240630'!A522,""ko"",""en"")"),"540-8 Bongmyeong-dong (Haenarae, youth rental)")</f>
        <v>540-8 Bongmyeong-dong (Haenarae, youth rental)</v>
      </c>
      <c r="B522" s="1" t="str">
        <f ca="1">IFERROR(__xludf.DUMMYFUNCTION("GOOGLETRANSLATE('대전도시공사_청년임대주택 현황_20240630'!B522,""ko"",""en"")"),"200")</f>
        <v>200</v>
      </c>
      <c r="C522" s="1" t="str">
        <f ca="1">IFERROR(__xludf.DUMMYFUNCTION("GOOGLETRANSLATE('대전도시공사_청년임대주택 현황_20240630'!C522,""ko"",""en"")"),"1")</f>
        <v>1</v>
      </c>
      <c r="D522" s="1" t="str">
        <f ca="1">IFERROR(__xludf.DUMMYFUNCTION("GOOGLETRANSLATE('대전도시공사_청년임대주택 현황_20240630'!D522,""ko"",""en"")"),"1404")</f>
        <v>1404</v>
      </c>
      <c r="E522" s="1" t="str">
        <f ca="1">IFERROR(__xludf.DUMMYFUNCTION("GOOGLETRANSLATE('대전도시공사_청년임대주택 현황_20240630'!E522,""ko"",""en"")"),"58.799")</f>
        <v>58.799</v>
      </c>
      <c r="F522" s="1" t="str">
        <f ca="1">IFERROR(__xludf.DUMMYFUNCTION("GOOGLETRANSLATE('대전도시공사_청년임대주택 현황_20240630'!F522,""ko"",""en"")"),"24.279")</f>
        <v>24.279</v>
      </c>
      <c r="G522" s="1" t="str">
        <f ca="1">IFERROR(__xludf.DUMMYFUNCTION("GOOGLETRANSLATE('대전도시공사_청년임대주택 현황_20240630'!G522,""ko"",""en"")"),"34.519")</f>
        <v>34.519</v>
      </c>
      <c r="H522" s="1" t="str">
        <f ca="1">IFERROR(__xludf.DUMMYFUNCTION("GOOGLETRANSLATE('대전도시공사_청년임대주택 현황_20240630'!H522,""ko"",""en"")"),"Youth Rental 2nd Place")</f>
        <v>Youth Rental 2nd Place</v>
      </c>
      <c r="I522" s="1" t="str">
        <f ca="1">IFERROR(__xludf.DUMMYFUNCTION("GOOGLETRANSLATE('대전도시공사_청년임대주택 현황_20240630'!I522,""ko"",""en"")"),"2000000")</f>
        <v>2000000</v>
      </c>
      <c r="J522" s="1" t="str">
        <f ca="1">IFERROR(__xludf.DUMMYFUNCTION("GOOGLETRANSLATE('대전도시공사_청년임대주택 현황_20240630'!J522,""ko"",""en"")"),"279200")</f>
        <v>279200</v>
      </c>
    </row>
    <row r="523" spans="1:10" ht="12.5" x14ac:dyDescent="0.25">
      <c r="A523" s="1" t="str">
        <f ca="1">IFERROR(__xludf.DUMMYFUNCTION("GOOGLETRANSLATE('대전도시공사_청년임대주택 현황_20240630'!A523,""ko"",""en"")"),"540-8 Bongmyeong-dong (Haenarae, youth rental)")</f>
        <v>540-8 Bongmyeong-dong (Haenarae, youth rental)</v>
      </c>
      <c r="B523" s="1" t="str">
        <f ca="1">IFERROR(__xludf.DUMMYFUNCTION("GOOGLETRANSLATE('대전도시공사_청년임대주택 현황_20240630'!B523,""ko"",""en"")"),"201")</f>
        <v>201</v>
      </c>
      <c r="C523" s="1" t="str">
        <f ca="1">IFERROR(__xludf.DUMMYFUNCTION("GOOGLETRANSLATE('대전도시공사_청년임대주택 현황_20240630'!C523,""ko"",""en"")"),"1")</f>
        <v>1</v>
      </c>
      <c r="D523" s="1" t="str">
        <f ca="1">IFERROR(__xludf.DUMMYFUNCTION("GOOGLETRANSLATE('대전도시공사_청년임대주택 현황_20240630'!D523,""ko"",""en"")"),"1404")</f>
        <v>1404</v>
      </c>
      <c r="E523" s="1" t="str">
        <f ca="1">IFERROR(__xludf.DUMMYFUNCTION("GOOGLETRANSLATE('대전도시공사_청년임대주택 현황_20240630'!E523,""ko"",""en"")"),"58.799")</f>
        <v>58.799</v>
      </c>
      <c r="F523" s="1" t="str">
        <f ca="1">IFERROR(__xludf.DUMMYFUNCTION("GOOGLETRANSLATE('대전도시공사_청년임대주택 현황_20240630'!F523,""ko"",""en"")"),"24.279")</f>
        <v>24.279</v>
      </c>
      <c r="G523" s="1" t="str">
        <f ca="1">IFERROR(__xludf.DUMMYFUNCTION("GOOGLETRANSLATE('대전도시공사_청년임대주택 현황_20240630'!G523,""ko"",""en"")"),"34.519")</f>
        <v>34.519</v>
      </c>
      <c r="H523" s="1" t="str">
        <f ca="1">IFERROR(__xludf.DUMMYFUNCTION("GOOGLETRANSLATE('대전도시공사_청년임대주택 현황_20240630'!H523,""ko"",""en"")"),"3rd place for youth rental")</f>
        <v>3rd place for youth rental</v>
      </c>
      <c r="I523" s="1" t="str">
        <f ca="1">IFERROR(__xludf.DUMMYFUNCTION("GOOGLETRANSLATE('대전도시공사_청년임대주택 현황_20240630'!I523,""ko"",""en"")"),"2000000")</f>
        <v>2000000</v>
      </c>
      <c r="J523" s="1" t="str">
        <f ca="1">IFERROR(__xludf.DUMMYFUNCTION("GOOGLETRANSLATE('대전도시공사_청년임대주택 현황_20240630'!J523,""ko"",""en"")"),"279200")</f>
        <v>279200</v>
      </c>
    </row>
    <row r="524" spans="1:10" ht="12.5" x14ac:dyDescent="0.25">
      <c r="A524" s="1" t="str">
        <f ca="1">IFERROR(__xludf.DUMMYFUNCTION("GOOGLETRANSLATE('대전도시공사_청년임대주택 현황_20240630'!A524,""ko"",""en"")"),"540-8 Bongmyeong-dong (Haenarae, youth rental)")</f>
        <v>540-8 Bongmyeong-dong (Haenarae, youth rental)</v>
      </c>
      <c r="B524" s="1" t="str">
        <f ca="1">IFERROR(__xludf.DUMMYFUNCTION("GOOGLETRANSLATE('대전도시공사_청년임대주택 현황_20240630'!B524,""ko"",""en"")"),"202")</f>
        <v>202</v>
      </c>
      <c r="C524" s="1" t="str">
        <f ca="1">IFERROR(__xludf.DUMMYFUNCTION("GOOGLETRANSLATE('대전도시공사_청년임대주택 현황_20240630'!C524,""ko"",""en"")"),"1")</f>
        <v>1</v>
      </c>
      <c r="D524" s="1" t="str">
        <f ca="1">IFERROR(__xludf.DUMMYFUNCTION("GOOGLETRANSLATE('대전도시공사_청년임대주택 현황_20240630'!D524,""ko"",""en"")"),"1406")</f>
        <v>1406</v>
      </c>
      <c r="E524" s="1" t="str">
        <f ca="1">IFERROR(__xludf.DUMMYFUNCTION("GOOGLETRANSLATE('대전도시공사_청년임대주택 현황_20240630'!E524,""ko"",""en"")"),"58.813")</f>
        <v>58.813</v>
      </c>
      <c r="F524" s="1" t="str">
        <f ca="1">IFERROR(__xludf.DUMMYFUNCTION("GOOGLETRANSLATE('대전도시공사_청년임대주택 현황_20240630'!F524,""ko"",""en"")"),"24.017")</f>
        <v>24.017</v>
      </c>
      <c r="G524" s="1" t="str">
        <f ca="1">IFERROR(__xludf.DUMMYFUNCTION("GOOGLETRANSLATE('대전도시공사_청년임대주택 현황_20240630'!G524,""ko"",""en"")"),"34.795")</f>
        <v>34.795</v>
      </c>
      <c r="H524" s="1" t="str">
        <f ca="1">IFERROR(__xludf.DUMMYFUNCTION("GOOGLETRANSLATE('대전도시공사_청년임대주택 현황_20240630'!H524,""ko"",""en"")"),"Youth Rent 1st Place")</f>
        <v>Youth Rent 1st Place</v>
      </c>
      <c r="I524" s="1" t="str">
        <f ca="1">IFERROR(__xludf.DUMMYFUNCTION("GOOGLETRANSLATE('대전도시공사_청년임대주택 현황_20240630'!I524,""ko"",""en"")"),"1000000")</f>
        <v>1000000</v>
      </c>
      <c r="J524" s="1" t="str">
        <f ca="1">IFERROR(__xludf.DUMMYFUNCTION("GOOGLETRANSLATE('대전도시공사_청년임대주택 현황_20240630'!J524,""ko"",""en"")"),"222500")</f>
        <v>222500</v>
      </c>
    </row>
    <row r="525" spans="1:10" ht="12.5" x14ac:dyDescent="0.25">
      <c r="A525" s="1" t="str">
        <f ca="1">IFERROR(__xludf.DUMMYFUNCTION("GOOGLETRANSLATE('대전도시공사_청년임대주택 현황_20240630'!A525,""ko"",""en"")"),"540-8 Bongmyeong-dong (Haenarae, youth rental)")</f>
        <v>540-8 Bongmyeong-dong (Haenarae, youth rental)</v>
      </c>
      <c r="B525" s="1" t="str">
        <f ca="1">IFERROR(__xludf.DUMMYFUNCTION("GOOGLETRANSLATE('대전도시공사_청년임대주택 현황_20240630'!B525,""ko"",""en"")"),"203")</f>
        <v>203</v>
      </c>
      <c r="C525" s="1" t="str">
        <f ca="1">IFERROR(__xludf.DUMMYFUNCTION("GOOGLETRANSLATE('대전도시공사_청년임대주택 현황_20240630'!C525,""ko"",""en"")"),"1")</f>
        <v>1</v>
      </c>
      <c r="D525" s="1" t="str">
        <f ca="1">IFERROR(__xludf.DUMMYFUNCTION("GOOGLETRANSLATE('대전도시공사_청년임대주택 현황_20240630'!D525,""ko"",""en"")"),"1406")</f>
        <v>1406</v>
      </c>
      <c r="E525" s="1" t="str">
        <f ca="1">IFERROR(__xludf.DUMMYFUNCTION("GOOGLETRANSLATE('대전도시공사_청년임대주택 현황_20240630'!E525,""ko"",""en"")"),"58.813")</f>
        <v>58.813</v>
      </c>
      <c r="F525" s="1" t="str">
        <f ca="1">IFERROR(__xludf.DUMMYFUNCTION("GOOGLETRANSLATE('대전도시공사_청년임대주택 현황_20240630'!F525,""ko"",""en"")"),"24.017")</f>
        <v>24.017</v>
      </c>
      <c r="G525" s="1" t="str">
        <f ca="1">IFERROR(__xludf.DUMMYFUNCTION("GOOGLETRANSLATE('대전도시공사_청년임대주택 현황_20240630'!G525,""ko"",""en"")"),"34.795")</f>
        <v>34.795</v>
      </c>
      <c r="H525" s="1" t="str">
        <f ca="1">IFERROR(__xludf.DUMMYFUNCTION("GOOGLETRANSLATE('대전도시공사_청년임대주택 현황_20240630'!H525,""ko"",""en"")"),"Youth Rental 2nd Place")</f>
        <v>Youth Rental 2nd Place</v>
      </c>
      <c r="I525" s="1" t="str">
        <f ca="1">IFERROR(__xludf.DUMMYFUNCTION("GOOGLETRANSLATE('대전도시공사_청년임대주택 현황_20240630'!I525,""ko"",""en"")"),"2000000")</f>
        <v>2000000</v>
      </c>
      <c r="J525" s="1" t="str">
        <f ca="1">IFERROR(__xludf.DUMMYFUNCTION("GOOGLETRANSLATE('대전도시공사_청년임대주택 현황_20240630'!J525,""ko"",""en"")"),"273900")</f>
        <v>273900</v>
      </c>
    </row>
    <row r="526" spans="1:10" ht="12.5" x14ac:dyDescent="0.25">
      <c r="A526" s="1" t="str">
        <f ca="1">IFERROR(__xludf.DUMMYFUNCTION("GOOGLETRANSLATE('대전도시공사_청년임대주택 현황_20240630'!A526,""ko"",""en"")"),"540-8 Bongmyeong-dong (Haenarae, youth rental)")</f>
        <v>540-8 Bongmyeong-dong (Haenarae, youth rental)</v>
      </c>
      <c r="B526" s="1" t="str">
        <f ca="1">IFERROR(__xludf.DUMMYFUNCTION("GOOGLETRANSLATE('대전도시공사_청년임대주택 현황_20240630'!B526,""ko"",""en"")"),"204")</f>
        <v>204</v>
      </c>
      <c r="C526" s="1" t="str">
        <f ca="1">IFERROR(__xludf.DUMMYFUNCTION("GOOGLETRANSLATE('대전도시공사_청년임대주택 현황_20240630'!C526,""ko"",""en"")"),"1")</f>
        <v>1</v>
      </c>
      <c r="D526" s="1" t="str">
        <f ca="1">IFERROR(__xludf.DUMMYFUNCTION("GOOGLETRANSLATE('대전도시공사_청년임대주택 현황_20240630'!D526,""ko"",""en"")"),"1406")</f>
        <v>1406</v>
      </c>
      <c r="E526" s="1" t="str">
        <f ca="1">IFERROR(__xludf.DUMMYFUNCTION("GOOGLETRANSLATE('대전도시공사_청년임대주택 현황_20240630'!E526,""ko"",""en"")"),"58.813")</f>
        <v>58.813</v>
      </c>
      <c r="F526" s="1" t="str">
        <f ca="1">IFERROR(__xludf.DUMMYFUNCTION("GOOGLETRANSLATE('대전도시공사_청년임대주택 현황_20240630'!F526,""ko"",""en"")"),"24.017")</f>
        <v>24.017</v>
      </c>
      <c r="G526" s="1" t="str">
        <f ca="1">IFERROR(__xludf.DUMMYFUNCTION("GOOGLETRANSLATE('대전도시공사_청년임대주택 현황_20240630'!G526,""ko"",""en"")"),"34.795")</f>
        <v>34.795</v>
      </c>
      <c r="H526" s="1" t="str">
        <f ca="1">IFERROR(__xludf.DUMMYFUNCTION("GOOGLETRANSLATE('대전도시공사_청년임대주택 현황_20240630'!H526,""ko"",""en"")"),"3rd place for youth rental")</f>
        <v>3rd place for youth rental</v>
      </c>
      <c r="I526" s="1" t="str">
        <f ca="1">IFERROR(__xludf.DUMMYFUNCTION("GOOGLETRANSLATE('대전도시공사_청년임대주택 현황_20240630'!I526,""ko"",""en"")"),"2000000")</f>
        <v>2000000</v>
      </c>
      <c r="J526" s="1" t="str">
        <f ca="1">IFERROR(__xludf.DUMMYFUNCTION("GOOGLETRANSLATE('대전도시공사_청년임대주택 현황_20240630'!J526,""ko"",""en"")"),"273900")</f>
        <v>273900</v>
      </c>
    </row>
    <row r="527" spans="1:10" ht="12.5" x14ac:dyDescent="0.25">
      <c r="A527" s="1" t="str">
        <f ca="1">IFERROR(__xludf.DUMMYFUNCTION("GOOGLETRANSLATE('대전도시공사_청년임대주택 현황_20240630'!A527,""ko"",""en"")"),"540-8 Bongmyeong-dong (Haenarae, youth rental)")</f>
        <v>540-8 Bongmyeong-dong (Haenarae, youth rental)</v>
      </c>
      <c r="B527" s="1" t="str">
        <f ca="1">IFERROR(__xludf.DUMMYFUNCTION("GOOGLETRANSLATE('대전도시공사_청년임대주택 현황_20240630'!B527,""ko"",""en"")"),"205")</f>
        <v>205</v>
      </c>
      <c r="C527" s="1" t="str">
        <f ca="1">IFERROR(__xludf.DUMMYFUNCTION("GOOGLETRANSLATE('대전도시공사_청년임대주택 현황_20240630'!C527,""ko"",""en"")"),"1")</f>
        <v>1</v>
      </c>
      <c r="D527" s="1" t="str">
        <f ca="1">IFERROR(__xludf.DUMMYFUNCTION("GOOGLETRANSLATE('대전도시공사_청년임대주택 현황_20240630'!D527,""ko"",""en"")"),"1407")</f>
        <v>1407</v>
      </c>
      <c r="E527" s="1" t="str">
        <f ca="1">IFERROR(__xludf.DUMMYFUNCTION("GOOGLETRANSLATE('대전도시공사_청년임대주택 현황_20240630'!E527,""ko"",""en"")"),"58.799")</f>
        <v>58.799</v>
      </c>
      <c r="F527" s="1" t="str">
        <f ca="1">IFERROR(__xludf.DUMMYFUNCTION("GOOGLETRANSLATE('대전도시공사_청년임대주택 현황_20240630'!F527,""ko"",""en"")"),"24.279")</f>
        <v>24.279</v>
      </c>
      <c r="G527" s="1" t="str">
        <f ca="1">IFERROR(__xludf.DUMMYFUNCTION("GOOGLETRANSLATE('대전도시공사_청년임대주택 현황_20240630'!G527,""ko"",""en"")"),"34.519")</f>
        <v>34.519</v>
      </c>
      <c r="H527" s="1" t="str">
        <f ca="1">IFERROR(__xludf.DUMMYFUNCTION("GOOGLETRANSLATE('대전도시공사_청년임대주택 현황_20240630'!H527,""ko"",""en"")"),"Youth Rent 1st Place")</f>
        <v>Youth Rent 1st Place</v>
      </c>
      <c r="I527" s="1" t="str">
        <f ca="1">IFERROR(__xludf.DUMMYFUNCTION("GOOGLETRANSLATE('대전도시공사_청년임대주택 현황_20240630'!I527,""ko"",""en"")"),"1000000")</f>
        <v>1000000</v>
      </c>
      <c r="J527" s="1" t="str">
        <f ca="1">IFERROR(__xludf.DUMMYFUNCTION("GOOGLETRANSLATE('대전도시공사_청년임대주택 현황_20240630'!J527,""ko"",""en"")"),"226700")</f>
        <v>226700</v>
      </c>
    </row>
    <row r="528" spans="1:10" ht="12.5" x14ac:dyDescent="0.25">
      <c r="A528" s="1" t="str">
        <f ca="1">IFERROR(__xludf.DUMMYFUNCTION("GOOGLETRANSLATE('대전도시공사_청년임대주택 현황_20240630'!A528,""ko"",""en"")"),"540-8 Bongmyeong-dong (Haenarae, youth rental)")</f>
        <v>540-8 Bongmyeong-dong (Haenarae, youth rental)</v>
      </c>
      <c r="B528" s="1" t="str">
        <f ca="1">IFERROR(__xludf.DUMMYFUNCTION("GOOGLETRANSLATE('대전도시공사_청년임대주택 현황_20240630'!B528,""ko"",""en"")"),"206")</f>
        <v>206</v>
      </c>
      <c r="C528" s="1" t="str">
        <f ca="1">IFERROR(__xludf.DUMMYFUNCTION("GOOGLETRANSLATE('대전도시공사_청년임대주택 현황_20240630'!C528,""ko"",""en"")"),"1")</f>
        <v>1</v>
      </c>
      <c r="D528" s="1" t="str">
        <f ca="1">IFERROR(__xludf.DUMMYFUNCTION("GOOGLETRANSLATE('대전도시공사_청년임대주택 현황_20240630'!D528,""ko"",""en"")"),"1407")</f>
        <v>1407</v>
      </c>
      <c r="E528" s="1" t="str">
        <f ca="1">IFERROR(__xludf.DUMMYFUNCTION("GOOGLETRANSLATE('대전도시공사_청년임대주택 현황_20240630'!E528,""ko"",""en"")"),"58.799")</f>
        <v>58.799</v>
      </c>
      <c r="F528" s="1" t="str">
        <f ca="1">IFERROR(__xludf.DUMMYFUNCTION("GOOGLETRANSLATE('대전도시공사_청년임대주택 현황_20240630'!F528,""ko"",""en"")"),"24.279")</f>
        <v>24.279</v>
      </c>
      <c r="G528" s="1" t="str">
        <f ca="1">IFERROR(__xludf.DUMMYFUNCTION("GOOGLETRANSLATE('대전도시공사_청년임대주택 현황_20240630'!G528,""ko"",""en"")"),"34.519")</f>
        <v>34.519</v>
      </c>
      <c r="H528" s="1" t="str">
        <f ca="1">IFERROR(__xludf.DUMMYFUNCTION("GOOGLETRANSLATE('대전도시공사_청년임대주택 현황_20240630'!H528,""ko"",""en"")"),"Youth Rental 2nd Place")</f>
        <v>Youth Rental 2nd Place</v>
      </c>
      <c r="I528" s="1" t="str">
        <f ca="1">IFERROR(__xludf.DUMMYFUNCTION("GOOGLETRANSLATE('대전도시공사_청년임대주택 현황_20240630'!I528,""ko"",""en"")"),"2000000")</f>
        <v>2000000</v>
      </c>
      <c r="J528" s="1" t="str">
        <f ca="1">IFERROR(__xludf.DUMMYFUNCTION("GOOGLETRANSLATE('대전도시공사_청년임대주택 현황_20240630'!J528,""ko"",""en"")"),"279200")</f>
        <v>279200</v>
      </c>
    </row>
    <row r="529" spans="1:10" ht="12.5" x14ac:dyDescent="0.25">
      <c r="A529" s="1" t="str">
        <f ca="1">IFERROR(__xludf.DUMMYFUNCTION("GOOGLETRANSLATE('대전도시공사_청년임대주택 현황_20240630'!A529,""ko"",""en"")"),"540-8 Bongmyeong-dong (Haenarae, youth rental)")</f>
        <v>540-8 Bongmyeong-dong (Haenarae, youth rental)</v>
      </c>
      <c r="B529" s="1" t="str">
        <f ca="1">IFERROR(__xludf.DUMMYFUNCTION("GOOGLETRANSLATE('대전도시공사_청년임대주택 현황_20240630'!B529,""ko"",""en"")"),"207")</f>
        <v>207</v>
      </c>
      <c r="C529" s="1" t="str">
        <f ca="1">IFERROR(__xludf.DUMMYFUNCTION("GOOGLETRANSLATE('대전도시공사_청년임대주택 현황_20240630'!C529,""ko"",""en"")"),"1")</f>
        <v>1</v>
      </c>
      <c r="D529" s="1" t="str">
        <f ca="1">IFERROR(__xludf.DUMMYFUNCTION("GOOGLETRANSLATE('대전도시공사_청년임대주택 현황_20240630'!D529,""ko"",""en"")"),"1407")</f>
        <v>1407</v>
      </c>
      <c r="E529" s="1" t="str">
        <f ca="1">IFERROR(__xludf.DUMMYFUNCTION("GOOGLETRANSLATE('대전도시공사_청년임대주택 현황_20240630'!E529,""ko"",""en"")"),"58.799")</f>
        <v>58.799</v>
      </c>
      <c r="F529" s="1" t="str">
        <f ca="1">IFERROR(__xludf.DUMMYFUNCTION("GOOGLETRANSLATE('대전도시공사_청년임대주택 현황_20240630'!F529,""ko"",""en"")"),"24.279")</f>
        <v>24.279</v>
      </c>
      <c r="G529" s="1" t="str">
        <f ca="1">IFERROR(__xludf.DUMMYFUNCTION("GOOGLETRANSLATE('대전도시공사_청년임대주택 현황_20240630'!G529,""ko"",""en"")"),"34.519")</f>
        <v>34.519</v>
      </c>
      <c r="H529" s="1" t="str">
        <f ca="1">IFERROR(__xludf.DUMMYFUNCTION("GOOGLETRANSLATE('대전도시공사_청년임대주택 현황_20240630'!H529,""ko"",""en"")"),"3rd place for youth rental")</f>
        <v>3rd place for youth rental</v>
      </c>
      <c r="I529" s="1" t="str">
        <f ca="1">IFERROR(__xludf.DUMMYFUNCTION("GOOGLETRANSLATE('대전도시공사_청년임대주택 현황_20240630'!I529,""ko"",""en"")"),"2000000")</f>
        <v>2000000</v>
      </c>
      <c r="J529" s="1" t="str">
        <f ca="1">IFERROR(__xludf.DUMMYFUNCTION("GOOGLETRANSLATE('대전도시공사_청년임대주택 현황_20240630'!J529,""ko"",""en"")"),"279200")</f>
        <v>279200</v>
      </c>
    </row>
    <row r="530" spans="1:10" ht="12.5" x14ac:dyDescent="0.25">
      <c r="A530" s="1" t="str">
        <f ca="1">IFERROR(__xludf.DUMMYFUNCTION("GOOGLETRANSLATE('대전도시공사_청년임대주택 현황_20240630'!A530,""ko"",""en"")"),"540-8 Bongmyeong-dong (Haenarae 2, youth rental)")</f>
        <v>540-8 Bongmyeong-dong (Haenarae 2, youth rental)</v>
      </c>
      <c r="B530" s="1" t="str">
        <f ca="1">IFERROR(__xludf.DUMMYFUNCTION("GOOGLETRANSLATE('대전도시공사_청년임대주택 현황_20240630'!B530,""ko"",""en"")"),"1")</f>
        <v>1</v>
      </c>
      <c r="C530" s="1" t="str">
        <f ca="1">IFERROR(__xludf.DUMMYFUNCTION("GOOGLETRANSLATE('대전도시공사_청년임대주택 현황_20240630'!C530,""ko"",""en"")"),"1")</f>
        <v>1</v>
      </c>
      <c r="D530" s="1" t="str">
        <f ca="1">IFERROR(__xludf.DUMMYFUNCTION("GOOGLETRANSLATE('대전도시공사_청년임대주택 현황_20240630'!D530,""ko"",""en"")"),"601")</f>
        <v>601</v>
      </c>
      <c r="E530" s="1" t="str">
        <f ca="1">IFERROR(__xludf.DUMMYFUNCTION("GOOGLETRANSLATE('대전도시공사_청년임대주택 현황_20240630'!E530,""ko"",""en"")"),"48.862")</f>
        <v>48.862</v>
      </c>
      <c r="F530" s="1" t="str">
        <f ca="1">IFERROR(__xludf.DUMMYFUNCTION("GOOGLETRANSLATE('대전도시공사_청년임대주택 현황_20240630'!F530,""ko"",""en"")"),"18.887")</f>
        <v>18.887</v>
      </c>
      <c r="G530" s="1" t="str">
        <f ca="1">IFERROR(__xludf.DUMMYFUNCTION("GOOGLETRANSLATE('대전도시공사_청년임대주택 현황_20240630'!G530,""ko"",""en"")"),"27.974")</f>
        <v>27.974</v>
      </c>
      <c r="H530" s="1" t="str">
        <f ca="1">IFERROR(__xludf.DUMMYFUNCTION("GOOGLETRANSLATE('대전도시공사_청년임대주택 현황_20240630'!H530,""ko"",""en"")"),"Beneficiary")</f>
        <v>Beneficiary</v>
      </c>
      <c r="I530" s="1" t="str">
        <f ca="1">IFERROR(__xludf.DUMMYFUNCTION("GOOGLETRANSLATE('대전도시공사_청년임대주택 현황_20240630'!I530,""ko"",""en"")"),"1000000")</f>
        <v>1000000</v>
      </c>
      <c r="J530" s="1" t="str">
        <f ca="1">IFERROR(__xludf.DUMMYFUNCTION("GOOGLETRANSLATE('대전도시공사_청년임대주택 현황_20240630'!J530,""ko"",""en"")"),"214800")</f>
        <v>214800</v>
      </c>
    </row>
    <row r="531" spans="1:10" ht="12.5" x14ac:dyDescent="0.25">
      <c r="A531" s="1" t="str">
        <f ca="1">IFERROR(__xludf.DUMMYFUNCTION("GOOGLETRANSLATE('대전도시공사_청년임대주택 현황_20240630'!A531,""ko"",""en"")"),"540-8 Bongmyeong-dong (Haenarae 2, youth rental)")</f>
        <v>540-8 Bongmyeong-dong (Haenarae 2, youth rental)</v>
      </c>
      <c r="B531" s="1" t="str">
        <f ca="1">IFERROR(__xludf.DUMMYFUNCTION("GOOGLETRANSLATE('대전도시공사_청년임대주택 현황_20240630'!B531,""ko"",""en"")"),"2")</f>
        <v>2</v>
      </c>
      <c r="C531" s="1" t="str">
        <f ca="1">IFERROR(__xludf.DUMMYFUNCTION("GOOGLETRANSLATE('대전도시공사_청년임대주택 현황_20240630'!C531,""ko"",""en"")"),"1")</f>
        <v>1</v>
      </c>
      <c r="D531" s="1" t="str">
        <f ca="1">IFERROR(__xludf.DUMMYFUNCTION("GOOGLETRANSLATE('대전도시공사_청년임대주택 현황_20240630'!D531,""ko"",""en"")"),"601")</f>
        <v>601</v>
      </c>
      <c r="E531" s="1" t="str">
        <f ca="1">IFERROR(__xludf.DUMMYFUNCTION("GOOGLETRANSLATE('대전도시공사_청년임대주택 현황_20240630'!E531,""ko"",""en"")"),"48.862")</f>
        <v>48.862</v>
      </c>
      <c r="F531" s="1" t="str">
        <f ca="1">IFERROR(__xludf.DUMMYFUNCTION("GOOGLETRANSLATE('대전도시공사_청년임대주택 현황_20240630'!F531,""ko"",""en"")"),"18.887")</f>
        <v>18.887</v>
      </c>
      <c r="G531" s="1" t="str">
        <f ca="1">IFERROR(__xludf.DUMMYFUNCTION("GOOGLETRANSLATE('대전도시공사_청년임대주택 현황_20240630'!G531,""ko"",""en"")"),"27.974")</f>
        <v>27.974</v>
      </c>
      <c r="H531" s="1" t="str">
        <f ca="1">IFERROR(__xludf.DUMMYFUNCTION("GOOGLETRANSLATE('대전도시공사_청년임대주택 현황_20240630'!H531,""ko"",""en"")"),"Youth Rental 2nd Place")</f>
        <v>Youth Rental 2nd Place</v>
      </c>
      <c r="I531" s="1" t="str">
        <f ca="1">IFERROR(__xludf.DUMMYFUNCTION("GOOGLETRANSLATE('대전도시공사_청년임대주택 현황_20240630'!I531,""ko"",""en"")"),"2000000")</f>
        <v>2000000</v>
      </c>
      <c r="J531" s="1" t="str">
        <f ca="1">IFERROR(__xludf.DUMMYFUNCTION("GOOGLETRANSLATE('대전도시공사_청년임대주택 현황_20240630'!J531,""ko"",""en"")"),"264400")</f>
        <v>264400</v>
      </c>
    </row>
    <row r="532" spans="1:10" ht="12.5" x14ac:dyDescent="0.25">
      <c r="A532" s="1" t="str">
        <f ca="1">IFERROR(__xludf.DUMMYFUNCTION("GOOGLETRANSLATE('대전도시공사_청년임대주택 현황_20240630'!A532,""ko"",""en"")"),"540-8 Bongmyeong-dong (Haenarae 2, youth rental)")</f>
        <v>540-8 Bongmyeong-dong (Haenarae 2, youth rental)</v>
      </c>
      <c r="B532" s="1" t="str">
        <f ca="1">IFERROR(__xludf.DUMMYFUNCTION("GOOGLETRANSLATE('대전도시공사_청년임대주택 현황_20240630'!B532,""ko"",""en"")"),"3")</f>
        <v>3</v>
      </c>
      <c r="C532" s="1" t="str">
        <f ca="1">IFERROR(__xludf.DUMMYFUNCTION("GOOGLETRANSLATE('대전도시공사_청년임대주택 현황_20240630'!C532,""ko"",""en"")"),"1")</f>
        <v>1</v>
      </c>
      <c r="D532" s="1" t="str">
        <f ca="1">IFERROR(__xludf.DUMMYFUNCTION("GOOGLETRANSLATE('대전도시공사_청년임대주택 현황_20240630'!D532,""ko"",""en"")"),"601")</f>
        <v>601</v>
      </c>
      <c r="E532" s="1" t="str">
        <f ca="1">IFERROR(__xludf.DUMMYFUNCTION("GOOGLETRANSLATE('대전도시공사_청년임대주택 현황_20240630'!E532,""ko"",""en"")"),"48.862")</f>
        <v>48.862</v>
      </c>
      <c r="F532" s="1" t="str">
        <f ca="1">IFERROR(__xludf.DUMMYFUNCTION("GOOGLETRANSLATE('대전도시공사_청년임대주택 현황_20240630'!F532,""ko"",""en"")"),"18.887")</f>
        <v>18.887</v>
      </c>
      <c r="G532" s="1" t="str">
        <f ca="1">IFERROR(__xludf.DUMMYFUNCTION("GOOGLETRANSLATE('대전도시공사_청년임대주택 현황_20240630'!G532,""ko"",""en"")"),"27.974")</f>
        <v>27.974</v>
      </c>
      <c r="H532" s="1" t="str">
        <f ca="1">IFERROR(__xludf.DUMMYFUNCTION("GOOGLETRANSLATE('대전도시공사_청년임대주택 현황_20240630'!H532,""ko"",""en"")"),"3rd place for youth rental")</f>
        <v>3rd place for youth rental</v>
      </c>
      <c r="I532" s="1" t="str">
        <f ca="1">IFERROR(__xludf.DUMMYFUNCTION("GOOGLETRANSLATE('대전도시공사_청년임대주택 현황_20240630'!I532,""ko"",""en"")"),"2000000")</f>
        <v>2000000</v>
      </c>
      <c r="J532" s="1" t="str">
        <f ca="1">IFERROR(__xludf.DUMMYFUNCTION("GOOGLETRANSLATE('대전도시공사_청년임대주택 현황_20240630'!J532,""ko"",""en"")"),"264400")</f>
        <v>264400</v>
      </c>
    </row>
    <row r="533" spans="1:10" ht="12.5" x14ac:dyDescent="0.25">
      <c r="A533" s="1" t="str">
        <f ca="1">IFERROR(__xludf.DUMMYFUNCTION("GOOGLETRANSLATE('대전도시공사_청년임대주택 현황_20240630'!A533,""ko"",""en"")"),"540-8 Bongmyeong-dong (Haenarae 2, youth rental)")</f>
        <v>540-8 Bongmyeong-dong (Haenarae 2, youth rental)</v>
      </c>
      <c r="B533" s="1" t="str">
        <f ca="1">IFERROR(__xludf.DUMMYFUNCTION("GOOGLETRANSLATE('대전도시공사_청년임대주택 현황_20240630'!B533,""ko"",""en"")"),"4")</f>
        <v>4</v>
      </c>
      <c r="C533" s="1" t="str">
        <f ca="1">IFERROR(__xludf.DUMMYFUNCTION("GOOGLETRANSLATE('대전도시공사_청년임대주택 현황_20240630'!C533,""ko"",""en"")"),"1")</f>
        <v>1</v>
      </c>
      <c r="D533" s="1" t="str">
        <f ca="1">IFERROR(__xludf.DUMMYFUNCTION("GOOGLETRANSLATE('대전도시공사_청년임대주택 현황_20240630'!D533,""ko"",""en"")"),"602")</f>
        <v>602</v>
      </c>
      <c r="E533" s="1" t="str">
        <f ca="1">IFERROR(__xludf.DUMMYFUNCTION("GOOGLETRANSLATE('대전도시공사_청년임대주택 현황_20240630'!E533,""ko"",""en"")"),"58.798")</f>
        <v>58.798</v>
      </c>
      <c r="F533" s="1" t="str">
        <f ca="1">IFERROR(__xludf.DUMMYFUNCTION("GOOGLETRANSLATE('대전도시공사_청년임대주택 현황_20240630'!F533,""ko"",""en"")"),"24.279")</f>
        <v>24.279</v>
      </c>
      <c r="G533" s="1" t="str">
        <f ca="1">IFERROR(__xludf.DUMMYFUNCTION("GOOGLETRANSLATE('대전도시공사_청년임대주택 현황_20240630'!G533,""ko"",""en"")"),"34.519")</f>
        <v>34.519</v>
      </c>
      <c r="H533" s="1" t="str">
        <f ca="1">IFERROR(__xludf.DUMMYFUNCTION("GOOGLETRANSLATE('대전도시공사_청년임대주택 현황_20240630'!H533,""ko"",""en"")"),"Beneficiary")</f>
        <v>Beneficiary</v>
      </c>
      <c r="I533" s="1" t="str">
        <f ca="1">IFERROR(__xludf.DUMMYFUNCTION("GOOGLETRANSLATE('대전도시공사_청년임대주택 현황_20240630'!I533,""ko"",""en"")"),"1000000")</f>
        <v>1000000</v>
      </c>
      <c r="J533" s="1" t="str">
        <f ca="1">IFERROR(__xludf.DUMMYFUNCTION("GOOGLETRANSLATE('대전도시공사_청년임대주택 현황_20240630'!J533,""ko"",""en"")"),"215900")</f>
        <v>215900</v>
      </c>
    </row>
    <row r="534" spans="1:10" ht="12.5" x14ac:dyDescent="0.25">
      <c r="A534" s="1" t="str">
        <f ca="1">IFERROR(__xludf.DUMMYFUNCTION("GOOGLETRANSLATE('대전도시공사_청년임대주택 현황_20240630'!A534,""ko"",""en"")"),"540-8 Bongmyeong-dong (Haenarae 2, youth rental)")</f>
        <v>540-8 Bongmyeong-dong (Haenarae 2, youth rental)</v>
      </c>
      <c r="B534" s="1" t="str">
        <f ca="1">IFERROR(__xludf.DUMMYFUNCTION("GOOGLETRANSLATE('대전도시공사_청년임대주택 현황_20240630'!B534,""ko"",""en"")"),"5")</f>
        <v>5</v>
      </c>
      <c r="C534" s="1" t="str">
        <f ca="1">IFERROR(__xludf.DUMMYFUNCTION("GOOGLETRANSLATE('대전도시공사_청년임대주택 현황_20240630'!C534,""ko"",""en"")"),"1")</f>
        <v>1</v>
      </c>
      <c r="D534" s="1" t="str">
        <f ca="1">IFERROR(__xludf.DUMMYFUNCTION("GOOGLETRANSLATE('대전도시공사_청년임대주택 현황_20240630'!D534,""ko"",""en"")"),"602")</f>
        <v>602</v>
      </c>
      <c r="E534" s="1" t="str">
        <f ca="1">IFERROR(__xludf.DUMMYFUNCTION("GOOGLETRANSLATE('대전도시공사_청년임대주택 현황_20240630'!E534,""ko"",""en"")"),"58.798")</f>
        <v>58.798</v>
      </c>
      <c r="F534" s="1" t="str">
        <f ca="1">IFERROR(__xludf.DUMMYFUNCTION("GOOGLETRANSLATE('대전도시공사_청년임대주택 현황_20240630'!F534,""ko"",""en"")"),"24.279")</f>
        <v>24.279</v>
      </c>
      <c r="G534" s="1" t="str">
        <f ca="1">IFERROR(__xludf.DUMMYFUNCTION("GOOGLETRANSLATE('대전도시공사_청년임대주택 현황_20240630'!G534,""ko"",""en"")"),"34.519")</f>
        <v>34.519</v>
      </c>
      <c r="H534" s="1" t="str">
        <f ca="1">IFERROR(__xludf.DUMMYFUNCTION("GOOGLETRANSLATE('대전도시공사_청년임대주택 현황_20240630'!H534,""ko"",""en"")"),"Youth Rental 2nd Place")</f>
        <v>Youth Rental 2nd Place</v>
      </c>
      <c r="I534" s="1" t="str">
        <f ca="1">IFERROR(__xludf.DUMMYFUNCTION("GOOGLETRANSLATE('대전도시공사_청년임대주택 현황_20240630'!I534,""ko"",""en"")"),"2000000")</f>
        <v>2000000</v>
      </c>
      <c r="J534" s="1" t="str">
        <f ca="1">IFERROR(__xludf.DUMMYFUNCTION("GOOGLETRANSLATE('대전도시공사_청년임대주택 현황_20240630'!J534,""ko"",""en"")"),"265700")</f>
        <v>265700</v>
      </c>
    </row>
    <row r="535" spans="1:10" ht="12.5" x14ac:dyDescent="0.25">
      <c r="A535" s="1" t="str">
        <f ca="1">IFERROR(__xludf.DUMMYFUNCTION("GOOGLETRANSLATE('대전도시공사_청년임대주택 현황_20240630'!A535,""ko"",""en"")"),"540-8 Bongmyeong-dong (Haenarae 2, youth rental)")</f>
        <v>540-8 Bongmyeong-dong (Haenarae 2, youth rental)</v>
      </c>
      <c r="B535" s="1" t="str">
        <f ca="1">IFERROR(__xludf.DUMMYFUNCTION("GOOGLETRANSLATE('대전도시공사_청년임대주택 현황_20240630'!B535,""ko"",""en"")"),"6")</f>
        <v>6</v>
      </c>
      <c r="C535" s="1" t="str">
        <f ca="1">IFERROR(__xludf.DUMMYFUNCTION("GOOGLETRANSLATE('대전도시공사_청년임대주택 현황_20240630'!C535,""ko"",""en"")"),"1")</f>
        <v>1</v>
      </c>
      <c r="D535" s="1" t="str">
        <f ca="1">IFERROR(__xludf.DUMMYFUNCTION("GOOGLETRANSLATE('대전도시공사_청년임대주택 현황_20240630'!D535,""ko"",""en"")"),"602")</f>
        <v>602</v>
      </c>
      <c r="E535" s="1" t="str">
        <f ca="1">IFERROR(__xludf.DUMMYFUNCTION("GOOGLETRANSLATE('대전도시공사_청년임대주택 현황_20240630'!E535,""ko"",""en"")"),"58.798")</f>
        <v>58.798</v>
      </c>
      <c r="F535" s="1" t="str">
        <f ca="1">IFERROR(__xludf.DUMMYFUNCTION("GOOGLETRANSLATE('대전도시공사_청년임대주택 현황_20240630'!F535,""ko"",""en"")"),"24.279")</f>
        <v>24.279</v>
      </c>
      <c r="G535" s="1" t="str">
        <f ca="1">IFERROR(__xludf.DUMMYFUNCTION("GOOGLETRANSLATE('대전도시공사_청년임대주택 현황_20240630'!G535,""ko"",""en"")"),"34.519")</f>
        <v>34.519</v>
      </c>
      <c r="H535" s="1" t="str">
        <f ca="1">IFERROR(__xludf.DUMMYFUNCTION("GOOGLETRANSLATE('대전도시공사_청년임대주택 현황_20240630'!H535,""ko"",""en"")"),"3rd place for youth rental")</f>
        <v>3rd place for youth rental</v>
      </c>
      <c r="I535" s="1" t="str">
        <f ca="1">IFERROR(__xludf.DUMMYFUNCTION("GOOGLETRANSLATE('대전도시공사_청년임대주택 현황_20240630'!I535,""ko"",""en"")"),"2000000")</f>
        <v>2000000</v>
      </c>
      <c r="J535" s="1" t="str">
        <f ca="1">IFERROR(__xludf.DUMMYFUNCTION("GOOGLETRANSLATE('대전도시공사_청년임대주택 현황_20240630'!J535,""ko"",""en"")"),"265700")</f>
        <v>265700</v>
      </c>
    </row>
    <row r="536" spans="1:10" ht="12.5" x14ac:dyDescent="0.25">
      <c r="A536" s="1" t="str">
        <f ca="1">IFERROR(__xludf.DUMMYFUNCTION("GOOGLETRANSLATE('대전도시공사_청년임대주택 현황_20240630'!A536,""ko"",""en"")"),"540-8 Bongmyeong-dong (Haenarae 2, youth rental)")</f>
        <v>540-8 Bongmyeong-dong (Haenarae 2, youth rental)</v>
      </c>
      <c r="B536" s="1" t="str">
        <f ca="1">IFERROR(__xludf.DUMMYFUNCTION("GOOGLETRANSLATE('대전도시공사_청년임대주택 현황_20240630'!B536,""ko"",""en"")"),"7")</f>
        <v>7</v>
      </c>
      <c r="C536" s="1" t="str">
        <f ca="1">IFERROR(__xludf.DUMMYFUNCTION("GOOGLETRANSLATE('대전도시공사_청년임대주택 현황_20240630'!C536,""ko"",""en"")"),"1")</f>
        <v>1</v>
      </c>
      <c r="D536" s="1" t="str">
        <f ca="1">IFERROR(__xludf.DUMMYFUNCTION("GOOGLETRANSLATE('대전도시공사_청년임대주택 현황_20240630'!D536,""ko"",""en"")"),"603")</f>
        <v>603</v>
      </c>
      <c r="E536" s="1" t="str">
        <f ca="1">IFERROR(__xludf.DUMMYFUNCTION("GOOGLETRANSLATE('대전도시공사_청년임대주택 현황_20240630'!E536,""ko"",""en"")"),"58.798")</f>
        <v>58.798</v>
      </c>
      <c r="F536" s="1" t="str">
        <f ca="1">IFERROR(__xludf.DUMMYFUNCTION("GOOGLETRANSLATE('대전도시공사_청년임대주택 현황_20240630'!F536,""ko"",""en"")"),"24.279")</f>
        <v>24.279</v>
      </c>
      <c r="G536" s="1" t="str">
        <f ca="1">IFERROR(__xludf.DUMMYFUNCTION("GOOGLETRANSLATE('대전도시공사_청년임대주택 현황_20240630'!G536,""ko"",""en"")"),"34.519")</f>
        <v>34.519</v>
      </c>
      <c r="H536" s="1" t="str">
        <f ca="1">IFERROR(__xludf.DUMMYFUNCTION("GOOGLETRANSLATE('대전도시공사_청년임대주택 현황_20240630'!H536,""ko"",""en"")"),"Youth Rent 1st Place")</f>
        <v>Youth Rent 1st Place</v>
      </c>
      <c r="I536" s="1" t="str">
        <f ca="1">IFERROR(__xludf.DUMMYFUNCTION("GOOGLETRANSLATE('대전도시공사_청년임대주택 현황_20240630'!I536,""ko"",""en"")"),"1000000")</f>
        <v>1000000</v>
      </c>
      <c r="J536" s="1" t="str">
        <f ca="1">IFERROR(__xludf.DUMMYFUNCTION("GOOGLETRANSLATE('대전도시공사_청년임대주택 현황_20240630'!J536,""ko"",""en"")"),"215900")</f>
        <v>215900</v>
      </c>
    </row>
    <row r="537" spans="1:10" ht="12.5" x14ac:dyDescent="0.25">
      <c r="A537" s="1" t="str">
        <f ca="1">IFERROR(__xludf.DUMMYFUNCTION("GOOGLETRANSLATE('대전도시공사_청년임대주택 현황_20240630'!A537,""ko"",""en"")"),"540-8 Bongmyeong-dong (Haenarae 2, youth rental)")</f>
        <v>540-8 Bongmyeong-dong (Haenarae 2, youth rental)</v>
      </c>
      <c r="B537" s="1" t="str">
        <f ca="1">IFERROR(__xludf.DUMMYFUNCTION("GOOGLETRANSLATE('대전도시공사_청년임대주택 현황_20240630'!B537,""ko"",""en"")"),"8")</f>
        <v>8</v>
      </c>
      <c r="C537" s="1" t="str">
        <f ca="1">IFERROR(__xludf.DUMMYFUNCTION("GOOGLETRANSLATE('대전도시공사_청년임대주택 현황_20240630'!C537,""ko"",""en"")"),"1")</f>
        <v>1</v>
      </c>
      <c r="D537" s="1" t="str">
        <f ca="1">IFERROR(__xludf.DUMMYFUNCTION("GOOGLETRANSLATE('대전도시공사_청년임대주택 현황_20240630'!D537,""ko"",""en"")"),"603")</f>
        <v>603</v>
      </c>
      <c r="E537" s="1" t="str">
        <f ca="1">IFERROR(__xludf.DUMMYFUNCTION("GOOGLETRANSLATE('대전도시공사_청년임대주택 현황_20240630'!E537,""ko"",""en"")"),"58.798")</f>
        <v>58.798</v>
      </c>
      <c r="F537" s="1" t="str">
        <f ca="1">IFERROR(__xludf.DUMMYFUNCTION("GOOGLETRANSLATE('대전도시공사_청년임대주택 현황_20240630'!F537,""ko"",""en"")"),"24.279")</f>
        <v>24.279</v>
      </c>
      <c r="G537" s="1" t="str">
        <f ca="1">IFERROR(__xludf.DUMMYFUNCTION("GOOGLETRANSLATE('대전도시공사_청년임대주택 현황_20240630'!G537,""ko"",""en"")"),"34.519")</f>
        <v>34.519</v>
      </c>
      <c r="H537" s="1" t="str">
        <f ca="1">IFERROR(__xludf.DUMMYFUNCTION("GOOGLETRANSLATE('대전도시공사_청년임대주택 현황_20240630'!H537,""ko"",""en"")"),"Youth Rental 2nd Place")</f>
        <v>Youth Rental 2nd Place</v>
      </c>
      <c r="I537" s="1" t="str">
        <f ca="1">IFERROR(__xludf.DUMMYFUNCTION("GOOGLETRANSLATE('대전도시공사_청년임대주택 현황_20240630'!I537,""ko"",""en"")"),"2000000")</f>
        <v>2000000</v>
      </c>
      <c r="J537" s="1" t="str">
        <f ca="1">IFERROR(__xludf.DUMMYFUNCTION("GOOGLETRANSLATE('대전도시공사_청년임대주택 현황_20240630'!J537,""ko"",""en"")"),"265700")</f>
        <v>265700</v>
      </c>
    </row>
    <row r="538" spans="1:10" ht="12.5" x14ac:dyDescent="0.25">
      <c r="A538" s="1" t="str">
        <f ca="1">IFERROR(__xludf.DUMMYFUNCTION("GOOGLETRANSLATE('대전도시공사_청년임대주택 현황_20240630'!A538,""ko"",""en"")"),"540-8 Bongmyeong-dong (Haenarae 2, youth rental)")</f>
        <v>540-8 Bongmyeong-dong (Haenarae 2, youth rental)</v>
      </c>
      <c r="B538" s="1" t="str">
        <f ca="1">IFERROR(__xludf.DUMMYFUNCTION("GOOGLETRANSLATE('대전도시공사_청년임대주택 현황_20240630'!B538,""ko"",""en"")"),"9")</f>
        <v>9</v>
      </c>
      <c r="C538" s="1" t="str">
        <f ca="1">IFERROR(__xludf.DUMMYFUNCTION("GOOGLETRANSLATE('대전도시공사_청년임대주택 현황_20240630'!C538,""ko"",""en"")"),"1")</f>
        <v>1</v>
      </c>
      <c r="D538" s="1" t="str">
        <f ca="1">IFERROR(__xludf.DUMMYFUNCTION("GOOGLETRANSLATE('대전도시공사_청년임대주택 현황_20240630'!D538,""ko"",""en"")"),"603")</f>
        <v>603</v>
      </c>
      <c r="E538" s="1" t="str">
        <f ca="1">IFERROR(__xludf.DUMMYFUNCTION("GOOGLETRANSLATE('대전도시공사_청년임대주택 현황_20240630'!E538,""ko"",""en"")"),"58.798")</f>
        <v>58.798</v>
      </c>
      <c r="F538" s="1" t="str">
        <f ca="1">IFERROR(__xludf.DUMMYFUNCTION("GOOGLETRANSLATE('대전도시공사_청년임대주택 현황_20240630'!F538,""ko"",""en"")"),"24.279")</f>
        <v>24.279</v>
      </c>
      <c r="G538" s="1" t="str">
        <f ca="1">IFERROR(__xludf.DUMMYFUNCTION("GOOGLETRANSLATE('대전도시공사_청년임대주택 현황_20240630'!G538,""ko"",""en"")"),"34.519")</f>
        <v>34.519</v>
      </c>
      <c r="H538" s="1" t="str">
        <f ca="1">IFERROR(__xludf.DUMMYFUNCTION("GOOGLETRANSLATE('대전도시공사_청년임대주택 현황_20240630'!H538,""ko"",""en"")"),"3rd place for youth rental")</f>
        <v>3rd place for youth rental</v>
      </c>
      <c r="I538" s="1" t="str">
        <f ca="1">IFERROR(__xludf.DUMMYFUNCTION("GOOGLETRANSLATE('대전도시공사_청년임대주택 현황_20240630'!I538,""ko"",""en"")"),"2000000")</f>
        <v>2000000</v>
      </c>
      <c r="J538" s="1" t="str">
        <f ca="1">IFERROR(__xludf.DUMMYFUNCTION("GOOGLETRANSLATE('대전도시공사_청년임대주택 현황_20240630'!J538,""ko"",""en"")"),"265700")</f>
        <v>265700</v>
      </c>
    </row>
    <row r="539" spans="1:10" ht="12.5" x14ac:dyDescent="0.25">
      <c r="A539" s="1" t="str">
        <f ca="1">IFERROR(__xludf.DUMMYFUNCTION("GOOGLETRANSLATE('대전도시공사_청년임대주택 현황_20240630'!A539,""ko"",""en"")"),"540-8 Bongmyeong-dong (Haenarae 2, youth rental)")</f>
        <v>540-8 Bongmyeong-dong (Haenarae 2, youth rental)</v>
      </c>
      <c r="B539" s="1" t="str">
        <f ca="1">IFERROR(__xludf.DUMMYFUNCTION("GOOGLETRANSLATE('대전도시공사_청년임대주택 현황_20240630'!B539,""ko"",""en"")"),"10")</f>
        <v>10</v>
      </c>
      <c r="C539" s="1" t="str">
        <f ca="1">IFERROR(__xludf.DUMMYFUNCTION("GOOGLETRANSLATE('대전도시공사_청년임대주택 현황_20240630'!C539,""ko"",""en"")"),"1")</f>
        <v>1</v>
      </c>
      <c r="D539" s="1" t="str">
        <f ca="1">IFERROR(__xludf.DUMMYFUNCTION("GOOGLETRANSLATE('대전도시공사_청년임대주택 현황_20240630'!D539,""ko"",""en"")"),"604")</f>
        <v>604</v>
      </c>
      <c r="E539" s="1" t="str">
        <f ca="1">IFERROR(__xludf.DUMMYFUNCTION("GOOGLETRANSLATE('대전도시공사_청년임대주택 현황_20240630'!E539,""ko"",""en"")"),"58.798")</f>
        <v>58.798</v>
      </c>
      <c r="F539" s="1" t="str">
        <f ca="1">IFERROR(__xludf.DUMMYFUNCTION("GOOGLETRANSLATE('대전도시공사_청년임대주택 현황_20240630'!F539,""ko"",""en"")"),"24.279")</f>
        <v>24.279</v>
      </c>
      <c r="G539" s="1" t="str">
        <f ca="1">IFERROR(__xludf.DUMMYFUNCTION("GOOGLETRANSLATE('대전도시공사_청년임대주택 현황_20240630'!G539,""ko"",""en"")"),"34.519")</f>
        <v>34.519</v>
      </c>
      <c r="H539" s="1" t="str">
        <f ca="1">IFERROR(__xludf.DUMMYFUNCTION("GOOGLETRANSLATE('대전도시공사_청년임대주택 현황_20240630'!H539,""ko"",""en"")"),"Beneficiary")</f>
        <v>Beneficiary</v>
      </c>
      <c r="I539" s="1" t="str">
        <f ca="1">IFERROR(__xludf.DUMMYFUNCTION("GOOGLETRANSLATE('대전도시공사_청년임대주택 현황_20240630'!I539,""ko"",""en"")"),"1000000")</f>
        <v>1000000</v>
      </c>
      <c r="J539" s="1" t="str">
        <f ca="1">IFERROR(__xludf.DUMMYFUNCTION("GOOGLETRANSLATE('대전도시공사_청년임대주택 현황_20240630'!J539,""ko"",""en"")"),"215900")</f>
        <v>215900</v>
      </c>
    </row>
    <row r="540" spans="1:10" ht="12.5" x14ac:dyDescent="0.25">
      <c r="A540" s="1" t="str">
        <f ca="1">IFERROR(__xludf.DUMMYFUNCTION("GOOGLETRANSLATE('대전도시공사_청년임대주택 현황_20240630'!A540,""ko"",""en"")"),"540-8 Bongmyeong-dong (Haenarae 2, youth rental)")</f>
        <v>540-8 Bongmyeong-dong (Haenarae 2, youth rental)</v>
      </c>
      <c r="B540" s="1" t="str">
        <f ca="1">IFERROR(__xludf.DUMMYFUNCTION("GOOGLETRANSLATE('대전도시공사_청년임대주택 현황_20240630'!B540,""ko"",""en"")"),"11")</f>
        <v>11</v>
      </c>
      <c r="C540" s="1" t="str">
        <f ca="1">IFERROR(__xludf.DUMMYFUNCTION("GOOGLETRANSLATE('대전도시공사_청년임대주택 현황_20240630'!C540,""ko"",""en"")"),"1")</f>
        <v>1</v>
      </c>
      <c r="D540" s="1" t="str">
        <f ca="1">IFERROR(__xludf.DUMMYFUNCTION("GOOGLETRANSLATE('대전도시공사_청년임대주택 현황_20240630'!D540,""ko"",""en"")"),"604")</f>
        <v>604</v>
      </c>
      <c r="E540" s="1" t="str">
        <f ca="1">IFERROR(__xludf.DUMMYFUNCTION("GOOGLETRANSLATE('대전도시공사_청년임대주택 현황_20240630'!E540,""ko"",""en"")"),"58.798")</f>
        <v>58.798</v>
      </c>
      <c r="F540" s="1" t="str">
        <f ca="1">IFERROR(__xludf.DUMMYFUNCTION("GOOGLETRANSLATE('대전도시공사_청년임대주택 현황_20240630'!F540,""ko"",""en"")"),"24.279")</f>
        <v>24.279</v>
      </c>
      <c r="G540" s="1" t="str">
        <f ca="1">IFERROR(__xludf.DUMMYFUNCTION("GOOGLETRANSLATE('대전도시공사_청년임대주택 현황_20240630'!G540,""ko"",""en"")"),"34.519")</f>
        <v>34.519</v>
      </c>
      <c r="H540" s="1" t="str">
        <f ca="1">IFERROR(__xludf.DUMMYFUNCTION("GOOGLETRANSLATE('대전도시공사_청년임대주택 현황_20240630'!H540,""ko"",""en"")"),"Youth Rental 2nd Place")</f>
        <v>Youth Rental 2nd Place</v>
      </c>
      <c r="I540" s="1" t="str">
        <f ca="1">IFERROR(__xludf.DUMMYFUNCTION("GOOGLETRANSLATE('대전도시공사_청년임대주택 현황_20240630'!I540,""ko"",""en"")"),"2000000")</f>
        <v>2000000</v>
      </c>
      <c r="J540" s="1" t="str">
        <f ca="1">IFERROR(__xludf.DUMMYFUNCTION("GOOGLETRANSLATE('대전도시공사_청년임대주택 현황_20240630'!J540,""ko"",""en"")"),"265700")</f>
        <v>265700</v>
      </c>
    </row>
    <row r="541" spans="1:10" ht="12.5" x14ac:dyDescent="0.25">
      <c r="A541" s="1" t="str">
        <f ca="1">IFERROR(__xludf.DUMMYFUNCTION("GOOGLETRANSLATE('대전도시공사_청년임대주택 현황_20240630'!A541,""ko"",""en"")"),"540-8 Bongmyeong-dong (Haenarae 2, youth rental)")</f>
        <v>540-8 Bongmyeong-dong (Haenarae 2, youth rental)</v>
      </c>
      <c r="B541" s="1" t="str">
        <f ca="1">IFERROR(__xludf.DUMMYFUNCTION("GOOGLETRANSLATE('대전도시공사_청년임대주택 현황_20240630'!B541,""ko"",""en"")"),"12")</f>
        <v>12</v>
      </c>
      <c r="C541" s="1" t="str">
        <f ca="1">IFERROR(__xludf.DUMMYFUNCTION("GOOGLETRANSLATE('대전도시공사_청년임대주택 현황_20240630'!C541,""ko"",""en"")"),"1")</f>
        <v>1</v>
      </c>
      <c r="D541" s="1" t="str">
        <f ca="1">IFERROR(__xludf.DUMMYFUNCTION("GOOGLETRANSLATE('대전도시공사_청년임대주택 현황_20240630'!D541,""ko"",""en"")"),"604")</f>
        <v>604</v>
      </c>
      <c r="E541" s="1" t="str">
        <f ca="1">IFERROR(__xludf.DUMMYFUNCTION("GOOGLETRANSLATE('대전도시공사_청년임대주택 현황_20240630'!E541,""ko"",""en"")"),"58.798")</f>
        <v>58.798</v>
      </c>
      <c r="F541" s="1" t="str">
        <f ca="1">IFERROR(__xludf.DUMMYFUNCTION("GOOGLETRANSLATE('대전도시공사_청년임대주택 현황_20240630'!F541,""ko"",""en"")"),"24.279")</f>
        <v>24.279</v>
      </c>
      <c r="G541" s="1" t="str">
        <f ca="1">IFERROR(__xludf.DUMMYFUNCTION("GOOGLETRANSLATE('대전도시공사_청년임대주택 현황_20240630'!G541,""ko"",""en"")"),"34.519")</f>
        <v>34.519</v>
      </c>
      <c r="H541" s="1" t="str">
        <f ca="1">IFERROR(__xludf.DUMMYFUNCTION("GOOGLETRANSLATE('대전도시공사_청년임대주택 현황_20240630'!H541,""ko"",""en"")"),"3rd place for youth rental")</f>
        <v>3rd place for youth rental</v>
      </c>
      <c r="I541" s="1" t="str">
        <f ca="1">IFERROR(__xludf.DUMMYFUNCTION("GOOGLETRANSLATE('대전도시공사_청년임대주택 현황_20240630'!I541,""ko"",""en"")"),"2000000")</f>
        <v>2000000</v>
      </c>
      <c r="J541" s="1" t="str">
        <f ca="1">IFERROR(__xludf.DUMMYFUNCTION("GOOGLETRANSLATE('대전도시공사_청년임대주택 현황_20240630'!J541,""ko"",""en"")"),"265700")</f>
        <v>265700</v>
      </c>
    </row>
    <row r="542" spans="1:10" ht="12.5" x14ac:dyDescent="0.25">
      <c r="A542" s="1" t="str">
        <f ca="1">IFERROR(__xludf.DUMMYFUNCTION("GOOGLETRANSLATE('대전도시공사_청년임대주택 현황_20240630'!A542,""ko"",""en"")"),"540-8 Bongmyeong-dong (Haenarae 2, youth rental)")</f>
        <v>540-8 Bongmyeong-dong (Haenarae 2, youth rental)</v>
      </c>
      <c r="B542" s="1" t="str">
        <f ca="1">IFERROR(__xludf.DUMMYFUNCTION("GOOGLETRANSLATE('대전도시공사_청년임대주택 현황_20240630'!B542,""ko"",""en"")"),"13")</f>
        <v>13</v>
      </c>
      <c r="C542" s="1" t="str">
        <f ca="1">IFERROR(__xludf.DUMMYFUNCTION("GOOGLETRANSLATE('대전도시공사_청년임대주택 현황_20240630'!C542,""ko"",""en"")"),"1")</f>
        <v>1</v>
      </c>
      <c r="D542" s="1" t="str">
        <f ca="1">IFERROR(__xludf.DUMMYFUNCTION("GOOGLETRANSLATE('대전도시공사_청년임대주택 현황_20240630'!D542,""ko"",""en"")"),"606")</f>
        <v>606</v>
      </c>
      <c r="E542" s="1" t="str">
        <f ca="1">IFERROR(__xludf.DUMMYFUNCTION("GOOGLETRANSLATE('대전도시공사_청년임대주택 현황_20240630'!E542,""ko"",""en"")"),"58.813")</f>
        <v>58.813</v>
      </c>
      <c r="F542" s="1" t="str">
        <f ca="1">IFERROR(__xludf.DUMMYFUNCTION("GOOGLETRANSLATE('대전도시공사_청년임대주택 현황_20240630'!F542,""ko"",""en"")"),"24.017")</f>
        <v>24.017</v>
      </c>
      <c r="G542" s="1" t="str">
        <f ca="1">IFERROR(__xludf.DUMMYFUNCTION("GOOGLETRANSLATE('대전도시공사_청년임대주택 현황_20240630'!G542,""ko"",""en"")"),"34.795")</f>
        <v>34.795</v>
      </c>
      <c r="H542" s="1" t="str">
        <f ca="1">IFERROR(__xludf.DUMMYFUNCTION("GOOGLETRANSLATE('대전도시공사_청년임대주택 현황_20240630'!H542,""ko"",""en"")"),"Beneficiary")</f>
        <v>Beneficiary</v>
      </c>
      <c r="I542" s="1" t="str">
        <f ca="1">IFERROR(__xludf.DUMMYFUNCTION("GOOGLETRANSLATE('대전도시공사_청년임대주택 현황_20240630'!I542,""ko"",""en"")"),"1000000")</f>
        <v>1000000</v>
      </c>
      <c r="J542" s="1" t="str">
        <f ca="1">IFERROR(__xludf.DUMMYFUNCTION("GOOGLETRANSLATE('대전도시공사_청년임대주택 현황_20240630'!J542,""ko"",""en"")"),"215500")</f>
        <v>215500</v>
      </c>
    </row>
    <row r="543" spans="1:10" ht="12.5" x14ac:dyDescent="0.25">
      <c r="A543" s="1" t="str">
        <f ca="1">IFERROR(__xludf.DUMMYFUNCTION("GOOGLETRANSLATE('대전도시공사_청년임대주택 현황_20240630'!A543,""ko"",""en"")"),"540-8 Bongmyeong-dong (Haenarae 2, youth rental)")</f>
        <v>540-8 Bongmyeong-dong (Haenarae 2, youth rental)</v>
      </c>
      <c r="B543" s="1" t="str">
        <f ca="1">IFERROR(__xludf.DUMMYFUNCTION("GOOGLETRANSLATE('대전도시공사_청년임대주택 현황_20240630'!B543,""ko"",""en"")"),"14")</f>
        <v>14</v>
      </c>
      <c r="C543" s="1" t="str">
        <f ca="1">IFERROR(__xludf.DUMMYFUNCTION("GOOGLETRANSLATE('대전도시공사_청년임대주택 현황_20240630'!C543,""ko"",""en"")"),"1")</f>
        <v>1</v>
      </c>
      <c r="D543" s="1" t="str">
        <f ca="1">IFERROR(__xludf.DUMMYFUNCTION("GOOGLETRANSLATE('대전도시공사_청년임대주택 현황_20240630'!D543,""ko"",""en"")"),"606")</f>
        <v>606</v>
      </c>
      <c r="E543" s="1" t="str">
        <f ca="1">IFERROR(__xludf.DUMMYFUNCTION("GOOGLETRANSLATE('대전도시공사_청년임대주택 현황_20240630'!E543,""ko"",""en"")"),"58.813")</f>
        <v>58.813</v>
      </c>
      <c r="F543" s="1" t="str">
        <f ca="1">IFERROR(__xludf.DUMMYFUNCTION("GOOGLETRANSLATE('대전도시공사_청년임대주택 현황_20240630'!F543,""ko"",""en"")"),"24.017")</f>
        <v>24.017</v>
      </c>
      <c r="G543" s="1" t="str">
        <f ca="1">IFERROR(__xludf.DUMMYFUNCTION("GOOGLETRANSLATE('대전도시공사_청년임대주택 현황_20240630'!G543,""ko"",""en"")"),"34.795")</f>
        <v>34.795</v>
      </c>
      <c r="H543" s="1" t="str">
        <f ca="1">IFERROR(__xludf.DUMMYFUNCTION("GOOGLETRANSLATE('대전도시공사_청년임대주택 현황_20240630'!H543,""ko"",""en"")"),"Youth Rental 2nd Place")</f>
        <v>Youth Rental 2nd Place</v>
      </c>
      <c r="I543" s="1" t="str">
        <f ca="1">IFERROR(__xludf.DUMMYFUNCTION("GOOGLETRANSLATE('대전도시공사_청년임대주택 현황_20240630'!I543,""ko"",""en"")"),"2000000")</f>
        <v>2000000</v>
      </c>
      <c r="J543" s="1" t="str">
        <f ca="1">IFERROR(__xludf.DUMMYFUNCTION("GOOGLETRANSLATE('대전도시공사_청년임대주택 현황_20240630'!J543,""ko"",""en"")"),"265200")</f>
        <v>265200</v>
      </c>
    </row>
    <row r="544" spans="1:10" ht="12.5" x14ac:dyDescent="0.25">
      <c r="A544" s="1" t="str">
        <f ca="1">IFERROR(__xludf.DUMMYFUNCTION("GOOGLETRANSLATE('대전도시공사_청년임대주택 현황_20240630'!A544,""ko"",""en"")"),"540-8 Bongmyeong-dong (Haenarae 2, youth rental)")</f>
        <v>540-8 Bongmyeong-dong (Haenarae 2, youth rental)</v>
      </c>
      <c r="B544" s="1" t="str">
        <f ca="1">IFERROR(__xludf.DUMMYFUNCTION("GOOGLETRANSLATE('대전도시공사_청년임대주택 현황_20240630'!B544,""ko"",""en"")"),"15")</f>
        <v>15</v>
      </c>
      <c r="C544" s="1" t="str">
        <f ca="1">IFERROR(__xludf.DUMMYFUNCTION("GOOGLETRANSLATE('대전도시공사_청년임대주택 현황_20240630'!C544,""ko"",""en"")"),"1")</f>
        <v>1</v>
      </c>
      <c r="D544" s="1" t="str">
        <f ca="1">IFERROR(__xludf.DUMMYFUNCTION("GOOGLETRANSLATE('대전도시공사_청년임대주택 현황_20240630'!D544,""ko"",""en"")"),"606")</f>
        <v>606</v>
      </c>
      <c r="E544" s="1" t="str">
        <f ca="1">IFERROR(__xludf.DUMMYFUNCTION("GOOGLETRANSLATE('대전도시공사_청년임대주택 현황_20240630'!E544,""ko"",""en"")"),"58.813")</f>
        <v>58.813</v>
      </c>
      <c r="F544" s="1" t="str">
        <f ca="1">IFERROR(__xludf.DUMMYFUNCTION("GOOGLETRANSLATE('대전도시공사_청년임대주택 현황_20240630'!F544,""ko"",""en"")"),"24.017")</f>
        <v>24.017</v>
      </c>
      <c r="G544" s="1" t="str">
        <f ca="1">IFERROR(__xludf.DUMMYFUNCTION("GOOGLETRANSLATE('대전도시공사_청년임대주택 현황_20240630'!G544,""ko"",""en"")"),"34.795")</f>
        <v>34.795</v>
      </c>
      <c r="H544" s="1" t="str">
        <f ca="1">IFERROR(__xludf.DUMMYFUNCTION("GOOGLETRANSLATE('대전도시공사_청년임대주택 현황_20240630'!H544,""ko"",""en"")"),"3rd place for youth rental")</f>
        <v>3rd place for youth rental</v>
      </c>
      <c r="I544" s="1" t="str">
        <f ca="1">IFERROR(__xludf.DUMMYFUNCTION("GOOGLETRANSLATE('대전도시공사_청년임대주택 현황_20240630'!I544,""ko"",""en"")"),"2000000")</f>
        <v>2000000</v>
      </c>
      <c r="J544" s="1" t="str">
        <f ca="1">IFERROR(__xludf.DUMMYFUNCTION("GOOGLETRANSLATE('대전도시공사_청년임대주택 현황_20240630'!J544,""ko"",""en"")"),"265200")</f>
        <v>265200</v>
      </c>
    </row>
    <row r="545" spans="1:10" ht="12.5" x14ac:dyDescent="0.25">
      <c r="A545" s="1" t="str">
        <f ca="1">IFERROR(__xludf.DUMMYFUNCTION("GOOGLETRANSLATE('대전도시공사_청년임대주택 현황_20240630'!A545,""ko"",""en"")"),"540-8 Bongmyeong-dong (Haenarae 2, youth rental)")</f>
        <v>540-8 Bongmyeong-dong (Haenarae 2, youth rental)</v>
      </c>
      <c r="B545" s="1" t="str">
        <f ca="1">IFERROR(__xludf.DUMMYFUNCTION("GOOGLETRANSLATE('대전도시공사_청년임대주택 현황_20240630'!B545,""ko"",""en"")"),"16")</f>
        <v>16</v>
      </c>
      <c r="C545" s="1" t="str">
        <f ca="1">IFERROR(__xludf.DUMMYFUNCTION("GOOGLETRANSLATE('대전도시공사_청년임대주택 현황_20240630'!C545,""ko"",""en"")"),"1")</f>
        <v>1</v>
      </c>
      <c r="D545" s="1" t="str">
        <f ca="1">IFERROR(__xludf.DUMMYFUNCTION("GOOGLETRANSLATE('대전도시공사_청년임대주택 현황_20240630'!D545,""ko"",""en"")"),"607")</f>
        <v>607</v>
      </c>
      <c r="E545" s="1" t="str">
        <f ca="1">IFERROR(__xludf.DUMMYFUNCTION("GOOGLETRANSLATE('대전도시공사_청년임대주택 현황_20240630'!E545,""ko"",""en"")"),"58.798")</f>
        <v>58.798</v>
      </c>
      <c r="F545" s="1" t="str">
        <f ca="1">IFERROR(__xludf.DUMMYFUNCTION("GOOGLETRANSLATE('대전도시공사_청년임대주택 현황_20240630'!F545,""ko"",""en"")"),"24.279")</f>
        <v>24.279</v>
      </c>
      <c r="G545" s="1" t="str">
        <f ca="1">IFERROR(__xludf.DUMMYFUNCTION("GOOGLETRANSLATE('대전도시공사_청년임대주택 현황_20240630'!G545,""ko"",""en"")"),"34.519")</f>
        <v>34.519</v>
      </c>
      <c r="H545" s="1" t="str">
        <f ca="1">IFERROR(__xludf.DUMMYFUNCTION("GOOGLETRANSLATE('대전도시공사_청년임대주택 현황_20240630'!H545,""ko"",""en"")"),"Beneficiary")</f>
        <v>Beneficiary</v>
      </c>
      <c r="I545" s="1" t="str">
        <f ca="1">IFERROR(__xludf.DUMMYFUNCTION("GOOGLETRANSLATE('대전도시공사_청년임대주택 현황_20240630'!I545,""ko"",""en"")"),"1000000")</f>
        <v>1000000</v>
      </c>
      <c r="J545" s="1" t="str">
        <f ca="1">IFERROR(__xludf.DUMMYFUNCTION("GOOGLETRANSLATE('대전도시공사_청년임대주택 현황_20240630'!J545,""ko"",""en"")"),"217900")</f>
        <v>217900</v>
      </c>
    </row>
    <row r="546" spans="1:10" ht="12.5" x14ac:dyDescent="0.25">
      <c r="A546" s="1" t="str">
        <f ca="1">IFERROR(__xludf.DUMMYFUNCTION("GOOGLETRANSLATE('대전도시공사_청년임대주택 현황_20240630'!A546,""ko"",""en"")"),"540-8 Bongmyeong-dong (Haenarae 2, youth rental)")</f>
        <v>540-8 Bongmyeong-dong (Haenarae 2, youth rental)</v>
      </c>
      <c r="B546" s="1" t="str">
        <f ca="1">IFERROR(__xludf.DUMMYFUNCTION("GOOGLETRANSLATE('대전도시공사_청년임대주택 현황_20240630'!B546,""ko"",""en"")"),"17")</f>
        <v>17</v>
      </c>
      <c r="C546" s="1" t="str">
        <f ca="1">IFERROR(__xludf.DUMMYFUNCTION("GOOGLETRANSLATE('대전도시공사_청년임대주택 현황_20240630'!C546,""ko"",""en"")"),"1")</f>
        <v>1</v>
      </c>
      <c r="D546" s="1" t="str">
        <f ca="1">IFERROR(__xludf.DUMMYFUNCTION("GOOGLETRANSLATE('대전도시공사_청년임대주택 현황_20240630'!D546,""ko"",""en"")"),"607")</f>
        <v>607</v>
      </c>
      <c r="E546" s="1" t="str">
        <f ca="1">IFERROR(__xludf.DUMMYFUNCTION("GOOGLETRANSLATE('대전도시공사_청년임대주택 현황_20240630'!E546,""ko"",""en"")"),"58.798")</f>
        <v>58.798</v>
      </c>
      <c r="F546" s="1" t="str">
        <f ca="1">IFERROR(__xludf.DUMMYFUNCTION("GOOGLETRANSLATE('대전도시공사_청년임대주택 현황_20240630'!F546,""ko"",""en"")"),"24.279")</f>
        <v>24.279</v>
      </c>
      <c r="G546" s="1" t="str">
        <f ca="1">IFERROR(__xludf.DUMMYFUNCTION("GOOGLETRANSLATE('대전도시공사_청년임대주택 현황_20240630'!G546,""ko"",""en"")"),"34.519")</f>
        <v>34.519</v>
      </c>
      <c r="H546" s="1" t="str">
        <f ca="1">IFERROR(__xludf.DUMMYFUNCTION("GOOGLETRANSLATE('대전도시공사_청년임대주택 현황_20240630'!H546,""ko"",""en"")"),"Youth Rental 2nd Place")</f>
        <v>Youth Rental 2nd Place</v>
      </c>
      <c r="I546" s="1" t="str">
        <f ca="1">IFERROR(__xludf.DUMMYFUNCTION("GOOGLETRANSLATE('대전도시공사_청년임대주택 현황_20240630'!I546,""ko"",""en"")"),"2000000")</f>
        <v>2000000</v>
      </c>
      <c r="J546" s="1" t="str">
        <f ca="1">IFERROR(__xludf.DUMMYFUNCTION("GOOGLETRANSLATE('대전도시공사_청년임대주택 현황_20240630'!J546,""ko"",""en"")"),"268200")</f>
        <v>268200</v>
      </c>
    </row>
    <row r="547" spans="1:10" ht="12.5" x14ac:dyDescent="0.25">
      <c r="A547" s="1" t="str">
        <f ca="1">IFERROR(__xludf.DUMMYFUNCTION("GOOGLETRANSLATE('대전도시공사_청년임대주택 현황_20240630'!A547,""ko"",""en"")"),"540-8 Bongmyeong-dong (Haenarae 2, youth rental)")</f>
        <v>540-8 Bongmyeong-dong (Haenarae 2, youth rental)</v>
      </c>
      <c r="B547" s="1" t="str">
        <f ca="1">IFERROR(__xludf.DUMMYFUNCTION("GOOGLETRANSLATE('대전도시공사_청년임대주택 현황_20240630'!B547,""ko"",""en"")"),"18")</f>
        <v>18</v>
      </c>
      <c r="C547" s="1" t="str">
        <f ca="1">IFERROR(__xludf.DUMMYFUNCTION("GOOGLETRANSLATE('대전도시공사_청년임대주택 현황_20240630'!C547,""ko"",""en"")"),"1")</f>
        <v>1</v>
      </c>
      <c r="D547" s="1" t="str">
        <f ca="1">IFERROR(__xludf.DUMMYFUNCTION("GOOGLETRANSLATE('대전도시공사_청년임대주택 현황_20240630'!D547,""ko"",""en"")"),"607")</f>
        <v>607</v>
      </c>
      <c r="E547" s="1" t="str">
        <f ca="1">IFERROR(__xludf.DUMMYFUNCTION("GOOGLETRANSLATE('대전도시공사_청년임대주택 현황_20240630'!E547,""ko"",""en"")"),"58.798")</f>
        <v>58.798</v>
      </c>
      <c r="F547" s="1" t="str">
        <f ca="1">IFERROR(__xludf.DUMMYFUNCTION("GOOGLETRANSLATE('대전도시공사_청년임대주택 현황_20240630'!F547,""ko"",""en"")"),"24.279")</f>
        <v>24.279</v>
      </c>
      <c r="G547" s="1" t="str">
        <f ca="1">IFERROR(__xludf.DUMMYFUNCTION("GOOGLETRANSLATE('대전도시공사_청년임대주택 현황_20240630'!G547,""ko"",""en"")"),"34.519")</f>
        <v>34.519</v>
      </c>
      <c r="H547" s="1" t="str">
        <f ca="1">IFERROR(__xludf.DUMMYFUNCTION("GOOGLETRANSLATE('대전도시공사_청년임대주택 현황_20240630'!H547,""ko"",""en"")"),"3rd place for youth rental")</f>
        <v>3rd place for youth rental</v>
      </c>
      <c r="I547" s="1" t="str">
        <f ca="1">IFERROR(__xludf.DUMMYFUNCTION("GOOGLETRANSLATE('대전도시공사_청년임대주택 현황_20240630'!I547,""ko"",""en"")"),"2000000")</f>
        <v>2000000</v>
      </c>
      <c r="J547" s="1" t="str">
        <f ca="1">IFERROR(__xludf.DUMMYFUNCTION("GOOGLETRANSLATE('대전도시공사_청년임대주택 현황_20240630'!J547,""ko"",""en"")"),"268200")</f>
        <v>268200</v>
      </c>
    </row>
    <row r="548" spans="1:10" ht="12.5" x14ac:dyDescent="0.25">
      <c r="A548" s="1" t="str">
        <f ca="1">IFERROR(__xludf.DUMMYFUNCTION("GOOGLETRANSLATE('대전도시공사_청년임대주택 현황_20240630'!A548,""ko"",""en"")"),"540-8 Bongmyeong-dong (Haenarae 2, youth rental)")</f>
        <v>540-8 Bongmyeong-dong (Haenarae 2, youth rental)</v>
      </c>
      <c r="B548" s="1" t="str">
        <f ca="1">IFERROR(__xludf.DUMMYFUNCTION("GOOGLETRANSLATE('대전도시공사_청년임대주택 현황_20240630'!B548,""ko"",""en"")"),"25")</f>
        <v>25</v>
      </c>
      <c r="C548" s="1" t="str">
        <f ca="1">IFERROR(__xludf.DUMMYFUNCTION("GOOGLETRANSLATE('대전도시공사_청년임대주택 현황_20240630'!C548,""ko"",""en"")"),"1")</f>
        <v>1</v>
      </c>
      <c r="D548" s="1" t="str">
        <f ca="1">IFERROR(__xludf.DUMMYFUNCTION("GOOGLETRANSLATE('대전도시공사_청년임대주택 현황_20240630'!D548,""ko"",""en"")"),"701")</f>
        <v>701</v>
      </c>
      <c r="E548" s="1" t="str">
        <f ca="1">IFERROR(__xludf.DUMMYFUNCTION("GOOGLETRANSLATE('대전도시공사_청년임대주택 현황_20240630'!E548,""ko"",""en"")"),"48.862")</f>
        <v>48.862</v>
      </c>
      <c r="F548" s="1" t="str">
        <f ca="1">IFERROR(__xludf.DUMMYFUNCTION("GOOGLETRANSLATE('대전도시공사_청년임대주택 현황_20240630'!F548,""ko"",""en"")"),"18.887")</f>
        <v>18.887</v>
      </c>
      <c r="G548" s="1" t="str">
        <f ca="1">IFERROR(__xludf.DUMMYFUNCTION("GOOGLETRANSLATE('대전도시공사_청년임대주택 현황_20240630'!G548,""ko"",""en"")"),"27.974")</f>
        <v>27.974</v>
      </c>
      <c r="H548" s="1" t="str">
        <f ca="1">IFERROR(__xludf.DUMMYFUNCTION("GOOGLETRANSLATE('대전도시공사_청년임대주택 현황_20240630'!H548,""ko"",""en"")"),"Beneficiary")</f>
        <v>Beneficiary</v>
      </c>
      <c r="I548" s="1" t="str">
        <f ca="1">IFERROR(__xludf.DUMMYFUNCTION("GOOGLETRANSLATE('대전도시공사_청년임대주택 현황_20240630'!I548,""ko"",""en"")"),"1000000")</f>
        <v>1000000</v>
      </c>
      <c r="J548" s="1" t="str">
        <f ca="1">IFERROR(__xludf.DUMMYFUNCTION("GOOGLETRANSLATE('대전도시공사_청년임대주택 현황_20240630'!J548,""ko"",""en"")"),"214800")</f>
        <v>214800</v>
      </c>
    </row>
    <row r="549" spans="1:10" ht="12.5" x14ac:dyDescent="0.25">
      <c r="A549" s="1" t="str">
        <f ca="1">IFERROR(__xludf.DUMMYFUNCTION("GOOGLETRANSLATE('대전도시공사_청년임대주택 현황_20240630'!A549,""ko"",""en"")"),"540-8 Bongmyeong-dong (Haenarae 2, youth rental)")</f>
        <v>540-8 Bongmyeong-dong (Haenarae 2, youth rental)</v>
      </c>
      <c r="B549" s="1" t="str">
        <f ca="1">IFERROR(__xludf.DUMMYFUNCTION("GOOGLETRANSLATE('대전도시공사_청년임대주택 현황_20240630'!B549,""ko"",""en"")"),"26")</f>
        <v>26</v>
      </c>
      <c r="C549" s="1" t="str">
        <f ca="1">IFERROR(__xludf.DUMMYFUNCTION("GOOGLETRANSLATE('대전도시공사_청년임대주택 현황_20240630'!C549,""ko"",""en"")"),"1")</f>
        <v>1</v>
      </c>
      <c r="D549" s="1" t="str">
        <f ca="1">IFERROR(__xludf.DUMMYFUNCTION("GOOGLETRANSLATE('대전도시공사_청년임대주택 현황_20240630'!D549,""ko"",""en"")"),"701")</f>
        <v>701</v>
      </c>
      <c r="E549" s="1" t="str">
        <f ca="1">IFERROR(__xludf.DUMMYFUNCTION("GOOGLETRANSLATE('대전도시공사_청년임대주택 현황_20240630'!E549,""ko"",""en"")"),"48.862")</f>
        <v>48.862</v>
      </c>
      <c r="F549" s="1" t="str">
        <f ca="1">IFERROR(__xludf.DUMMYFUNCTION("GOOGLETRANSLATE('대전도시공사_청년임대주택 현황_20240630'!F549,""ko"",""en"")"),"18.887")</f>
        <v>18.887</v>
      </c>
      <c r="G549" s="1" t="str">
        <f ca="1">IFERROR(__xludf.DUMMYFUNCTION("GOOGLETRANSLATE('대전도시공사_청년임대주택 현황_20240630'!G549,""ko"",""en"")"),"27.974")</f>
        <v>27.974</v>
      </c>
      <c r="H549" s="1" t="str">
        <f ca="1">IFERROR(__xludf.DUMMYFUNCTION("GOOGLETRANSLATE('대전도시공사_청년임대주택 현황_20240630'!H549,""ko"",""en"")"),"Youth Rental 2nd Place")</f>
        <v>Youth Rental 2nd Place</v>
      </c>
      <c r="I549" s="1" t="str">
        <f ca="1">IFERROR(__xludf.DUMMYFUNCTION("GOOGLETRANSLATE('대전도시공사_청년임대주택 현황_20240630'!I549,""ko"",""en"")"),"2000000")</f>
        <v>2000000</v>
      </c>
      <c r="J549" s="1" t="str">
        <f ca="1">IFERROR(__xludf.DUMMYFUNCTION("GOOGLETRANSLATE('대전도시공사_청년임대주택 현황_20240630'!J549,""ko"",""en"")"),"264400")</f>
        <v>264400</v>
      </c>
    </row>
    <row r="550" spans="1:10" ht="12.5" x14ac:dyDescent="0.25">
      <c r="A550" s="1" t="str">
        <f ca="1">IFERROR(__xludf.DUMMYFUNCTION("GOOGLETRANSLATE('대전도시공사_청년임대주택 현황_20240630'!A550,""ko"",""en"")"),"540-8 Bongmyeong-dong (Haenarae 2, youth rental)")</f>
        <v>540-8 Bongmyeong-dong (Haenarae 2, youth rental)</v>
      </c>
      <c r="B550" s="1" t="str">
        <f ca="1">IFERROR(__xludf.DUMMYFUNCTION("GOOGLETRANSLATE('대전도시공사_청년임대주택 현황_20240630'!B550,""ko"",""en"")"),"27")</f>
        <v>27</v>
      </c>
      <c r="C550" s="1" t="str">
        <f ca="1">IFERROR(__xludf.DUMMYFUNCTION("GOOGLETRANSLATE('대전도시공사_청년임대주택 현황_20240630'!C550,""ko"",""en"")"),"1")</f>
        <v>1</v>
      </c>
      <c r="D550" s="1" t="str">
        <f ca="1">IFERROR(__xludf.DUMMYFUNCTION("GOOGLETRANSLATE('대전도시공사_청년임대주택 현황_20240630'!D550,""ko"",""en"")"),"701")</f>
        <v>701</v>
      </c>
      <c r="E550" s="1" t="str">
        <f ca="1">IFERROR(__xludf.DUMMYFUNCTION("GOOGLETRANSLATE('대전도시공사_청년임대주택 현황_20240630'!E550,""ko"",""en"")"),"48.862")</f>
        <v>48.862</v>
      </c>
      <c r="F550" s="1" t="str">
        <f ca="1">IFERROR(__xludf.DUMMYFUNCTION("GOOGLETRANSLATE('대전도시공사_청년임대주택 현황_20240630'!F550,""ko"",""en"")"),"18.887")</f>
        <v>18.887</v>
      </c>
      <c r="G550" s="1" t="str">
        <f ca="1">IFERROR(__xludf.DUMMYFUNCTION("GOOGLETRANSLATE('대전도시공사_청년임대주택 현황_20240630'!G550,""ko"",""en"")"),"27.974")</f>
        <v>27.974</v>
      </c>
      <c r="H550" s="1" t="str">
        <f ca="1">IFERROR(__xludf.DUMMYFUNCTION("GOOGLETRANSLATE('대전도시공사_청년임대주택 현황_20240630'!H550,""ko"",""en"")"),"3rd place for youth rental")</f>
        <v>3rd place for youth rental</v>
      </c>
      <c r="I550" s="1" t="str">
        <f ca="1">IFERROR(__xludf.DUMMYFUNCTION("GOOGLETRANSLATE('대전도시공사_청년임대주택 현황_20240630'!I550,""ko"",""en"")"),"2000000")</f>
        <v>2000000</v>
      </c>
      <c r="J550" s="1" t="str">
        <f ca="1">IFERROR(__xludf.DUMMYFUNCTION("GOOGLETRANSLATE('대전도시공사_청년임대주택 현황_20240630'!J550,""ko"",""en"")"),"264400")</f>
        <v>264400</v>
      </c>
    </row>
    <row r="551" spans="1:10" ht="12.5" x14ac:dyDescent="0.25">
      <c r="A551" s="1" t="str">
        <f ca="1">IFERROR(__xludf.DUMMYFUNCTION("GOOGLETRANSLATE('대전도시공사_청년임대주택 현황_20240630'!A551,""ko"",""en"")"),"540-8 Bongmyeong-dong (Haenarae 2, youth rental)")</f>
        <v>540-8 Bongmyeong-dong (Haenarae 2, youth rental)</v>
      </c>
      <c r="B551" s="1" t="str">
        <f ca="1">IFERROR(__xludf.DUMMYFUNCTION("GOOGLETRANSLATE('대전도시공사_청년임대주택 현황_20240630'!B551,""ko"",""en"")"),"28")</f>
        <v>28</v>
      </c>
      <c r="C551" s="1" t="str">
        <f ca="1">IFERROR(__xludf.DUMMYFUNCTION("GOOGLETRANSLATE('대전도시공사_청년임대주택 현황_20240630'!C551,""ko"",""en"")"),"1")</f>
        <v>1</v>
      </c>
      <c r="D551" s="1" t="str">
        <f ca="1">IFERROR(__xludf.DUMMYFUNCTION("GOOGLETRANSLATE('대전도시공사_청년임대주택 현황_20240630'!D551,""ko"",""en"")"),"702")</f>
        <v>702</v>
      </c>
      <c r="E551" s="1" t="str">
        <f ca="1">IFERROR(__xludf.DUMMYFUNCTION("GOOGLETRANSLATE('대전도시공사_청년임대주택 현황_20240630'!E551,""ko"",""en"")"),"58.798")</f>
        <v>58.798</v>
      </c>
      <c r="F551" s="1" t="str">
        <f ca="1">IFERROR(__xludf.DUMMYFUNCTION("GOOGLETRANSLATE('대전도시공사_청년임대주택 현황_20240630'!F551,""ko"",""en"")"),"24.279")</f>
        <v>24.279</v>
      </c>
      <c r="G551" s="1" t="str">
        <f ca="1">IFERROR(__xludf.DUMMYFUNCTION("GOOGLETRANSLATE('대전도시공사_청년임대주택 현황_20240630'!G551,""ko"",""en"")"),"34.519")</f>
        <v>34.519</v>
      </c>
      <c r="H551" s="1" t="str">
        <f ca="1">IFERROR(__xludf.DUMMYFUNCTION("GOOGLETRANSLATE('대전도시공사_청년임대주택 현황_20240630'!H551,""ko"",""en"")"),"Beneficiary")</f>
        <v>Beneficiary</v>
      </c>
      <c r="I551" s="1" t="str">
        <f ca="1">IFERROR(__xludf.DUMMYFUNCTION("GOOGLETRANSLATE('대전도시공사_청년임대주택 현황_20240630'!I551,""ko"",""en"")"),"1000000")</f>
        <v>1000000</v>
      </c>
      <c r="J551" s="1" t="str">
        <f ca="1">IFERROR(__xludf.DUMMYFUNCTION("GOOGLETRANSLATE('대전도시공사_청년임대주택 현황_20240630'!J551,""ko"",""en"")"),"215900")</f>
        <v>215900</v>
      </c>
    </row>
    <row r="552" spans="1:10" ht="12.5" x14ac:dyDescent="0.25">
      <c r="A552" s="1" t="str">
        <f ca="1">IFERROR(__xludf.DUMMYFUNCTION("GOOGLETRANSLATE('대전도시공사_청년임대주택 현황_20240630'!A552,""ko"",""en"")"),"540-8 Bongmyeong-dong (Haenarae 2, youth rental)")</f>
        <v>540-8 Bongmyeong-dong (Haenarae 2, youth rental)</v>
      </c>
      <c r="B552" s="1" t="str">
        <f ca="1">IFERROR(__xludf.DUMMYFUNCTION("GOOGLETRANSLATE('대전도시공사_청년임대주택 현황_20240630'!B552,""ko"",""en"")"),"29")</f>
        <v>29</v>
      </c>
      <c r="C552" s="1" t="str">
        <f ca="1">IFERROR(__xludf.DUMMYFUNCTION("GOOGLETRANSLATE('대전도시공사_청년임대주택 현황_20240630'!C552,""ko"",""en"")"),"1")</f>
        <v>1</v>
      </c>
      <c r="D552" s="1" t="str">
        <f ca="1">IFERROR(__xludf.DUMMYFUNCTION("GOOGLETRANSLATE('대전도시공사_청년임대주택 현황_20240630'!D552,""ko"",""en"")"),"702")</f>
        <v>702</v>
      </c>
      <c r="E552" s="1" t="str">
        <f ca="1">IFERROR(__xludf.DUMMYFUNCTION("GOOGLETRANSLATE('대전도시공사_청년임대주택 현황_20240630'!E552,""ko"",""en"")"),"58.798")</f>
        <v>58.798</v>
      </c>
      <c r="F552" s="1" t="str">
        <f ca="1">IFERROR(__xludf.DUMMYFUNCTION("GOOGLETRANSLATE('대전도시공사_청년임대주택 현황_20240630'!F552,""ko"",""en"")"),"24.279")</f>
        <v>24.279</v>
      </c>
      <c r="G552" s="1" t="str">
        <f ca="1">IFERROR(__xludf.DUMMYFUNCTION("GOOGLETRANSLATE('대전도시공사_청년임대주택 현황_20240630'!G552,""ko"",""en"")"),"34.519")</f>
        <v>34.519</v>
      </c>
      <c r="H552" s="1" t="str">
        <f ca="1">IFERROR(__xludf.DUMMYFUNCTION("GOOGLETRANSLATE('대전도시공사_청년임대주택 현황_20240630'!H552,""ko"",""en"")"),"Youth Rental 2nd Place")</f>
        <v>Youth Rental 2nd Place</v>
      </c>
      <c r="I552" s="1" t="str">
        <f ca="1">IFERROR(__xludf.DUMMYFUNCTION("GOOGLETRANSLATE('대전도시공사_청년임대주택 현황_20240630'!I552,""ko"",""en"")"),"2000000")</f>
        <v>2000000</v>
      </c>
      <c r="J552" s="1" t="str">
        <f ca="1">IFERROR(__xludf.DUMMYFUNCTION("GOOGLETRANSLATE('대전도시공사_청년임대주택 현황_20240630'!J552,""ko"",""en"")"),"265700")</f>
        <v>265700</v>
      </c>
    </row>
    <row r="553" spans="1:10" ht="12.5" x14ac:dyDescent="0.25">
      <c r="A553" s="1" t="str">
        <f ca="1">IFERROR(__xludf.DUMMYFUNCTION("GOOGLETRANSLATE('대전도시공사_청년임대주택 현황_20240630'!A553,""ko"",""en"")"),"540-8 Bongmyeong-dong (Haenarae 2, youth rental)")</f>
        <v>540-8 Bongmyeong-dong (Haenarae 2, youth rental)</v>
      </c>
      <c r="B553" s="1" t="str">
        <f ca="1">IFERROR(__xludf.DUMMYFUNCTION("GOOGLETRANSLATE('대전도시공사_청년임대주택 현황_20240630'!B553,""ko"",""en"")"),"30")</f>
        <v>30</v>
      </c>
      <c r="C553" s="1" t="str">
        <f ca="1">IFERROR(__xludf.DUMMYFUNCTION("GOOGLETRANSLATE('대전도시공사_청년임대주택 현황_20240630'!C553,""ko"",""en"")"),"1")</f>
        <v>1</v>
      </c>
      <c r="D553" s="1" t="str">
        <f ca="1">IFERROR(__xludf.DUMMYFUNCTION("GOOGLETRANSLATE('대전도시공사_청년임대주택 현황_20240630'!D553,""ko"",""en"")"),"702")</f>
        <v>702</v>
      </c>
      <c r="E553" s="1" t="str">
        <f ca="1">IFERROR(__xludf.DUMMYFUNCTION("GOOGLETRANSLATE('대전도시공사_청년임대주택 현황_20240630'!E553,""ko"",""en"")"),"58.798")</f>
        <v>58.798</v>
      </c>
      <c r="F553" s="1" t="str">
        <f ca="1">IFERROR(__xludf.DUMMYFUNCTION("GOOGLETRANSLATE('대전도시공사_청년임대주택 현황_20240630'!F553,""ko"",""en"")"),"24.279")</f>
        <v>24.279</v>
      </c>
      <c r="G553" s="1" t="str">
        <f ca="1">IFERROR(__xludf.DUMMYFUNCTION("GOOGLETRANSLATE('대전도시공사_청년임대주택 현황_20240630'!G553,""ko"",""en"")"),"34.519")</f>
        <v>34.519</v>
      </c>
      <c r="H553" s="1" t="str">
        <f ca="1">IFERROR(__xludf.DUMMYFUNCTION("GOOGLETRANSLATE('대전도시공사_청년임대주택 현황_20240630'!H553,""ko"",""en"")"),"3rd place for youth rental")</f>
        <v>3rd place for youth rental</v>
      </c>
      <c r="I553" s="1" t="str">
        <f ca="1">IFERROR(__xludf.DUMMYFUNCTION("GOOGLETRANSLATE('대전도시공사_청년임대주택 현황_20240630'!I553,""ko"",""en"")"),"2000000")</f>
        <v>2000000</v>
      </c>
      <c r="J553" s="1" t="str">
        <f ca="1">IFERROR(__xludf.DUMMYFUNCTION("GOOGLETRANSLATE('대전도시공사_청년임대주택 현황_20240630'!J553,""ko"",""en"")"),"265700")</f>
        <v>265700</v>
      </c>
    </row>
    <row r="554" spans="1:10" ht="12.5" x14ac:dyDescent="0.25">
      <c r="A554" s="1" t="str">
        <f ca="1">IFERROR(__xludf.DUMMYFUNCTION("GOOGLETRANSLATE('대전도시공사_청년임대주택 현황_20240630'!A554,""ko"",""en"")"),"540-8 Bongmyeong-dong (Haenarae 2, youth rental)")</f>
        <v>540-8 Bongmyeong-dong (Haenarae 2, youth rental)</v>
      </c>
      <c r="B554" s="1" t="str">
        <f ca="1">IFERROR(__xludf.DUMMYFUNCTION("GOOGLETRANSLATE('대전도시공사_청년임대주택 현황_20240630'!B554,""ko"",""en"")"),"31")</f>
        <v>31</v>
      </c>
      <c r="C554" s="1" t="str">
        <f ca="1">IFERROR(__xludf.DUMMYFUNCTION("GOOGLETRANSLATE('대전도시공사_청년임대주택 현황_20240630'!C554,""ko"",""en"")"),"1")</f>
        <v>1</v>
      </c>
      <c r="D554" s="1" t="str">
        <f ca="1">IFERROR(__xludf.DUMMYFUNCTION("GOOGLETRANSLATE('대전도시공사_청년임대주택 현황_20240630'!D554,""ko"",""en"")"),"703")</f>
        <v>703</v>
      </c>
      <c r="E554" s="1" t="str">
        <f ca="1">IFERROR(__xludf.DUMMYFUNCTION("GOOGLETRANSLATE('대전도시공사_청년임대주택 현황_20240630'!E554,""ko"",""en"")"),"58.798")</f>
        <v>58.798</v>
      </c>
      <c r="F554" s="1" t="str">
        <f ca="1">IFERROR(__xludf.DUMMYFUNCTION("GOOGLETRANSLATE('대전도시공사_청년임대주택 현황_20240630'!F554,""ko"",""en"")"),"24.279")</f>
        <v>24.279</v>
      </c>
      <c r="G554" s="1" t="str">
        <f ca="1">IFERROR(__xludf.DUMMYFUNCTION("GOOGLETRANSLATE('대전도시공사_청년임대주택 현황_20240630'!G554,""ko"",""en"")"),"34.519")</f>
        <v>34.519</v>
      </c>
      <c r="H554" s="1" t="str">
        <f ca="1">IFERROR(__xludf.DUMMYFUNCTION("GOOGLETRANSLATE('대전도시공사_청년임대주택 현황_20240630'!H554,""ko"",""en"")"),"Beneficiary")</f>
        <v>Beneficiary</v>
      </c>
      <c r="I554" s="1" t="str">
        <f ca="1">IFERROR(__xludf.DUMMYFUNCTION("GOOGLETRANSLATE('대전도시공사_청년임대주택 현황_20240630'!I554,""ko"",""en"")"),"1000000")</f>
        <v>1000000</v>
      </c>
      <c r="J554" s="1" t="str">
        <f ca="1">IFERROR(__xludf.DUMMYFUNCTION("GOOGLETRANSLATE('대전도시공사_청년임대주택 현황_20240630'!J554,""ko"",""en"")"),"215900")</f>
        <v>215900</v>
      </c>
    </row>
    <row r="555" spans="1:10" ht="12.5" x14ac:dyDescent="0.25">
      <c r="A555" s="1" t="str">
        <f ca="1">IFERROR(__xludf.DUMMYFUNCTION("GOOGLETRANSLATE('대전도시공사_청년임대주택 현황_20240630'!A555,""ko"",""en"")"),"540-8 Bongmyeong-dong (Haenarae 2, youth rental)")</f>
        <v>540-8 Bongmyeong-dong (Haenarae 2, youth rental)</v>
      </c>
      <c r="B555" s="1" t="str">
        <f ca="1">IFERROR(__xludf.DUMMYFUNCTION("GOOGLETRANSLATE('대전도시공사_청년임대주택 현황_20240630'!B555,""ko"",""en"")"),"32")</f>
        <v>32</v>
      </c>
      <c r="C555" s="1" t="str">
        <f ca="1">IFERROR(__xludf.DUMMYFUNCTION("GOOGLETRANSLATE('대전도시공사_청년임대주택 현황_20240630'!C555,""ko"",""en"")"),"1")</f>
        <v>1</v>
      </c>
      <c r="D555" s="1" t="str">
        <f ca="1">IFERROR(__xludf.DUMMYFUNCTION("GOOGLETRANSLATE('대전도시공사_청년임대주택 현황_20240630'!D555,""ko"",""en"")"),"703")</f>
        <v>703</v>
      </c>
      <c r="E555" s="1" t="str">
        <f ca="1">IFERROR(__xludf.DUMMYFUNCTION("GOOGLETRANSLATE('대전도시공사_청년임대주택 현황_20240630'!E555,""ko"",""en"")"),"58.798")</f>
        <v>58.798</v>
      </c>
      <c r="F555" s="1" t="str">
        <f ca="1">IFERROR(__xludf.DUMMYFUNCTION("GOOGLETRANSLATE('대전도시공사_청년임대주택 현황_20240630'!F555,""ko"",""en"")"),"24.279")</f>
        <v>24.279</v>
      </c>
      <c r="G555" s="1" t="str">
        <f ca="1">IFERROR(__xludf.DUMMYFUNCTION("GOOGLETRANSLATE('대전도시공사_청년임대주택 현황_20240630'!G555,""ko"",""en"")"),"34.519")</f>
        <v>34.519</v>
      </c>
      <c r="H555" s="1" t="str">
        <f ca="1">IFERROR(__xludf.DUMMYFUNCTION("GOOGLETRANSLATE('대전도시공사_청년임대주택 현황_20240630'!H555,""ko"",""en"")"),"Youth Rental 2nd Place")</f>
        <v>Youth Rental 2nd Place</v>
      </c>
      <c r="I555" s="1" t="str">
        <f ca="1">IFERROR(__xludf.DUMMYFUNCTION("GOOGLETRANSLATE('대전도시공사_청년임대주택 현황_20240630'!I555,""ko"",""en"")"),"2000000")</f>
        <v>2000000</v>
      </c>
      <c r="J555" s="1" t="str">
        <f ca="1">IFERROR(__xludf.DUMMYFUNCTION("GOOGLETRANSLATE('대전도시공사_청년임대주택 현황_20240630'!J555,""ko"",""en"")"),"265700")</f>
        <v>265700</v>
      </c>
    </row>
    <row r="556" spans="1:10" ht="12.5" x14ac:dyDescent="0.25">
      <c r="A556" s="1" t="str">
        <f ca="1">IFERROR(__xludf.DUMMYFUNCTION("GOOGLETRANSLATE('대전도시공사_청년임대주택 현황_20240630'!A556,""ko"",""en"")"),"540-8 Bongmyeong-dong (Haenarae 2, youth rental)")</f>
        <v>540-8 Bongmyeong-dong (Haenarae 2, youth rental)</v>
      </c>
      <c r="B556" s="1" t="str">
        <f ca="1">IFERROR(__xludf.DUMMYFUNCTION("GOOGLETRANSLATE('대전도시공사_청년임대주택 현황_20240630'!B556,""ko"",""en"")"),"33")</f>
        <v>33</v>
      </c>
      <c r="C556" s="1" t="str">
        <f ca="1">IFERROR(__xludf.DUMMYFUNCTION("GOOGLETRANSLATE('대전도시공사_청년임대주택 현황_20240630'!C556,""ko"",""en"")"),"1")</f>
        <v>1</v>
      </c>
      <c r="D556" s="1" t="str">
        <f ca="1">IFERROR(__xludf.DUMMYFUNCTION("GOOGLETRANSLATE('대전도시공사_청년임대주택 현황_20240630'!D556,""ko"",""en"")"),"703")</f>
        <v>703</v>
      </c>
      <c r="E556" s="1" t="str">
        <f ca="1">IFERROR(__xludf.DUMMYFUNCTION("GOOGLETRANSLATE('대전도시공사_청년임대주택 현황_20240630'!E556,""ko"",""en"")"),"58.798")</f>
        <v>58.798</v>
      </c>
      <c r="F556" s="1" t="str">
        <f ca="1">IFERROR(__xludf.DUMMYFUNCTION("GOOGLETRANSLATE('대전도시공사_청년임대주택 현황_20240630'!F556,""ko"",""en"")"),"24.279")</f>
        <v>24.279</v>
      </c>
      <c r="G556" s="1" t="str">
        <f ca="1">IFERROR(__xludf.DUMMYFUNCTION("GOOGLETRANSLATE('대전도시공사_청년임대주택 현황_20240630'!G556,""ko"",""en"")"),"34.519")</f>
        <v>34.519</v>
      </c>
      <c r="H556" s="1" t="str">
        <f ca="1">IFERROR(__xludf.DUMMYFUNCTION("GOOGLETRANSLATE('대전도시공사_청년임대주택 현황_20240630'!H556,""ko"",""en"")"),"3rd place for youth rental")</f>
        <v>3rd place for youth rental</v>
      </c>
      <c r="I556" s="1" t="str">
        <f ca="1">IFERROR(__xludf.DUMMYFUNCTION("GOOGLETRANSLATE('대전도시공사_청년임대주택 현황_20240630'!I556,""ko"",""en"")"),"2000000")</f>
        <v>2000000</v>
      </c>
      <c r="J556" s="1" t="str">
        <f ca="1">IFERROR(__xludf.DUMMYFUNCTION("GOOGLETRANSLATE('대전도시공사_청년임대주택 현황_20240630'!J556,""ko"",""en"")"),"265700")</f>
        <v>265700</v>
      </c>
    </row>
    <row r="557" spans="1:10" ht="12.5" x14ac:dyDescent="0.25">
      <c r="A557" s="1" t="str">
        <f ca="1">IFERROR(__xludf.DUMMYFUNCTION("GOOGLETRANSLATE('대전도시공사_청년임대주택 현황_20240630'!A557,""ko"",""en"")"),"540-8 Bongmyeong-dong (Haenarae 2, youth rental)")</f>
        <v>540-8 Bongmyeong-dong (Haenarae 2, youth rental)</v>
      </c>
      <c r="B557" s="1" t="str">
        <f ca="1">IFERROR(__xludf.DUMMYFUNCTION("GOOGLETRANSLATE('대전도시공사_청년임대주택 현황_20240630'!B557,""ko"",""en"")"),"37")</f>
        <v>37</v>
      </c>
      <c r="C557" s="1" t="str">
        <f ca="1">IFERROR(__xludf.DUMMYFUNCTION("GOOGLETRANSLATE('대전도시공사_청년임대주택 현황_20240630'!C557,""ko"",""en"")"),"1")</f>
        <v>1</v>
      </c>
      <c r="D557" s="1" t="str">
        <f ca="1">IFERROR(__xludf.DUMMYFUNCTION("GOOGLETRANSLATE('대전도시공사_청년임대주택 현황_20240630'!D557,""ko"",""en"")"),"705")</f>
        <v>705</v>
      </c>
      <c r="E557" s="1" t="str">
        <f ca="1">IFERROR(__xludf.DUMMYFUNCTION("GOOGLETRANSLATE('대전도시공사_청년임대주택 현황_20240630'!E557,""ko"",""en"")"),"48.862")</f>
        <v>48.862</v>
      </c>
      <c r="F557" s="1" t="str">
        <f ca="1">IFERROR(__xludf.DUMMYFUNCTION("GOOGLETRANSLATE('대전도시공사_청년임대주택 현황_20240630'!F557,""ko"",""en"")"),"18.887")</f>
        <v>18.887</v>
      </c>
      <c r="G557" s="1" t="str">
        <f ca="1">IFERROR(__xludf.DUMMYFUNCTION("GOOGLETRANSLATE('대전도시공사_청년임대주택 현황_20240630'!G557,""ko"",""en"")"),"27.974")</f>
        <v>27.974</v>
      </c>
      <c r="H557" s="1" t="str">
        <f ca="1">IFERROR(__xludf.DUMMYFUNCTION("GOOGLETRANSLATE('대전도시공사_청년임대주택 현황_20240630'!H557,""ko"",""en"")"),"Beneficiary")</f>
        <v>Beneficiary</v>
      </c>
      <c r="I557" s="1" t="str">
        <f ca="1">IFERROR(__xludf.DUMMYFUNCTION("GOOGLETRANSLATE('대전도시공사_청년임대주택 현황_20240630'!I557,""ko"",""en"")"),"1000000")</f>
        <v>1000000</v>
      </c>
      <c r="J557" s="1" t="str">
        <f ca="1">IFERROR(__xludf.DUMMYFUNCTION("GOOGLETRANSLATE('대전도시공사_청년임대주택 현황_20240630'!J557,""ko"",""en"")"),"214800")</f>
        <v>214800</v>
      </c>
    </row>
    <row r="558" spans="1:10" ht="12.5" x14ac:dyDescent="0.25">
      <c r="A558" s="1" t="str">
        <f ca="1">IFERROR(__xludf.DUMMYFUNCTION("GOOGLETRANSLATE('대전도시공사_청년임대주택 현황_20240630'!A558,""ko"",""en"")"),"540-8 Bongmyeong-dong (Haenarae 2, youth rental)")</f>
        <v>540-8 Bongmyeong-dong (Haenarae 2, youth rental)</v>
      </c>
      <c r="B558" s="1" t="str">
        <f ca="1">IFERROR(__xludf.DUMMYFUNCTION("GOOGLETRANSLATE('대전도시공사_청년임대주택 현황_20240630'!B558,""ko"",""en"")"),"38")</f>
        <v>38</v>
      </c>
      <c r="C558" s="1" t="str">
        <f ca="1">IFERROR(__xludf.DUMMYFUNCTION("GOOGLETRANSLATE('대전도시공사_청년임대주택 현황_20240630'!C558,""ko"",""en"")"),"1")</f>
        <v>1</v>
      </c>
      <c r="D558" s="1" t="str">
        <f ca="1">IFERROR(__xludf.DUMMYFUNCTION("GOOGLETRANSLATE('대전도시공사_청년임대주택 현황_20240630'!D558,""ko"",""en"")"),"705")</f>
        <v>705</v>
      </c>
      <c r="E558" s="1" t="str">
        <f ca="1">IFERROR(__xludf.DUMMYFUNCTION("GOOGLETRANSLATE('대전도시공사_청년임대주택 현황_20240630'!E558,""ko"",""en"")"),"48.862")</f>
        <v>48.862</v>
      </c>
      <c r="F558" s="1" t="str">
        <f ca="1">IFERROR(__xludf.DUMMYFUNCTION("GOOGLETRANSLATE('대전도시공사_청년임대주택 현황_20240630'!F558,""ko"",""en"")"),"18.887")</f>
        <v>18.887</v>
      </c>
      <c r="G558" s="1" t="str">
        <f ca="1">IFERROR(__xludf.DUMMYFUNCTION("GOOGLETRANSLATE('대전도시공사_청년임대주택 현황_20240630'!G558,""ko"",""en"")"),"27.974")</f>
        <v>27.974</v>
      </c>
      <c r="H558" s="1" t="str">
        <f ca="1">IFERROR(__xludf.DUMMYFUNCTION("GOOGLETRANSLATE('대전도시공사_청년임대주택 현황_20240630'!H558,""ko"",""en"")"),"Youth Rental 2nd Place")</f>
        <v>Youth Rental 2nd Place</v>
      </c>
      <c r="I558" s="1" t="str">
        <f ca="1">IFERROR(__xludf.DUMMYFUNCTION("GOOGLETRANSLATE('대전도시공사_청년임대주택 현황_20240630'!I558,""ko"",""en"")"),"2000000")</f>
        <v>2000000</v>
      </c>
      <c r="J558" s="1" t="str">
        <f ca="1">IFERROR(__xludf.DUMMYFUNCTION("GOOGLETRANSLATE('대전도시공사_청년임대주택 현황_20240630'!J558,""ko"",""en"")"),"264400")</f>
        <v>264400</v>
      </c>
    </row>
    <row r="559" spans="1:10" ht="12.5" x14ac:dyDescent="0.25">
      <c r="A559" s="1" t="str">
        <f ca="1">IFERROR(__xludf.DUMMYFUNCTION("GOOGLETRANSLATE('대전도시공사_청년임대주택 현황_20240630'!A559,""ko"",""en"")"),"540-8 Bongmyeong-dong (Haenarae 2, youth rental)")</f>
        <v>540-8 Bongmyeong-dong (Haenarae 2, youth rental)</v>
      </c>
      <c r="B559" s="1" t="str">
        <f ca="1">IFERROR(__xludf.DUMMYFUNCTION("GOOGLETRANSLATE('대전도시공사_청년임대주택 현황_20240630'!B559,""ko"",""en"")"),"39")</f>
        <v>39</v>
      </c>
      <c r="C559" s="1" t="str">
        <f ca="1">IFERROR(__xludf.DUMMYFUNCTION("GOOGLETRANSLATE('대전도시공사_청년임대주택 현황_20240630'!C559,""ko"",""en"")"),"1")</f>
        <v>1</v>
      </c>
      <c r="D559" s="1" t="str">
        <f ca="1">IFERROR(__xludf.DUMMYFUNCTION("GOOGLETRANSLATE('대전도시공사_청년임대주택 현황_20240630'!D559,""ko"",""en"")"),"705")</f>
        <v>705</v>
      </c>
      <c r="E559" s="1" t="str">
        <f ca="1">IFERROR(__xludf.DUMMYFUNCTION("GOOGLETRANSLATE('대전도시공사_청년임대주택 현황_20240630'!E559,""ko"",""en"")"),"48.862")</f>
        <v>48.862</v>
      </c>
      <c r="F559" s="1" t="str">
        <f ca="1">IFERROR(__xludf.DUMMYFUNCTION("GOOGLETRANSLATE('대전도시공사_청년임대주택 현황_20240630'!F559,""ko"",""en"")"),"18.887")</f>
        <v>18.887</v>
      </c>
      <c r="G559" s="1" t="str">
        <f ca="1">IFERROR(__xludf.DUMMYFUNCTION("GOOGLETRANSLATE('대전도시공사_청년임대주택 현황_20240630'!G559,""ko"",""en"")"),"27.974")</f>
        <v>27.974</v>
      </c>
      <c r="H559" s="1" t="str">
        <f ca="1">IFERROR(__xludf.DUMMYFUNCTION("GOOGLETRANSLATE('대전도시공사_청년임대주택 현황_20240630'!H559,""ko"",""en"")"),"3rd place for youth rental")</f>
        <v>3rd place for youth rental</v>
      </c>
      <c r="I559" s="1" t="str">
        <f ca="1">IFERROR(__xludf.DUMMYFUNCTION("GOOGLETRANSLATE('대전도시공사_청년임대주택 현황_20240630'!I559,""ko"",""en"")"),"2000000")</f>
        <v>2000000</v>
      </c>
      <c r="J559" s="1" t="str">
        <f ca="1">IFERROR(__xludf.DUMMYFUNCTION("GOOGLETRANSLATE('대전도시공사_청년임대주택 현황_20240630'!J559,""ko"",""en"")"),"264400")</f>
        <v>264400</v>
      </c>
    </row>
    <row r="560" spans="1:10" ht="12.5" x14ac:dyDescent="0.25">
      <c r="A560" s="1" t="str">
        <f ca="1">IFERROR(__xludf.DUMMYFUNCTION("GOOGLETRANSLATE('대전도시공사_청년임대주택 현황_20240630'!A560,""ko"",""en"")"),"540-8 Bongmyeong-dong (Haenarae 2, youth rental)")</f>
        <v>540-8 Bongmyeong-dong (Haenarae 2, youth rental)</v>
      </c>
      <c r="B560" s="1" t="str">
        <f ca="1">IFERROR(__xludf.DUMMYFUNCTION("GOOGLETRANSLATE('대전도시공사_청년임대주택 현황_20240630'!B560,""ko"",""en"")"),"40")</f>
        <v>40</v>
      </c>
      <c r="C560" s="1" t="str">
        <f ca="1">IFERROR(__xludf.DUMMYFUNCTION("GOOGLETRANSLATE('대전도시공사_청년임대주택 현황_20240630'!C560,""ko"",""en"")"),"1")</f>
        <v>1</v>
      </c>
      <c r="D560" s="1" t="str">
        <f ca="1">IFERROR(__xludf.DUMMYFUNCTION("GOOGLETRANSLATE('대전도시공사_청년임대주택 현황_20240630'!D560,""ko"",""en"")"),"706")</f>
        <v>706</v>
      </c>
      <c r="E560" s="1" t="str">
        <f ca="1">IFERROR(__xludf.DUMMYFUNCTION("GOOGLETRANSLATE('대전도시공사_청년임대주택 현황_20240630'!E560,""ko"",""en"")"),"58.813")</f>
        <v>58.813</v>
      </c>
      <c r="F560" s="1" t="str">
        <f ca="1">IFERROR(__xludf.DUMMYFUNCTION("GOOGLETRANSLATE('대전도시공사_청년임대주택 현황_20240630'!F560,""ko"",""en"")"),"24.017")</f>
        <v>24.017</v>
      </c>
      <c r="G560" s="1" t="str">
        <f ca="1">IFERROR(__xludf.DUMMYFUNCTION("GOOGLETRANSLATE('대전도시공사_청년임대주택 현황_20240630'!G560,""ko"",""en"")"),"34.795")</f>
        <v>34.795</v>
      </c>
      <c r="H560" s="1" t="str">
        <f ca="1">IFERROR(__xludf.DUMMYFUNCTION("GOOGLETRANSLATE('대전도시공사_청년임대주택 현황_20240630'!H560,""ko"",""en"")"),"Beneficiary")</f>
        <v>Beneficiary</v>
      </c>
      <c r="I560" s="1" t="str">
        <f ca="1">IFERROR(__xludf.DUMMYFUNCTION("GOOGLETRANSLATE('대전도시공사_청년임대주택 현황_20240630'!I560,""ko"",""en"")"),"1000000")</f>
        <v>1000000</v>
      </c>
      <c r="J560" s="1" t="str">
        <f ca="1">IFERROR(__xludf.DUMMYFUNCTION("GOOGLETRANSLATE('대전도시공사_청년임대주택 현황_20240630'!J560,""ko"",""en"")"),"215500")</f>
        <v>215500</v>
      </c>
    </row>
    <row r="561" spans="1:10" ht="12.5" x14ac:dyDescent="0.25">
      <c r="A561" s="1" t="str">
        <f ca="1">IFERROR(__xludf.DUMMYFUNCTION("GOOGLETRANSLATE('대전도시공사_청년임대주택 현황_20240630'!A561,""ko"",""en"")"),"540-8 Bongmyeong-dong (Haenarae 2, youth rental)")</f>
        <v>540-8 Bongmyeong-dong (Haenarae 2, youth rental)</v>
      </c>
      <c r="B561" s="1" t="str">
        <f ca="1">IFERROR(__xludf.DUMMYFUNCTION("GOOGLETRANSLATE('대전도시공사_청년임대주택 현황_20240630'!B561,""ko"",""en"")"),"41")</f>
        <v>41</v>
      </c>
      <c r="C561" s="1" t="str">
        <f ca="1">IFERROR(__xludf.DUMMYFUNCTION("GOOGLETRANSLATE('대전도시공사_청년임대주택 현황_20240630'!C561,""ko"",""en"")"),"1")</f>
        <v>1</v>
      </c>
      <c r="D561" s="1" t="str">
        <f ca="1">IFERROR(__xludf.DUMMYFUNCTION("GOOGLETRANSLATE('대전도시공사_청년임대주택 현황_20240630'!D561,""ko"",""en"")"),"706")</f>
        <v>706</v>
      </c>
      <c r="E561" s="1" t="str">
        <f ca="1">IFERROR(__xludf.DUMMYFUNCTION("GOOGLETRANSLATE('대전도시공사_청년임대주택 현황_20240630'!E561,""ko"",""en"")"),"58.813")</f>
        <v>58.813</v>
      </c>
      <c r="F561" s="1" t="str">
        <f ca="1">IFERROR(__xludf.DUMMYFUNCTION("GOOGLETRANSLATE('대전도시공사_청년임대주택 현황_20240630'!F561,""ko"",""en"")"),"24.017")</f>
        <v>24.017</v>
      </c>
      <c r="G561" s="1" t="str">
        <f ca="1">IFERROR(__xludf.DUMMYFUNCTION("GOOGLETRANSLATE('대전도시공사_청년임대주택 현황_20240630'!G561,""ko"",""en"")"),"34.795")</f>
        <v>34.795</v>
      </c>
      <c r="H561" s="1" t="str">
        <f ca="1">IFERROR(__xludf.DUMMYFUNCTION("GOOGLETRANSLATE('대전도시공사_청년임대주택 현황_20240630'!H561,""ko"",""en"")"),"Youth Rental 2nd Place")</f>
        <v>Youth Rental 2nd Place</v>
      </c>
      <c r="I561" s="1" t="str">
        <f ca="1">IFERROR(__xludf.DUMMYFUNCTION("GOOGLETRANSLATE('대전도시공사_청년임대주택 현황_20240630'!I561,""ko"",""en"")"),"2000000")</f>
        <v>2000000</v>
      </c>
      <c r="J561" s="1" t="str">
        <f ca="1">IFERROR(__xludf.DUMMYFUNCTION("GOOGLETRANSLATE('대전도시공사_청년임대주택 현황_20240630'!J561,""ko"",""en"")"),"265200")</f>
        <v>265200</v>
      </c>
    </row>
    <row r="562" spans="1:10" ht="12.5" x14ac:dyDescent="0.25">
      <c r="A562" s="1" t="str">
        <f ca="1">IFERROR(__xludf.DUMMYFUNCTION("GOOGLETRANSLATE('대전도시공사_청년임대주택 현황_20240630'!A562,""ko"",""en"")"),"540-8 Bongmyeong-dong (Haenarae 2, youth rental)")</f>
        <v>540-8 Bongmyeong-dong (Haenarae 2, youth rental)</v>
      </c>
      <c r="B562" s="1" t="str">
        <f ca="1">IFERROR(__xludf.DUMMYFUNCTION("GOOGLETRANSLATE('대전도시공사_청년임대주택 현황_20240630'!B562,""ko"",""en"")"),"42")</f>
        <v>42</v>
      </c>
      <c r="C562" s="1" t="str">
        <f ca="1">IFERROR(__xludf.DUMMYFUNCTION("GOOGLETRANSLATE('대전도시공사_청년임대주택 현황_20240630'!C562,""ko"",""en"")"),"1")</f>
        <v>1</v>
      </c>
      <c r="D562" s="1" t="str">
        <f ca="1">IFERROR(__xludf.DUMMYFUNCTION("GOOGLETRANSLATE('대전도시공사_청년임대주택 현황_20240630'!D562,""ko"",""en"")"),"706")</f>
        <v>706</v>
      </c>
      <c r="E562" s="1" t="str">
        <f ca="1">IFERROR(__xludf.DUMMYFUNCTION("GOOGLETRANSLATE('대전도시공사_청년임대주택 현황_20240630'!E562,""ko"",""en"")"),"58.813")</f>
        <v>58.813</v>
      </c>
      <c r="F562" s="1" t="str">
        <f ca="1">IFERROR(__xludf.DUMMYFUNCTION("GOOGLETRANSLATE('대전도시공사_청년임대주택 현황_20240630'!F562,""ko"",""en"")"),"24.017")</f>
        <v>24.017</v>
      </c>
      <c r="G562" s="1" t="str">
        <f ca="1">IFERROR(__xludf.DUMMYFUNCTION("GOOGLETRANSLATE('대전도시공사_청년임대주택 현황_20240630'!G562,""ko"",""en"")"),"34.795")</f>
        <v>34.795</v>
      </c>
      <c r="H562" s="1" t="str">
        <f ca="1">IFERROR(__xludf.DUMMYFUNCTION("GOOGLETRANSLATE('대전도시공사_청년임대주택 현황_20240630'!H562,""ko"",""en"")"),"3rd place for youth rental")</f>
        <v>3rd place for youth rental</v>
      </c>
      <c r="I562" s="1" t="str">
        <f ca="1">IFERROR(__xludf.DUMMYFUNCTION("GOOGLETRANSLATE('대전도시공사_청년임대주택 현황_20240630'!I562,""ko"",""en"")"),"2000000")</f>
        <v>2000000</v>
      </c>
      <c r="J562" s="1" t="str">
        <f ca="1">IFERROR(__xludf.DUMMYFUNCTION("GOOGLETRANSLATE('대전도시공사_청년임대주택 현황_20240630'!J562,""ko"",""en"")"),"265200")</f>
        <v>265200</v>
      </c>
    </row>
    <row r="563" spans="1:10" ht="12.5" x14ac:dyDescent="0.25">
      <c r="A563" s="1" t="str">
        <f ca="1">IFERROR(__xludf.DUMMYFUNCTION("GOOGLETRANSLATE('대전도시공사_청년임대주택 현황_20240630'!A563,""ko"",""en"")"),"540-8 Bongmyeong-dong (Haenarae 2, youth rental)")</f>
        <v>540-8 Bongmyeong-dong (Haenarae 2, youth rental)</v>
      </c>
      <c r="B563" s="1" t="str">
        <f ca="1">IFERROR(__xludf.DUMMYFUNCTION("GOOGLETRANSLATE('대전도시공사_청년임대주택 현황_20240630'!B563,""ko"",""en"")"),"43")</f>
        <v>43</v>
      </c>
      <c r="C563" s="1" t="str">
        <f ca="1">IFERROR(__xludf.DUMMYFUNCTION("GOOGLETRANSLATE('대전도시공사_청년임대주택 현황_20240630'!C563,""ko"",""en"")"),"1")</f>
        <v>1</v>
      </c>
      <c r="D563" s="1" t="str">
        <f ca="1">IFERROR(__xludf.DUMMYFUNCTION("GOOGLETRANSLATE('대전도시공사_청년임대주택 현황_20240630'!D563,""ko"",""en"")"),"707")</f>
        <v>707</v>
      </c>
      <c r="E563" s="1" t="str">
        <f ca="1">IFERROR(__xludf.DUMMYFUNCTION("GOOGLETRANSLATE('대전도시공사_청년임대주택 현황_20240630'!E563,""ko"",""en"")"),"58.798")</f>
        <v>58.798</v>
      </c>
      <c r="F563" s="1" t="str">
        <f ca="1">IFERROR(__xludf.DUMMYFUNCTION("GOOGLETRANSLATE('대전도시공사_청년임대주택 현황_20240630'!F563,""ko"",""en"")"),"24.279")</f>
        <v>24.279</v>
      </c>
      <c r="G563" s="1" t="str">
        <f ca="1">IFERROR(__xludf.DUMMYFUNCTION("GOOGLETRANSLATE('대전도시공사_청년임대주택 현황_20240630'!G563,""ko"",""en"")"),"34.519")</f>
        <v>34.519</v>
      </c>
      <c r="H563" s="1" t="str">
        <f ca="1">IFERROR(__xludf.DUMMYFUNCTION("GOOGLETRANSLATE('대전도시공사_청년임대주택 현황_20240630'!H563,""ko"",""en"")"),"Beneficiary")</f>
        <v>Beneficiary</v>
      </c>
      <c r="I563" s="1" t="str">
        <f ca="1">IFERROR(__xludf.DUMMYFUNCTION("GOOGLETRANSLATE('대전도시공사_청년임대주택 현황_20240630'!I563,""ko"",""en"")"),"1000000")</f>
        <v>1000000</v>
      </c>
      <c r="J563" s="1" t="str">
        <f ca="1">IFERROR(__xludf.DUMMYFUNCTION("GOOGLETRANSLATE('대전도시공사_청년임대주택 현황_20240630'!J563,""ko"",""en"")"),"217900")</f>
        <v>217900</v>
      </c>
    </row>
    <row r="564" spans="1:10" ht="12.5" x14ac:dyDescent="0.25">
      <c r="A564" s="1" t="str">
        <f ca="1">IFERROR(__xludf.DUMMYFUNCTION("GOOGLETRANSLATE('대전도시공사_청년임대주택 현황_20240630'!A564,""ko"",""en"")"),"540-8 Bongmyeong-dong (Haenarae 2, youth rental)")</f>
        <v>540-8 Bongmyeong-dong (Haenarae 2, youth rental)</v>
      </c>
      <c r="B564" s="1" t="str">
        <f ca="1">IFERROR(__xludf.DUMMYFUNCTION("GOOGLETRANSLATE('대전도시공사_청년임대주택 현황_20240630'!B564,""ko"",""en"")"),"44")</f>
        <v>44</v>
      </c>
      <c r="C564" s="1" t="str">
        <f ca="1">IFERROR(__xludf.DUMMYFUNCTION("GOOGLETRANSLATE('대전도시공사_청년임대주택 현황_20240630'!C564,""ko"",""en"")"),"1")</f>
        <v>1</v>
      </c>
      <c r="D564" s="1" t="str">
        <f ca="1">IFERROR(__xludf.DUMMYFUNCTION("GOOGLETRANSLATE('대전도시공사_청년임대주택 현황_20240630'!D564,""ko"",""en"")"),"707")</f>
        <v>707</v>
      </c>
      <c r="E564" s="1" t="str">
        <f ca="1">IFERROR(__xludf.DUMMYFUNCTION("GOOGLETRANSLATE('대전도시공사_청년임대주택 현황_20240630'!E564,""ko"",""en"")"),"58.798")</f>
        <v>58.798</v>
      </c>
      <c r="F564" s="1" t="str">
        <f ca="1">IFERROR(__xludf.DUMMYFUNCTION("GOOGLETRANSLATE('대전도시공사_청년임대주택 현황_20240630'!F564,""ko"",""en"")"),"24.279")</f>
        <v>24.279</v>
      </c>
      <c r="G564" s="1" t="str">
        <f ca="1">IFERROR(__xludf.DUMMYFUNCTION("GOOGLETRANSLATE('대전도시공사_청년임대주택 현황_20240630'!G564,""ko"",""en"")"),"34.519")</f>
        <v>34.519</v>
      </c>
      <c r="H564" s="1" t="str">
        <f ca="1">IFERROR(__xludf.DUMMYFUNCTION("GOOGLETRANSLATE('대전도시공사_청년임대주택 현황_20240630'!H564,""ko"",""en"")"),"Youth Rental 2nd Place")</f>
        <v>Youth Rental 2nd Place</v>
      </c>
      <c r="I564" s="1" t="str">
        <f ca="1">IFERROR(__xludf.DUMMYFUNCTION("GOOGLETRANSLATE('대전도시공사_청년임대주택 현황_20240630'!I564,""ko"",""en"")"),"2000000")</f>
        <v>2000000</v>
      </c>
      <c r="J564" s="1" t="str">
        <f ca="1">IFERROR(__xludf.DUMMYFUNCTION("GOOGLETRANSLATE('대전도시공사_청년임대주택 현황_20240630'!J564,""ko"",""en"")"),"268200")</f>
        <v>268200</v>
      </c>
    </row>
    <row r="565" spans="1:10" ht="12.5" x14ac:dyDescent="0.25">
      <c r="A565" s="1" t="str">
        <f ca="1">IFERROR(__xludf.DUMMYFUNCTION("GOOGLETRANSLATE('대전도시공사_청년임대주택 현황_20240630'!A565,""ko"",""en"")"),"540-8 Bongmyeong-dong (Haenarae 2, youth rental)")</f>
        <v>540-8 Bongmyeong-dong (Haenarae 2, youth rental)</v>
      </c>
      <c r="B565" s="1" t="str">
        <f ca="1">IFERROR(__xludf.DUMMYFUNCTION("GOOGLETRANSLATE('대전도시공사_청년임대주택 현황_20240630'!B565,""ko"",""en"")"),"45")</f>
        <v>45</v>
      </c>
      <c r="C565" s="1" t="str">
        <f ca="1">IFERROR(__xludf.DUMMYFUNCTION("GOOGLETRANSLATE('대전도시공사_청년임대주택 현황_20240630'!C565,""ko"",""en"")"),"1")</f>
        <v>1</v>
      </c>
      <c r="D565" s="1" t="str">
        <f ca="1">IFERROR(__xludf.DUMMYFUNCTION("GOOGLETRANSLATE('대전도시공사_청년임대주택 현황_20240630'!D565,""ko"",""en"")"),"707")</f>
        <v>707</v>
      </c>
      <c r="E565" s="1" t="str">
        <f ca="1">IFERROR(__xludf.DUMMYFUNCTION("GOOGLETRANSLATE('대전도시공사_청년임대주택 현황_20240630'!E565,""ko"",""en"")"),"58.798")</f>
        <v>58.798</v>
      </c>
      <c r="F565" s="1" t="str">
        <f ca="1">IFERROR(__xludf.DUMMYFUNCTION("GOOGLETRANSLATE('대전도시공사_청년임대주택 현황_20240630'!F565,""ko"",""en"")"),"24.279")</f>
        <v>24.279</v>
      </c>
      <c r="G565" s="1" t="str">
        <f ca="1">IFERROR(__xludf.DUMMYFUNCTION("GOOGLETRANSLATE('대전도시공사_청년임대주택 현황_20240630'!G565,""ko"",""en"")"),"34.519")</f>
        <v>34.519</v>
      </c>
      <c r="H565" s="1" t="str">
        <f ca="1">IFERROR(__xludf.DUMMYFUNCTION("GOOGLETRANSLATE('대전도시공사_청년임대주택 현황_20240630'!H565,""ko"",""en"")"),"3rd place for youth rental")</f>
        <v>3rd place for youth rental</v>
      </c>
      <c r="I565" s="1" t="str">
        <f ca="1">IFERROR(__xludf.DUMMYFUNCTION("GOOGLETRANSLATE('대전도시공사_청년임대주택 현황_20240630'!I565,""ko"",""en"")"),"2000000")</f>
        <v>2000000</v>
      </c>
      <c r="J565" s="1" t="str">
        <f ca="1">IFERROR(__xludf.DUMMYFUNCTION("GOOGLETRANSLATE('대전도시공사_청년임대주택 현황_20240630'!J565,""ko"",""en"")"),"268200")</f>
        <v>268200</v>
      </c>
    </row>
    <row r="566" spans="1:10" ht="12.5" x14ac:dyDescent="0.25">
      <c r="A566" s="1" t="str">
        <f ca="1">IFERROR(__xludf.DUMMYFUNCTION("GOOGLETRANSLATE('대전도시공사_청년임대주택 현황_20240630'!A566,""ko"",""en"")"),"540-8 Bongmyeong-dong (Haenarae 2, youth rental)")</f>
        <v>540-8 Bongmyeong-dong (Haenarae 2, youth rental)</v>
      </c>
      <c r="B566" s="1" t="str">
        <f ca="1">IFERROR(__xludf.DUMMYFUNCTION("GOOGLETRANSLATE('대전도시공사_청년임대주택 현황_20240630'!B566,""ko"",""en"")"),"46")</f>
        <v>46</v>
      </c>
      <c r="C566" s="1" t="str">
        <f ca="1">IFERROR(__xludf.DUMMYFUNCTION("GOOGLETRANSLATE('대전도시공사_청년임대주택 현황_20240630'!C566,""ko"",""en"")"),"1")</f>
        <v>1</v>
      </c>
      <c r="D566" s="1" t="str">
        <f ca="1">IFERROR(__xludf.DUMMYFUNCTION("GOOGLETRANSLATE('대전도시공사_청년임대주택 현황_20240630'!D566,""ko"",""en"")"),"708")</f>
        <v>708</v>
      </c>
      <c r="E566" s="1" t="str">
        <f ca="1">IFERROR(__xludf.DUMMYFUNCTION("GOOGLETRANSLATE('대전도시공사_청년임대주택 현황_20240630'!E566,""ko"",""en"")"),"58.14")</f>
        <v>58.14</v>
      </c>
      <c r="F566" s="1" t="str">
        <f ca="1">IFERROR(__xludf.DUMMYFUNCTION("GOOGLETRANSLATE('대전도시공사_청년임대주택 현황_20240630'!F566,""ko"",""en"")"),"23.78")</f>
        <v>23.78</v>
      </c>
      <c r="G566" s="1" t="str">
        <f ca="1">IFERROR(__xludf.DUMMYFUNCTION("GOOGLETRANSLATE('대전도시공사_청년임대주택 현황_20240630'!G566,""ko"",""en"")"),"34.36")</f>
        <v>34.36</v>
      </c>
      <c r="H566" s="1" t="str">
        <f ca="1">IFERROR(__xludf.DUMMYFUNCTION("GOOGLETRANSLATE('대전도시공사_청년임대주택 현황_20240630'!H566,""ko"",""en"")"),"Beneficiary")</f>
        <v>Beneficiary</v>
      </c>
      <c r="I566" s="1" t="str">
        <f ca="1">IFERROR(__xludf.DUMMYFUNCTION("GOOGLETRANSLATE('대전도시공사_청년임대주택 현황_20240630'!I566,""ko"",""en"")"),"1000000")</f>
        <v>1000000</v>
      </c>
      <c r="J566" s="1" t="str">
        <f ca="1">IFERROR(__xludf.DUMMYFUNCTION("GOOGLETRANSLATE('대전도시공사_청년임대주택 현황_20240630'!J566,""ko"",""en"")"),"213200")</f>
        <v>213200</v>
      </c>
    </row>
    <row r="567" spans="1:10" ht="12.5" x14ac:dyDescent="0.25">
      <c r="A567" s="1" t="str">
        <f ca="1">IFERROR(__xludf.DUMMYFUNCTION("GOOGLETRANSLATE('대전도시공사_청년임대주택 현황_20240630'!A567,""ko"",""en"")"),"540-8 Bongmyeong-dong (Haenarae 2, youth rental)")</f>
        <v>540-8 Bongmyeong-dong (Haenarae 2, youth rental)</v>
      </c>
      <c r="B567" s="1" t="str">
        <f ca="1">IFERROR(__xludf.DUMMYFUNCTION("GOOGLETRANSLATE('대전도시공사_청년임대주택 현황_20240630'!B567,""ko"",""en"")"),"47")</f>
        <v>47</v>
      </c>
      <c r="C567" s="1" t="str">
        <f ca="1">IFERROR(__xludf.DUMMYFUNCTION("GOOGLETRANSLATE('대전도시공사_청년임대주택 현황_20240630'!C567,""ko"",""en"")"),"1")</f>
        <v>1</v>
      </c>
      <c r="D567" s="1" t="str">
        <f ca="1">IFERROR(__xludf.DUMMYFUNCTION("GOOGLETRANSLATE('대전도시공사_청년임대주택 현황_20240630'!D567,""ko"",""en"")"),"708")</f>
        <v>708</v>
      </c>
      <c r="E567" s="1" t="str">
        <f ca="1">IFERROR(__xludf.DUMMYFUNCTION("GOOGLETRANSLATE('대전도시공사_청년임대주택 현황_20240630'!E567,""ko"",""en"")"),"58.14")</f>
        <v>58.14</v>
      </c>
      <c r="F567" s="1" t="str">
        <f ca="1">IFERROR(__xludf.DUMMYFUNCTION("GOOGLETRANSLATE('대전도시공사_청년임대주택 현황_20240630'!F567,""ko"",""en"")"),"23.78")</f>
        <v>23.78</v>
      </c>
      <c r="G567" s="1" t="str">
        <f ca="1">IFERROR(__xludf.DUMMYFUNCTION("GOOGLETRANSLATE('대전도시공사_청년임대주택 현황_20240630'!G567,""ko"",""en"")"),"34.36")</f>
        <v>34.36</v>
      </c>
      <c r="H567" s="1" t="str">
        <f ca="1">IFERROR(__xludf.DUMMYFUNCTION("GOOGLETRANSLATE('대전도시공사_청년임대주택 현황_20240630'!H567,""ko"",""en"")"),"Youth Rental 2nd Place")</f>
        <v>Youth Rental 2nd Place</v>
      </c>
      <c r="I567" s="1" t="str">
        <f ca="1">IFERROR(__xludf.DUMMYFUNCTION("GOOGLETRANSLATE('대전도시공사_청년임대주택 현황_20240630'!I567,""ko"",""en"")"),"2000000")</f>
        <v>2000000</v>
      </c>
      <c r="J567" s="1" t="str">
        <f ca="1">IFERROR(__xludf.DUMMYFUNCTION("GOOGLETRANSLATE('대전도시공사_청년임대주택 현황_20240630'!J567,""ko"",""en"")"),"262400")</f>
        <v>262400</v>
      </c>
    </row>
    <row r="568" spans="1:10" ht="12.5" x14ac:dyDescent="0.25">
      <c r="A568" s="1" t="str">
        <f ca="1">IFERROR(__xludf.DUMMYFUNCTION("GOOGLETRANSLATE('대전도시공사_청년임대주택 현황_20240630'!A568,""ko"",""en"")"),"540-8 Bongmyeong-dong (Haenarae 2, youth rental)")</f>
        <v>540-8 Bongmyeong-dong (Haenarae 2, youth rental)</v>
      </c>
      <c r="B568" s="1" t="str">
        <f ca="1">IFERROR(__xludf.DUMMYFUNCTION("GOOGLETRANSLATE('대전도시공사_청년임대주택 현황_20240630'!B568,""ko"",""en"")"),"48")</f>
        <v>48</v>
      </c>
      <c r="C568" s="1" t="str">
        <f ca="1">IFERROR(__xludf.DUMMYFUNCTION("GOOGLETRANSLATE('대전도시공사_청년임대주택 현황_20240630'!C568,""ko"",""en"")"),"1")</f>
        <v>1</v>
      </c>
      <c r="D568" s="1" t="str">
        <f ca="1">IFERROR(__xludf.DUMMYFUNCTION("GOOGLETRANSLATE('대전도시공사_청년임대주택 현황_20240630'!D568,""ko"",""en"")"),"708")</f>
        <v>708</v>
      </c>
      <c r="E568" s="1" t="str">
        <f ca="1">IFERROR(__xludf.DUMMYFUNCTION("GOOGLETRANSLATE('대전도시공사_청년임대주택 현황_20240630'!E568,""ko"",""en"")"),"58.14")</f>
        <v>58.14</v>
      </c>
      <c r="F568" s="1" t="str">
        <f ca="1">IFERROR(__xludf.DUMMYFUNCTION("GOOGLETRANSLATE('대전도시공사_청년임대주택 현황_20240630'!F568,""ko"",""en"")"),"23.78")</f>
        <v>23.78</v>
      </c>
      <c r="G568" s="1" t="str">
        <f ca="1">IFERROR(__xludf.DUMMYFUNCTION("GOOGLETRANSLATE('대전도시공사_청년임대주택 현황_20240630'!G568,""ko"",""en"")"),"34.36")</f>
        <v>34.36</v>
      </c>
      <c r="H568" s="1" t="str">
        <f ca="1">IFERROR(__xludf.DUMMYFUNCTION("GOOGLETRANSLATE('대전도시공사_청년임대주택 현황_20240630'!H568,""ko"",""en"")"),"3rd place for youth rental")</f>
        <v>3rd place for youth rental</v>
      </c>
      <c r="I568" s="1" t="str">
        <f ca="1">IFERROR(__xludf.DUMMYFUNCTION("GOOGLETRANSLATE('대전도시공사_청년임대주택 현황_20240630'!I568,""ko"",""en"")"),"2000000")</f>
        <v>2000000</v>
      </c>
      <c r="J568" s="1" t="str">
        <f ca="1">IFERROR(__xludf.DUMMYFUNCTION("GOOGLETRANSLATE('대전도시공사_청년임대주택 현황_20240630'!J568,""ko"",""en"")"),"262400")</f>
        <v>262400</v>
      </c>
    </row>
    <row r="569" spans="1:10" ht="12.5" x14ac:dyDescent="0.25">
      <c r="A569" s="1" t="str">
        <f ca="1">IFERROR(__xludf.DUMMYFUNCTION("GOOGLETRANSLATE('대전도시공사_청년임대주택 현황_20240630'!A569,""ko"",""en"")"),"540-8 Bongmyeong-dong (Haenarae 2, youth rental)")</f>
        <v>540-8 Bongmyeong-dong (Haenarae 2, youth rental)</v>
      </c>
      <c r="B569" s="1" t="str">
        <f ca="1">IFERROR(__xludf.DUMMYFUNCTION("GOOGLETRANSLATE('대전도시공사_청년임대주택 현황_20240630'!B569,""ko"",""en"")"),"49")</f>
        <v>49</v>
      </c>
      <c r="C569" s="1" t="str">
        <f ca="1">IFERROR(__xludf.DUMMYFUNCTION("GOOGLETRANSLATE('대전도시공사_청년임대주택 현황_20240630'!C569,""ko"",""en"")"),"1")</f>
        <v>1</v>
      </c>
      <c r="D569" s="1" t="str">
        <f ca="1">IFERROR(__xludf.DUMMYFUNCTION("GOOGLETRANSLATE('대전도시공사_청년임대주택 현황_20240630'!D569,""ko"",""en"")"),"714")</f>
        <v>714</v>
      </c>
      <c r="E569" s="1" t="str">
        <f ca="1">IFERROR(__xludf.DUMMYFUNCTION("GOOGLETRANSLATE('대전도시공사_청년임대주택 현황_20240630'!E569,""ko"",""en"")"),"48.862")</f>
        <v>48.862</v>
      </c>
      <c r="F569" s="1" t="str">
        <f ca="1">IFERROR(__xludf.DUMMYFUNCTION("GOOGLETRANSLATE('대전도시공사_청년임대주택 현황_20240630'!F569,""ko"",""en"")"),"18.887")</f>
        <v>18.887</v>
      </c>
      <c r="G569" s="1" t="str">
        <f ca="1">IFERROR(__xludf.DUMMYFUNCTION("GOOGLETRANSLATE('대전도시공사_청년임대주택 현황_20240630'!G569,""ko"",""en"")"),"27.974")</f>
        <v>27.974</v>
      </c>
      <c r="H569" s="1" t="str">
        <f ca="1">IFERROR(__xludf.DUMMYFUNCTION("GOOGLETRANSLATE('대전도시공사_청년임대주택 현황_20240630'!H569,""ko"",""en"")"),"Youth Rent 1st Place")</f>
        <v>Youth Rent 1st Place</v>
      </c>
      <c r="I569" s="1" t="str">
        <f ca="1">IFERROR(__xludf.DUMMYFUNCTION("GOOGLETRANSLATE('대전도시공사_청년임대주택 현황_20240630'!I569,""ko"",""en"")"),"1000000")</f>
        <v>1000000</v>
      </c>
      <c r="J569" s="1" t="str">
        <f ca="1">IFERROR(__xludf.DUMMYFUNCTION("GOOGLETRANSLATE('대전도시공사_청년임대주택 현황_20240630'!J569,""ko"",""en"")"),"224000")</f>
        <v>224000</v>
      </c>
    </row>
    <row r="570" spans="1:10" ht="12.5" x14ac:dyDescent="0.25">
      <c r="A570" s="1" t="str">
        <f ca="1">IFERROR(__xludf.DUMMYFUNCTION("GOOGLETRANSLATE('대전도시공사_청년임대주택 현황_20240630'!A570,""ko"",""en"")"),"540-8 Bongmyeong-dong (Haenarae 2, youth rental)")</f>
        <v>540-8 Bongmyeong-dong (Haenarae 2, youth rental)</v>
      </c>
      <c r="B570" s="1" t="str">
        <f ca="1">IFERROR(__xludf.DUMMYFUNCTION("GOOGLETRANSLATE('대전도시공사_청년임대주택 현황_20240630'!B570,""ko"",""en"")"),"50")</f>
        <v>50</v>
      </c>
      <c r="C570" s="1" t="str">
        <f ca="1">IFERROR(__xludf.DUMMYFUNCTION("GOOGLETRANSLATE('대전도시공사_청년임대주택 현황_20240630'!C570,""ko"",""en"")"),"1")</f>
        <v>1</v>
      </c>
      <c r="D570" s="1" t="str">
        <f ca="1">IFERROR(__xludf.DUMMYFUNCTION("GOOGLETRANSLATE('대전도시공사_청년임대주택 현황_20240630'!D570,""ko"",""en"")"),"714")</f>
        <v>714</v>
      </c>
      <c r="E570" s="1" t="str">
        <f ca="1">IFERROR(__xludf.DUMMYFUNCTION("GOOGLETRANSLATE('대전도시공사_청년임대주택 현황_20240630'!E570,""ko"",""en"")"),"48.862")</f>
        <v>48.862</v>
      </c>
      <c r="F570" s="1" t="str">
        <f ca="1">IFERROR(__xludf.DUMMYFUNCTION("GOOGLETRANSLATE('대전도시공사_청년임대주택 현황_20240630'!F570,""ko"",""en"")"),"18.887")</f>
        <v>18.887</v>
      </c>
      <c r="G570" s="1" t="str">
        <f ca="1">IFERROR(__xludf.DUMMYFUNCTION("GOOGLETRANSLATE('대전도시공사_청년임대주택 현황_20240630'!G570,""ko"",""en"")"),"27.974")</f>
        <v>27.974</v>
      </c>
      <c r="H570" s="1" t="str">
        <f ca="1">IFERROR(__xludf.DUMMYFUNCTION("GOOGLETRANSLATE('대전도시공사_청년임대주택 현황_20240630'!H570,""ko"",""en"")"),"Youth Rental 2nd Place")</f>
        <v>Youth Rental 2nd Place</v>
      </c>
      <c r="I570" s="1" t="str">
        <f ca="1">IFERROR(__xludf.DUMMYFUNCTION("GOOGLETRANSLATE('대전도시공사_청년임대주택 현황_20240630'!I570,""ko"",""en"")"),"2000000")</f>
        <v>2000000</v>
      </c>
      <c r="J570" s="1" t="str">
        <f ca="1">IFERROR(__xludf.DUMMYFUNCTION("GOOGLETRANSLATE('대전도시공사_청년임대주택 현황_20240630'!J570,""ko"",""en"")"),"275800")</f>
        <v>275800</v>
      </c>
    </row>
    <row r="571" spans="1:10" ht="12.5" x14ac:dyDescent="0.25">
      <c r="A571" s="1" t="str">
        <f ca="1">IFERROR(__xludf.DUMMYFUNCTION("GOOGLETRANSLATE('대전도시공사_청년임대주택 현황_20240630'!A571,""ko"",""en"")"),"540-8 Bongmyeong-dong (Haenarae 2, youth rental)")</f>
        <v>540-8 Bongmyeong-dong (Haenarae 2, youth rental)</v>
      </c>
      <c r="B571" s="1" t="str">
        <f ca="1">IFERROR(__xludf.DUMMYFUNCTION("GOOGLETRANSLATE('대전도시공사_청년임대주택 현황_20240630'!B571,""ko"",""en"")"),"51")</f>
        <v>51</v>
      </c>
      <c r="C571" s="1" t="str">
        <f ca="1">IFERROR(__xludf.DUMMYFUNCTION("GOOGLETRANSLATE('대전도시공사_청년임대주택 현황_20240630'!C571,""ko"",""en"")"),"1")</f>
        <v>1</v>
      </c>
      <c r="D571" s="1" t="str">
        <f ca="1">IFERROR(__xludf.DUMMYFUNCTION("GOOGLETRANSLATE('대전도시공사_청년임대주택 현황_20240630'!D571,""ko"",""en"")"),"714")</f>
        <v>714</v>
      </c>
      <c r="E571" s="1" t="str">
        <f ca="1">IFERROR(__xludf.DUMMYFUNCTION("GOOGLETRANSLATE('대전도시공사_청년임대주택 현황_20240630'!E571,""ko"",""en"")"),"48.862")</f>
        <v>48.862</v>
      </c>
      <c r="F571" s="1" t="str">
        <f ca="1">IFERROR(__xludf.DUMMYFUNCTION("GOOGLETRANSLATE('대전도시공사_청년임대주택 현황_20240630'!F571,""ko"",""en"")"),"18.887")</f>
        <v>18.887</v>
      </c>
      <c r="G571" s="1" t="str">
        <f ca="1">IFERROR(__xludf.DUMMYFUNCTION("GOOGLETRANSLATE('대전도시공사_청년임대주택 현황_20240630'!G571,""ko"",""en"")"),"27.974")</f>
        <v>27.974</v>
      </c>
      <c r="H571" s="1" t="str">
        <f ca="1">IFERROR(__xludf.DUMMYFUNCTION("GOOGLETRANSLATE('대전도시공사_청년임대주택 현황_20240630'!H571,""ko"",""en"")"),"3rd place for youth rental")</f>
        <v>3rd place for youth rental</v>
      </c>
      <c r="I571" s="1" t="str">
        <f ca="1">IFERROR(__xludf.DUMMYFUNCTION("GOOGLETRANSLATE('대전도시공사_청년임대주택 현황_20240630'!I571,""ko"",""en"")"),"2000000")</f>
        <v>2000000</v>
      </c>
      <c r="J571" s="1" t="str">
        <f ca="1">IFERROR(__xludf.DUMMYFUNCTION("GOOGLETRANSLATE('대전도시공사_청년임대주택 현황_20240630'!J571,""ko"",""en"")"),"275800")</f>
        <v>275800</v>
      </c>
    </row>
    <row r="572" spans="1:10" ht="12.5" x14ac:dyDescent="0.25">
      <c r="A572" s="1" t="str">
        <f ca="1">IFERROR(__xludf.DUMMYFUNCTION("GOOGLETRANSLATE('대전도시공사_청년임대주택 현황_20240630'!A572,""ko"",""en"")"),"540-8 Bongmyeong-dong (Haenarae 2, youth rental)")</f>
        <v>540-8 Bongmyeong-dong (Haenarae 2, youth rental)</v>
      </c>
      <c r="B572" s="1" t="str">
        <f ca="1">IFERROR(__xludf.DUMMYFUNCTION("GOOGLETRANSLATE('대전도시공사_청년임대주택 현황_20240630'!B572,""ko"",""en"")"),"55")</f>
        <v>55</v>
      </c>
      <c r="C572" s="1" t="str">
        <f ca="1">IFERROR(__xludf.DUMMYFUNCTION("GOOGLETRANSLATE('대전도시공사_청년임대주택 현황_20240630'!C572,""ko"",""en"")"),"1")</f>
        <v>1</v>
      </c>
      <c r="D572" s="1" t="str">
        <f ca="1">IFERROR(__xludf.DUMMYFUNCTION("GOOGLETRANSLATE('대전도시공사_청년임대주택 현황_20240630'!D572,""ko"",""en"")"),"801")</f>
        <v>801</v>
      </c>
      <c r="E572" s="1" t="str">
        <f ca="1">IFERROR(__xludf.DUMMYFUNCTION("GOOGLETRANSLATE('대전도시공사_청년임대주택 현황_20240630'!E572,""ko"",""en"")"),"48.862")</f>
        <v>48.862</v>
      </c>
      <c r="F572" s="1" t="str">
        <f ca="1">IFERROR(__xludf.DUMMYFUNCTION("GOOGLETRANSLATE('대전도시공사_청년임대주택 현황_20240630'!F572,""ko"",""en"")"),"18.887")</f>
        <v>18.887</v>
      </c>
      <c r="G572" s="1" t="str">
        <f ca="1">IFERROR(__xludf.DUMMYFUNCTION("GOOGLETRANSLATE('대전도시공사_청년임대주택 현황_20240630'!G572,""ko"",""en"")"),"27.974")</f>
        <v>27.974</v>
      </c>
      <c r="H572" s="1" t="str">
        <f ca="1">IFERROR(__xludf.DUMMYFUNCTION("GOOGLETRANSLATE('대전도시공사_청년임대주택 현황_20240630'!H572,""ko"",""en"")"),"Beneficiary")</f>
        <v>Beneficiary</v>
      </c>
      <c r="I572" s="1" t="str">
        <f ca="1">IFERROR(__xludf.DUMMYFUNCTION("GOOGLETRANSLATE('대전도시공사_청년임대주택 현황_20240630'!I572,""ko"",""en"")"),"1000000")</f>
        <v>1000000</v>
      </c>
      <c r="J572" s="1" t="str">
        <f ca="1">IFERROR(__xludf.DUMMYFUNCTION("GOOGLETRANSLATE('대전도시공사_청년임대주택 현황_20240630'!J572,""ko"",""en"")"),"217200")</f>
        <v>217200</v>
      </c>
    </row>
    <row r="573" spans="1:10" ht="12.5" x14ac:dyDescent="0.25">
      <c r="A573" s="1" t="str">
        <f ca="1">IFERROR(__xludf.DUMMYFUNCTION("GOOGLETRANSLATE('대전도시공사_청년임대주택 현황_20240630'!A573,""ko"",""en"")"),"540-8 Bongmyeong-dong (Haenarae 2, youth rental)")</f>
        <v>540-8 Bongmyeong-dong (Haenarae 2, youth rental)</v>
      </c>
      <c r="B573" s="1" t="str">
        <f ca="1">IFERROR(__xludf.DUMMYFUNCTION("GOOGLETRANSLATE('대전도시공사_청년임대주택 현황_20240630'!B573,""ko"",""en"")"),"56")</f>
        <v>56</v>
      </c>
      <c r="C573" s="1" t="str">
        <f ca="1">IFERROR(__xludf.DUMMYFUNCTION("GOOGLETRANSLATE('대전도시공사_청년임대주택 현황_20240630'!C573,""ko"",""en"")"),"1")</f>
        <v>1</v>
      </c>
      <c r="D573" s="1" t="str">
        <f ca="1">IFERROR(__xludf.DUMMYFUNCTION("GOOGLETRANSLATE('대전도시공사_청년임대주택 현황_20240630'!D573,""ko"",""en"")"),"801")</f>
        <v>801</v>
      </c>
      <c r="E573" s="1" t="str">
        <f ca="1">IFERROR(__xludf.DUMMYFUNCTION("GOOGLETRANSLATE('대전도시공사_청년임대주택 현황_20240630'!E573,""ko"",""en"")"),"48.862")</f>
        <v>48.862</v>
      </c>
      <c r="F573" s="1" t="str">
        <f ca="1">IFERROR(__xludf.DUMMYFUNCTION("GOOGLETRANSLATE('대전도시공사_청년임대주택 현황_20240630'!F573,""ko"",""en"")"),"18.887")</f>
        <v>18.887</v>
      </c>
      <c r="G573" s="1" t="str">
        <f ca="1">IFERROR(__xludf.DUMMYFUNCTION("GOOGLETRANSLATE('대전도시공사_청년임대주택 현황_20240630'!G573,""ko"",""en"")"),"27.974")</f>
        <v>27.974</v>
      </c>
      <c r="H573" s="1" t="str">
        <f ca="1">IFERROR(__xludf.DUMMYFUNCTION("GOOGLETRANSLATE('대전도시공사_청년임대주택 현황_20240630'!H573,""ko"",""en"")"),"Youth Rental 2nd Place")</f>
        <v>Youth Rental 2nd Place</v>
      </c>
      <c r="I573" s="1" t="str">
        <f ca="1">IFERROR(__xludf.DUMMYFUNCTION("GOOGLETRANSLATE('대전도시공사_청년임대주택 현황_20240630'!I573,""ko"",""en"")"),"2000000")</f>
        <v>2000000</v>
      </c>
      <c r="J573" s="1" t="str">
        <f ca="1">IFERROR(__xludf.DUMMYFUNCTION("GOOGLETRANSLATE('대전도시공사_청년임대주택 현황_20240630'!J573,""ko"",""en"")"),"267400")</f>
        <v>267400</v>
      </c>
    </row>
    <row r="574" spans="1:10" ht="12.5" x14ac:dyDescent="0.25">
      <c r="A574" s="1" t="str">
        <f ca="1">IFERROR(__xludf.DUMMYFUNCTION("GOOGLETRANSLATE('대전도시공사_청년임대주택 현황_20240630'!A574,""ko"",""en"")"),"540-8 Bongmyeong-dong (Haenarae 2, youth rental)")</f>
        <v>540-8 Bongmyeong-dong (Haenarae 2, youth rental)</v>
      </c>
      <c r="B574" s="1" t="str">
        <f ca="1">IFERROR(__xludf.DUMMYFUNCTION("GOOGLETRANSLATE('대전도시공사_청년임대주택 현황_20240630'!B574,""ko"",""en"")"),"57")</f>
        <v>57</v>
      </c>
      <c r="C574" s="1" t="str">
        <f ca="1">IFERROR(__xludf.DUMMYFUNCTION("GOOGLETRANSLATE('대전도시공사_청년임대주택 현황_20240630'!C574,""ko"",""en"")"),"1")</f>
        <v>1</v>
      </c>
      <c r="D574" s="1" t="str">
        <f ca="1">IFERROR(__xludf.DUMMYFUNCTION("GOOGLETRANSLATE('대전도시공사_청년임대주택 현황_20240630'!D574,""ko"",""en"")"),"801")</f>
        <v>801</v>
      </c>
      <c r="E574" s="1" t="str">
        <f ca="1">IFERROR(__xludf.DUMMYFUNCTION("GOOGLETRANSLATE('대전도시공사_청년임대주택 현황_20240630'!E574,""ko"",""en"")"),"48.862")</f>
        <v>48.862</v>
      </c>
      <c r="F574" s="1" t="str">
        <f ca="1">IFERROR(__xludf.DUMMYFUNCTION("GOOGLETRANSLATE('대전도시공사_청년임대주택 현황_20240630'!F574,""ko"",""en"")"),"18.887")</f>
        <v>18.887</v>
      </c>
      <c r="G574" s="1" t="str">
        <f ca="1">IFERROR(__xludf.DUMMYFUNCTION("GOOGLETRANSLATE('대전도시공사_청년임대주택 현황_20240630'!G574,""ko"",""en"")"),"27.974")</f>
        <v>27.974</v>
      </c>
      <c r="H574" s="1" t="str">
        <f ca="1">IFERROR(__xludf.DUMMYFUNCTION("GOOGLETRANSLATE('대전도시공사_청년임대주택 현황_20240630'!H574,""ko"",""en"")"),"3rd place for youth rental")</f>
        <v>3rd place for youth rental</v>
      </c>
      <c r="I574" s="1" t="str">
        <f ca="1">IFERROR(__xludf.DUMMYFUNCTION("GOOGLETRANSLATE('대전도시공사_청년임대주택 현황_20240630'!I574,""ko"",""en"")"),"2000000")</f>
        <v>2000000</v>
      </c>
      <c r="J574" s="1" t="str">
        <f ca="1">IFERROR(__xludf.DUMMYFUNCTION("GOOGLETRANSLATE('대전도시공사_청년임대주택 현황_20240630'!J574,""ko"",""en"")"),"267400")</f>
        <v>267400</v>
      </c>
    </row>
    <row r="575" spans="1:10" ht="12.5" x14ac:dyDescent="0.25">
      <c r="A575" s="1" t="str">
        <f ca="1">IFERROR(__xludf.DUMMYFUNCTION("GOOGLETRANSLATE('대전도시공사_청년임대주택 현황_20240630'!A575,""ko"",""en"")"),"540-8 Bongmyeong-dong (Haenarae 2, youth rental)")</f>
        <v>540-8 Bongmyeong-dong (Haenarae 2, youth rental)</v>
      </c>
      <c r="B575" s="1" t="str">
        <f ca="1">IFERROR(__xludf.DUMMYFUNCTION("GOOGLETRANSLATE('대전도시공사_청년임대주택 현황_20240630'!B575,""ko"",""en"")"),"67")</f>
        <v>67</v>
      </c>
      <c r="C575" s="1" t="str">
        <f ca="1">IFERROR(__xludf.DUMMYFUNCTION("GOOGLETRANSLATE('대전도시공사_청년임대주택 현황_20240630'!C575,""ko"",""en"")"),"1")</f>
        <v>1</v>
      </c>
      <c r="D575" s="1" t="str">
        <f ca="1">IFERROR(__xludf.DUMMYFUNCTION("GOOGLETRANSLATE('대전도시공사_청년임대주택 현황_20240630'!D575,""ko"",""en"")"),"805")</f>
        <v>805</v>
      </c>
      <c r="E575" s="1" t="str">
        <f ca="1">IFERROR(__xludf.DUMMYFUNCTION("GOOGLETRANSLATE('대전도시공사_청년임대주택 현황_20240630'!E575,""ko"",""en"")"),"48.862")</f>
        <v>48.862</v>
      </c>
      <c r="F575" s="1" t="str">
        <f ca="1">IFERROR(__xludf.DUMMYFUNCTION("GOOGLETRANSLATE('대전도시공사_청년임대주택 현황_20240630'!F575,""ko"",""en"")"),"18.887")</f>
        <v>18.887</v>
      </c>
      <c r="G575" s="1" t="str">
        <f ca="1">IFERROR(__xludf.DUMMYFUNCTION("GOOGLETRANSLATE('대전도시공사_청년임대주택 현황_20240630'!G575,""ko"",""en"")"),"27.974")</f>
        <v>27.974</v>
      </c>
      <c r="H575" s="1" t="str">
        <f ca="1">IFERROR(__xludf.DUMMYFUNCTION("GOOGLETRANSLATE('대전도시공사_청년임대주택 현황_20240630'!H575,""ko"",""en"")"),"Beneficiary")</f>
        <v>Beneficiary</v>
      </c>
      <c r="I575" s="1" t="str">
        <f ca="1">IFERROR(__xludf.DUMMYFUNCTION("GOOGLETRANSLATE('대전도시공사_청년임대주택 현황_20240630'!I575,""ko"",""en"")"),"1000000")</f>
        <v>1000000</v>
      </c>
      <c r="J575" s="1" t="str">
        <f ca="1">IFERROR(__xludf.DUMMYFUNCTION("GOOGLETRANSLATE('대전도시공사_청년임대주택 현황_20240630'!J575,""ko"",""en"")"),"217200")</f>
        <v>217200</v>
      </c>
    </row>
    <row r="576" spans="1:10" ht="12.5" x14ac:dyDescent="0.25">
      <c r="A576" s="1" t="str">
        <f ca="1">IFERROR(__xludf.DUMMYFUNCTION("GOOGLETRANSLATE('대전도시공사_청년임대주택 현황_20240630'!A576,""ko"",""en"")"),"540-8 Bongmyeong-dong (Haenarae 2, youth rental)")</f>
        <v>540-8 Bongmyeong-dong (Haenarae 2, youth rental)</v>
      </c>
      <c r="B576" s="1" t="str">
        <f ca="1">IFERROR(__xludf.DUMMYFUNCTION("GOOGLETRANSLATE('대전도시공사_청년임대주택 현황_20240630'!B576,""ko"",""en"")"),"68")</f>
        <v>68</v>
      </c>
      <c r="C576" s="1" t="str">
        <f ca="1">IFERROR(__xludf.DUMMYFUNCTION("GOOGLETRANSLATE('대전도시공사_청년임대주택 현황_20240630'!C576,""ko"",""en"")"),"1")</f>
        <v>1</v>
      </c>
      <c r="D576" s="1" t="str">
        <f ca="1">IFERROR(__xludf.DUMMYFUNCTION("GOOGLETRANSLATE('대전도시공사_청년임대주택 현황_20240630'!D576,""ko"",""en"")"),"805")</f>
        <v>805</v>
      </c>
      <c r="E576" s="1" t="str">
        <f ca="1">IFERROR(__xludf.DUMMYFUNCTION("GOOGLETRANSLATE('대전도시공사_청년임대주택 현황_20240630'!E576,""ko"",""en"")"),"48.862")</f>
        <v>48.862</v>
      </c>
      <c r="F576" s="1" t="str">
        <f ca="1">IFERROR(__xludf.DUMMYFUNCTION("GOOGLETRANSLATE('대전도시공사_청년임대주택 현황_20240630'!F576,""ko"",""en"")"),"18.887")</f>
        <v>18.887</v>
      </c>
      <c r="G576" s="1" t="str">
        <f ca="1">IFERROR(__xludf.DUMMYFUNCTION("GOOGLETRANSLATE('대전도시공사_청년임대주택 현황_20240630'!G576,""ko"",""en"")"),"27.974")</f>
        <v>27.974</v>
      </c>
      <c r="H576" s="1" t="str">
        <f ca="1">IFERROR(__xludf.DUMMYFUNCTION("GOOGLETRANSLATE('대전도시공사_청년임대주택 현황_20240630'!H576,""ko"",""en"")"),"Youth Rental 2nd Place")</f>
        <v>Youth Rental 2nd Place</v>
      </c>
      <c r="I576" s="1" t="str">
        <f ca="1">IFERROR(__xludf.DUMMYFUNCTION("GOOGLETRANSLATE('대전도시공사_청년임대주택 현황_20240630'!I576,""ko"",""en"")"),"2000000")</f>
        <v>2000000</v>
      </c>
      <c r="J576" s="1" t="str">
        <f ca="1">IFERROR(__xludf.DUMMYFUNCTION("GOOGLETRANSLATE('대전도시공사_청년임대주택 현황_20240630'!J576,""ko"",""en"")"),"267400")</f>
        <v>267400</v>
      </c>
    </row>
    <row r="577" spans="1:10" ht="12.5" x14ac:dyDescent="0.25">
      <c r="A577" s="1" t="str">
        <f ca="1">IFERROR(__xludf.DUMMYFUNCTION("GOOGLETRANSLATE('대전도시공사_청년임대주택 현황_20240630'!A577,""ko"",""en"")"),"540-8 Bongmyeong-dong (Haenarae 2, youth rental)")</f>
        <v>540-8 Bongmyeong-dong (Haenarae 2, youth rental)</v>
      </c>
      <c r="B577" s="1" t="str">
        <f ca="1">IFERROR(__xludf.DUMMYFUNCTION("GOOGLETRANSLATE('대전도시공사_청년임대주택 현황_20240630'!B577,""ko"",""en"")"),"69")</f>
        <v>69</v>
      </c>
      <c r="C577" s="1" t="str">
        <f ca="1">IFERROR(__xludf.DUMMYFUNCTION("GOOGLETRANSLATE('대전도시공사_청년임대주택 현황_20240630'!C577,""ko"",""en"")"),"1")</f>
        <v>1</v>
      </c>
      <c r="D577" s="1" t="str">
        <f ca="1">IFERROR(__xludf.DUMMYFUNCTION("GOOGLETRANSLATE('대전도시공사_청년임대주택 현황_20240630'!D577,""ko"",""en"")"),"805")</f>
        <v>805</v>
      </c>
      <c r="E577" s="1" t="str">
        <f ca="1">IFERROR(__xludf.DUMMYFUNCTION("GOOGLETRANSLATE('대전도시공사_청년임대주택 현황_20240630'!E577,""ko"",""en"")"),"48.862")</f>
        <v>48.862</v>
      </c>
      <c r="F577" s="1" t="str">
        <f ca="1">IFERROR(__xludf.DUMMYFUNCTION("GOOGLETRANSLATE('대전도시공사_청년임대주택 현황_20240630'!F577,""ko"",""en"")"),"18.887")</f>
        <v>18.887</v>
      </c>
      <c r="G577" s="1" t="str">
        <f ca="1">IFERROR(__xludf.DUMMYFUNCTION("GOOGLETRANSLATE('대전도시공사_청년임대주택 현황_20240630'!G577,""ko"",""en"")"),"27.974")</f>
        <v>27.974</v>
      </c>
      <c r="H577" s="1" t="str">
        <f ca="1">IFERROR(__xludf.DUMMYFUNCTION("GOOGLETRANSLATE('대전도시공사_청년임대주택 현황_20240630'!H577,""ko"",""en"")"),"3rd place for youth rental")</f>
        <v>3rd place for youth rental</v>
      </c>
      <c r="I577" s="1" t="str">
        <f ca="1">IFERROR(__xludf.DUMMYFUNCTION("GOOGLETRANSLATE('대전도시공사_청년임대주택 현황_20240630'!I577,""ko"",""en"")"),"2000000")</f>
        <v>2000000</v>
      </c>
      <c r="J577" s="1" t="str">
        <f ca="1">IFERROR(__xludf.DUMMYFUNCTION("GOOGLETRANSLATE('대전도시공사_청년임대주택 현황_20240630'!J577,""ko"",""en"")"),"267400")</f>
        <v>267400</v>
      </c>
    </row>
    <row r="578" spans="1:10" ht="12.5" x14ac:dyDescent="0.25">
      <c r="A578" s="1" t="str">
        <f ca="1">IFERROR(__xludf.DUMMYFUNCTION("GOOGLETRANSLATE('대전도시공사_청년임대주택 현황_20240630'!A578,""ko"",""en"")"),"540-8 Bongmyeong-dong (Haenarae 2, youth rental)")</f>
        <v>540-8 Bongmyeong-dong (Haenarae 2, youth rental)</v>
      </c>
      <c r="B578" s="1" t="str">
        <f ca="1">IFERROR(__xludf.DUMMYFUNCTION("GOOGLETRANSLATE('대전도시공사_청년임대주택 현황_20240630'!B578,""ko"",""en"")"),"70")</f>
        <v>70</v>
      </c>
      <c r="C578" s="1" t="str">
        <f ca="1">IFERROR(__xludf.DUMMYFUNCTION("GOOGLETRANSLATE('대전도시공사_청년임대주택 현황_20240630'!C578,""ko"",""en"")"),"1")</f>
        <v>1</v>
      </c>
      <c r="D578" s="1" t="str">
        <f ca="1">IFERROR(__xludf.DUMMYFUNCTION("GOOGLETRANSLATE('대전도시공사_청년임대주택 현황_20240630'!D578,""ko"",""en"")"),"806")</f>
        <v>806</v>
      </c>
      <c r="E578" s="1" t="str">
        <f ca="1">IFERROR(__xludf.DUMMYFUNCTION("GOOGLETRANSLATE('대전도시공사_청년임대주택 현황_20240630'!E578,""ko"",""en"")"),"58.813")</f>
        <v>58.813</v>
      </c>
      <c r="F578" s="1" t="str">
        <f ca="1">IFERROR(__xludf.DUMMYFUNCTION("GOOGLETRANSLATE('대전도시공사_청년임대주택 현황_20240630'!F578,""ko"",""en"")"),"24.017")</f>
        <v>24.017</v>
      </c>
      <c r="G578" s="1" t="str">
        <f ca="1">IFERROR(__xludf.DUMMYFUNCTION("GOOGLETRANSLATE('대전도시공사_청년임대주택 현황_20240630'!G578,""ko"",""en"")"),"34.795")</f>
        <v>34.795</v>
      </c>
      <c r="H578" s="1" t="str">
        <f ca="1">IFERROR(__xludf.DUMMYFUNCTION("GOOGLETRANSLATE('대전도시공사_청년임대주택 현황_20240630'!H578,""ko"",""en"")"),"Beneficiary")</f>
        <v>Beneficiary</v>
      </c>
      <c r="I578" s="1" t="str">
        <f ca="1">IFERROR(__xludf.DUMMYFUNCTION("GOOGLETRANSLATE('대전도시공사_청년임대주택 현황_20240630'!I578,""ko"",""en"")"),"1000000")</f>
        <v>1000000</v>
      </c>
      <c r="J578" s="1" t="str">
        <f ca="1">IFERROR(__xludf.DUMMYFUNCTION("GOOGLETRANSLATE('대전도시공사_청년임대주택 현황_20240630'!J578,""ko"",""en"")"),"218000")</f>
        <v>218000</v>
      </c>
    </row>
    <row r="579" spans="1:10" ht="12.5" x14ac:dyDescent="0.25">
      <c r="A579" s="1" t="str">
        <f ca="1">IFERROR(__xludf.DUMMYFUNCTION("GOOGLETRANSLATE('대전도시공사_청년임대주택 현황_20240630'!A579,""ko"",""en"")"),"540-8 Bongmyeong-dong (Haenarae 2, youth rental)")</f>
        <v>540-8 Bongmyeong-dong (Haenarae 2, youth rental)</v>
      </c>
      <c r="B579" s="1" t="str">
        <f ca="1">IFERROR(__xludf.DUMMYFUNCTION("GOOGLETRANSLATE('대전도시공사_청년임대주택 현황_20240630'!B579,""ko"",""en"")"),"71")</f>
        <v>71</v>
      </c>
      <c r="C579" s="1" t="str">
        <f ca="1">IFERROR(__xludf.DUMMYFUNCTION("GOOGLETRANSLATE('대전도시공사_청년임대주택 현황_20240630'!C579,""ko"",""en"")"),"1")</f>
        <v>1</v>
      </c>
      <c r="D579" s="1" t="str">
        <f ca="1">IFERROR(__xludf.DUMMYFUNCTION("GOOGLETRANSLATE('대전도시공사_청년임대주택 현황_20240630'!D579,""ko"",""en"")"),"806")</f>
        <v>806</v>
      </c>
      <c r="E579" s="1" t="str">
        <f ca="1">IFERROR(__xludf.DUMMYFUNCTION("GOOGLETRANSLATE('대전도시공사_청년임대주택 현황_20240630'!E579,""ko"",""en"")"),"58.813")</f>
        <v>58.813</v>
      </c>
      <c r="F579" s="1" t="str">
        <f ca="1">IFERROR(__xludf.DUMMYFUNCTION("GOOGLETRANSLATE('대전도시공사_청년임대주택 현황_20240630'!F579,""ko"",""en"")"),"24.017")</f>
        <v>24.017</v>
      </c>
      <c r="G579" s="1" t="str">
        <f ca="1">IFERROR(__xludf.DUMMYFUNCTION("GOOGLETRANSLATE('대전도시공사_청년임대주택 현황_20240630'!G579,""ko"",""en"")"),"34.795")</f>
        <v>34.795</v>
      </c>
      <c r="H579" s="1" t="str">
        <f ca="1">IFERROR(__xludf.DUMMYFUNCTION("GOOGLETRANSLATE('대전도시공사_청년임대주택 현황_20240630'!H579,""ko"",""en"")"),"Youth Rental 2nd Place")</f>
        <v>Youth Rental 2nd Place</v>
      </c>
      <c r="I579" s="1" t="str">
        <f ca="1">IFERROR(__xludf.DUMMYFUNCTION("GOOGLETRANSLATE('대전도시공사_청년임대주택 현황_20240630'!I579,""ko"",""en"")"),"2000000")</f>
        <v>2000000</v>
      </c>
      <c r="J579" s="1" t="str">
        <f ca="1">IFERROR(__xludf.DUMMYFUNCTION("GOOGLETRANSLATE('대전도시공사_청년임대주택 현황_20240630'!J579,""ko"",""en"")"),"268400")</f>
        <v>268400</v>
      </c>
    </row>
    <row r="580" spans="1:10" ht="12.5" x14ac:dyDescent="0.25">
      <c r="A580" s="1" t="str">
        <f ca="1">IFERROR(__xludf.DUMMYFUNCTION("GOOGLETRANSLATE('대전도시공사_청년임대주택 현황_20240630'!A580,""ko"",""en"")"),"540-8 Bongmyeong-dong (Haenarae 2, youth rental)")</f>
        <v>540-8 Bongmyeong-dong (Haenarae 2, youth rental)</v>
      </c>
      <c r="B580" s="1" t="str">
        <f ca="1">IFERROR(__xludf.DUMMYFUNCTION("GOOGLETRANSLATE('대전도시공사_청년임대주택 현황_20240630'!B580,""ko"",""en"")"),"72")</f>
        <v>72</v>
      </c>
      <c r="C580" s="1" t="str">
        <f ca="1">IFERROR(__xludf.DUMMYFUNCTION("GOOGLETRANSLATE('대전도시공사_청년임대주택 현황_20240630'!C580,""ko"",""en"")"),"1")</f>
        <v>1</v>
      </c>
      <c r="D580" s="1" t="str">
        <f ca="1">IFERROR(__xludf.DUMMYFUNCTION("GOOGLETRANSLATE('대전도시공사_청년임대주택 현황_20240630'!D580,""ko"",""en"")"),"806")</f>
        <v>806</v>
      </c>
      <c r="E580" s="1" t="str">
        <f ca="1">IFERROR(__xludf.DUMMYFUNCTION("GOOGLETRANSLATE('대전도시공사_청년임대주택 현황_20240630'!E580,""ko"",""en"")"),"58.813")</f>
        <v>58.813</v>
      </c>
      <c r="F580" s="1" t="str">
        <f ca="1">IFERROR(__xludf.DUMMYFUNCTION("GOOGLETRANSLATE('대전도시공사_청년임대주택 현황_20240630'!F580,""ko"",""en"")"),"24.017")</f>
        <v>24.017</v>
      </c>
      <c r="G580" s="1" t="str">
        <f ca="1">IFERROR(__xludf.DUMMYFUNCTION("GOOGLETRANSLATE('대전도시공사_청년임대주택 현황_20240630'!G580,""ko"",""en"")"),"34.795")</f>
        <v>34.795</v>
      </c>
      <c r="H580" s="1" t="str">
        <f ca="1">IFERROR(__xludf.DUMMYFUNCTION("GOOGLETRANSLATE('대전도시공사_청년임대주택 현황_20240630'!H580,""ko"",""en"")"),"3rd place for youth rental")</f>
        <v>3rd place for youth rental</v>
      </c>
      <c r="I580" s="1" t="str">
        <f ca="1">IFERROR(__xludf.DUMMYFUNCTION("GOOGLETRANSLATE('대전도시공사_청년임대주택 현황_20240630'!I580,""ko"",""en"")"),"2000000")</f>
        <v>2000000</v>
      </c>
      <c r="J580" s="1" t="str">
        <f ca="1">IFERROR(__xludf.DUMMYFUNCTION("GOOGLETRANSLATE('대전도시공사_청년임대주택 현황_20240630'!J580,""ko"",""en"")"),"268400")</f>
        <v>268400</v>
      </c>
    </row>
    <row r="581" spans="1:10" ht="12.5" x14ac:dyDescent="0.25">
      <c r="A581" s="1" t="str">
        <f ca="1">IFERROR(__xludf.DUMMYFUNCTION("GOOGLETRANSLATE('대전도시공사_청년임대주택 현황_20240630'!A581,""ko"",""en"")"),"540-8 Bongmyeong-dong (Haenarae 2, youth rental)")</f>
        <v>540-8 Bongmyeong-dong (Haenarae 2, youth rental)</v>
      </c>
      <c r="B581" s="1" t="str">
        <f ca="1">IFERROR(__xludf.DUMMYFUNCTION("GOOGLETRANSLATE('대전도시공사_청년임대주택 현황_20240630'!B581,""ko"",""en"")"),"73")</f>
        <v>73</v>
      </c>
      <c r="C581" s="1" t="str">
        <f ca="1">IFERROR(__xludf.DUMMYFUNCTION("GOOGLETRANSLATE('대전도시공사_청년임대주택 현황_20240630'!C581,""ko"",""en"")"),"1")</f>
        <v>1</v>
      </c>
      <c r="D581" s="1" t="str">
        <f ca="1">IFERROR(__xludf.DUMMYFUNCTION("GOOGLETRANSLATE('대전도시공사_청년임대주택 현황_20240630'!D581,""ko"",""en"")"),"807")</f>
        <v>807</v>
      </c>
      <c r="E581" s="1" t="str">
        <f ca="1">IFERROR(__xludf.DUMMYFUNCTION("GOOGLETRANSLATE('대전도시공사_청년임대주택 현황_20240630'!E581,""ko"",""en"")"),"58.798")</f>
        <v>58.798</v>
      </c>
      <c r="F581" s="1" t="str">
        <f ca="1">IFERROR(__xludf.DUMMYFUNCTION("GOOGLETRANSLATE('대전도시공사_청년임대주택 현황_20240630'!F581,""ko"",""en"")"),"24.279")</f>
        <v>24.279</v>
      </c>
      <c r="G581" s="1" t="str">
        <f ca="1">IFERROR(__xludf.DUMMYFUNCTION("GOOGLETRANSLATE('대전도시공사_청년임대주택 현황_20240630'!G581,""ko"",""en"")"),"34.519")</f>
        <v>34.519</v>
      </c>
      <c r="H581" s="1" t="str">
        <f ca="1">IFERROR(__xludf.DUMMYFUNCTION("GOOGLETRANSLATE('대전도시공사_청년임대주택 현황_20240630'!H581,""ko"",""en"")"),"Beneficiary")</f>
        <v>Beneficiary</v>
      </c>
      <c r="I581" s="1" t="str">
        <f ca="1">IFERROR(__xludf.DUMMYFUNCTION("GOOGLETRANSLATE('대전도시공사_청년임대주택 현황_20240630'!I581,""ko"",""en"")"),"1000000")</f>
        <v>1000000</v>
      </c>
      <c r="J581" s="1" t="str">
        <f ca="1">IFERROR(__xludf.DUMMYFUNCTION("GOOGLETRANSLATE('대전도시공사_청년임대주택 현황_20240630'!J581,""ko"",""en"")"),"220400")</f>
        <v>220400</v>
      </c>
    </row>
    <row r="582" spans="1:10" ht="12.5" x14ac:dyDescent="0.25">
      <c r="A582" s="1" t="str">
        <f ca="1">IFERROR(__xludf.DUMMYFUNCTION("GOOGLETRANSLATE('대전도시공사_청년임대주택 현황_20240630'!A582,""ko"",""en"")"),"540-8 Bongmyeong-dong (Haenarae 2, youth rental)")</f>
        <v>540-8 Bongmyeong-dong (Haenarae 2, youth rental)</v>
      </c>
      <c r="B582" s="1" t="str">
        <f ca="1">IFERROR(__xludf.DUMMYFUNCTION("GOOGLETRANSLATE('대전도시공사_청년임대주택 현황_20240630'!B582,""ko"",""en"")"),"74")</f>
        <v>74</v>
      </c>
      <c r="C582" s="1" t="str">
        <f ca="1">IFERROR(__xludf.DUMMYFUNCTION("GOOGLETRANSLATE('대전도시공사_청년임대주택 현황_20240630'!C582,""ko"",""en"")"),"1")</f>
        <v>1</v>
      </c>
      <c r="D582" s="1" t="str">
        <f ca="1">IFERROR(__xludf.DUMMYFUNCTION("GOOGLETRANSLATE('대전도시공사_청년임대주택 현황_20240630'!D582,""ko"",""en"")"),"807")</f>
        <v>807</v>
      </c>
      <c r="E582" s="1" t="str">
        <f ca="1">IFERROR(__xludf.DUMMYFUNCTION("GOOGLETRANSLATE('대전도시공사_청년임대주택 현황_20240630'!E582,""ko"",""en"")"),"58.798")</f>
        <v>58.798</v>
      </c>
      <c r="F582" s="1" t="str">
        <f ca="1">IFERROR(__xludf.DUMMYFUNCTION("GOOGLETRANSLATE('대전도시공사_청년임대주택 현황_20240630'!F582,""ko"",""en"")"),"24.279")</f>
        <v>24.279</v>
      </c>
      <c r="G582" s="1" t="str">
        <f ca="1">IFERROR(__xludf.DUMMYFUNCTION("GOOGLETRANSLATE('대전도시공사_청년임대주택 현황_20240630'!G582,""ko"",""en"")"),"34.519")</f>
        <v>34.519</v>
      </c>
      <c r="H582" s="1" t="str">
        <f ca="1">IFERROR(__xludf.DUMMYFUNCTION("GOOGLETRANSLATE('대전도시공사_청년임대주택 현황_20240630'!H582,""ko"",""en"")"),"Youth Rental 2nd Place")</f>
        <v>Youth Rental 2nd Place</v>
      </c>
      <c r="I582" s="1" t="str">
        <f ca="1">IFERROR(__xludf.DUMMYFUNCTION("GOOGLETRANSLATE('대전도시공사_청년임대주택 현황_20240630'!I582,""ko"",""en"")"),"2000000")</f>
        <v>2000000</v>
      </c>
      <c r="J582" s="1" t="str">
        <f ca="1">IFERROR(__xludf.DUMMYFUNCTION("GOOGLETRANSLATE('대전도시공사_청년임대주택 현황_20240630'!J582,""ko"",""en"")"),"271400")</f>
        <v>271400</v>
      </c>
    </row>
    <row r="583" spans="1:10" ht="12.5" x14ac:dyDescent="0.25">
      <c r="A583" s="1" t="str">
        <f ca="1">IFERROR(__xludf.DUMMYFUNCTION("GOOGLETRANSLATE('대전도시공사_청년임대주택 현황_20240630'!A583,""ko"",""en"")"),"540-8 Bongmyeong-dong (Haenarae 2, youth rental)")</f>
        <v>540-8 Bongmyeong-dong (Haenarae 2, youth rental)</v>
      </c>
      <c r="B583" s="1" t="str">
        <f ca="1">IFERROR(__xludf.DUMMYFUNCTION("GOOGLETRANSLATE('대전도시공사_청년임대주택 현황_20240630'!B583,""ko"",""en"")"),"75")</f>
        <v>75</v>
      </c>
      <c r="C583" s="1" t="str">
        <f ca="1">IFERROR(__xludf.DUMMYFUNCTION("GOOGLETRANSLATE('대전도시공사_청년임대주택 현황_20240630'!C583,""ko"",""en"")"),"1")</f>
        <v>1</v>
      </c>
      <c r="D583" s="1" t="str">
        <f ca="1">IFERROR(__xludf.DUMMYFUNCTION("GOOGLETRANSLATE('대전도시공사_청년임대주택 현황_20240630'!D583,""ko"",""en"")"),"807")</f>
        <v>807</v>
      </c>
      <c r="E583" s="1" t="str">
        <f ca="1">IFERROR(__xludf.DUMMYFUNCTION("GOOGLETRANSLATE('대전도시공사_청년임대주택 현황_20240630'!E583,""ko"",""en"")"),"58.798")</f>
        <v>58.798</v>
      </c>
      <c r="F583" s="1" t="str">
        <f ca="1">IFERROR(__xludf.DUMMYFUNCTION("GOOGLETRANSLATE('대전도시공사_청년임대주택 현황_20240630'!F583,""ko"",""en"")"),"24.279")</f>
        <v>24.279</v>
      </c>
      <c r="G583" s="1" t="str">
        <f ca="1">IFERROR(__xludf.DUMMYFUNCTION("GOOGLETRANSLATE('대전도시공사_청년임대주택 현황_20240630'!G583,""ko"",""en"")"),"34.519")</f>
        <v>34.519</v>
      </c>
      <c r="H583" s="1" t="str">
        <f ca="1">IFERROR(__xludf.DUMMYFUNCTION("GOOGLETRANSLATE('대전도시공사_청년임대주택 현황_20240630'!H583,""ko"",""en"")"),"3rd place for youth rental")</f>
        <v>3rd place for youth rental</v>
      </c>
      <c r="I583" s="1" t="str">
        <f ca="1">IFERROR(__xludf.DUMMYFUNCTION("GOOGLETRANSLATE('대전도시공사_청년임대주택 현황_20240630'!I583,""ko"",""en"")"),"2000000")</f>
        <v>2000000</v>
      </c>
      <c r="J583" s="1" t="str">
        <f ca="1">IFERROR(__xludf.DUMMYFUNCTION("GOOGLETRANSLATE('대전도시공사_청년임대주택 현황_20240630'!J583,""ko"",""en"")"),"271400")</f>
        <v>271400</v>
      </c>
    </row>
    <row r="584" spans="1:10" ht="12.5" x14ac:dyDescent="0.25">
      <c r="A584" s="1" t="str">
        <f ca="1">IFERROR(__xludf.DUMMYFUNCTION("GOOGLETRANSLATE('대전도시공사_청년임대주택 현황_20240630'!A584,""ko"",""en"")"),"540-8 Bongmyeong-dong (Haenarae 2, youth rental)")</f>
        <v>540-8 Bongmyeong-dong (Haenarae 2, youth rental)</v>
      </c>
      <c r="B584" s="1" t="str">
        <f ca="1">IFERROR(__xludf.DUMMYFUNCTION("GOOGLETRANSLATE('대전도시공사_청년임대주택 현황_20240630'!B584,""ko"",""en"")"),"76")</f>
        <v>76</v>
      </c>
      <c r="C584" s="1" t="str">
        <f ca="1">IFERROR(__xludf.DUMMYFUNCTION("GOOGLETRANSLATE('대전도시공사_청년임대주택 현황_20240630'!C584,""ko"",""en"")"),"1")</f>
        <v>1</v>
      </c>
      <c r="D584" s="1" t="str">
        <f ca="1">IFERROR(__xludf.DUMMYFUNCTION("GOOGLETRANSLATE('대전도시공사_청년임대주택 현황_20240630'!D584,""ko"",""en"")"),"808")</f>
        <v>808</v>
      </c>
      <c r="E584" s="1" t="str">
        <f ca="1">IFERROR(__xludf.DUMMYFUNCTION("GOOGLETRANSLATE('대전도시공사_청년임대주택 현황_20240630'!E584,""ko"",""en"")"),"58.14")</f>
        <v>58.14</v>
      </c>
      <c r="F584" s="1" t="str">
        <f ca="1">IFERROR(__xludf.DUMMYFUNCTION("GOOGLETRANSLATE('대전도시공사_청년임대주택 현황_20240630'!F584,""ko"",""en"")"),"23.78")</f>
        <v>23.78</v>
      </c>
      <c r="G584" s="1" t="str">
        <f ca="1">IFERROR(__xludf.DUMMYFUNCTION("GOOGLETRANSLATE('대전도시공사_청년임대주택 현황_20240630'!G584,""ko"",""en"")"),"34.36")</f>
        <v>34.36</v>
      </c>
      <c r="H584" s="1" t="str">
        <f ca="1">IFERROR(__xludf.DUMMYFUNCTION("GOOGLETRANSLATE('대전도시공사_청년임대주택 현황_20240630'!H584,""ko"",""en"")"),"Beneficiary")</f>
        <v>Beneficiary</v>
      </c>
      <c r="I584" s="1" t="str">
        <f ca="1">IFERROR(__xludf.DUMMYFUNCTION("GOOGLETRANSLATE('대전도시공사_청년임대주택 현황_20240630'!I584,""ko"",""en"")"),"1000000")</f>
        <v>1000000</v>
      </c>
      <c r="J584" s="1" t="str">
        <f ca="1">IFERROR(__xludf.DUMMYFUNCTION("GOOGLETRANSLATE('대전도시공사_청년임대주택 현황_20240630'!J584,""ko"",""en"")"),"215800")</f>
        <v>215800</v>
      </c>
    </row>
    <row r="585" spans="1:10" ht="12.5" x14ac:dyDescent="0.25">
      <c r="A585" s="1" t="str">
        <f ca="1">IFERROR(__xludf.DUMMYFUNCTION("GOOGLETRANSLATE('대전도시공사_청년임대주택 현황_20240630'!A585,""ko"",""en"")"),"540-8 Bongmyeong-dong (Haenarae 2, youth rental)")</f>
        <v>540-8 Bongmyeong-dong (Haenarae 2, youth rental)</v>
      </c>
      <c r="B585" s="1" t="str">
        <f ca="1">IFERROR(__xludf.DUMMYFUNCTION("GOOGLETRANSLATE('대전도시공사_청년임대주택 현황_20240630'!B585,""ko"",""en"")"),"77")</f>
        <v>77</v>
      </c>
      <c r="C585" s="1" t="str">
        <f ca="1">IFERROR(__xludf.DUMMYFUNCTION("GOOGLETRANSLATE('대전도시공사_청년임대주택 현황_20240630'!C585,""ko"",""en"")"),"1")</f>
        <v>1</v>
      </c>
      <c r="D585" s="1" t="str">
        <f ca="1">IFERROR(__xludf.DUMMYFUNCTION("GOOGLETRANSLATE('대전도시공사_청년임대주택 현황_20240630'!D585,""ko"",""en"")"),"808")</f>
        <v>808</v>
      </c>
      <c r="E585" s="1" t="str">
        <f ca="1">IFERROR(__xludf.DUMMYFUNCTION("GOOGLETRANSLATE('대전도시공사_청년임대주택 현황_20240630'!E585,""ko"",""en"")"),"58.14")</f>
        <v>58.14</v>
      </c>
      <c r="F585" s="1" t="str">
        <f ca="1">IFERROR(__xludf.DUMMYFUNCTION("GOOGLETRANSLATE('대전도시공사_청년임대주택 현황_20240630'!F585,""ko"",""en"")"),"23.78")</f>
        <v>23.78</v>
      </c>
      <c r="G585" s="1" t="str">
        <f ca="1">IFERROR(__xludf.DUMMYFUNCTION("GOOGLETRANSLATE('대전도시공사_청년임대주택 현황_20240630'!G585,""ko"",""en"")"),"34.36")</f>
        <v>34.36</v>
      </c>
      <c r="H585" s="1" t="str">
        <f ca="1">IFERROR(__xludf.DUMMYFUNCTION("GOOGLETRANSLATE('대전도시공사_청년임대주택 현황_20240630'!H585,""ko"",""en"")"),"Youth Rental 2nd Place")</f>
        <v>Youth Rental 2nd Place</v>
      </c>
      <c r="I585" s="1" t="str">
        <f ca="1">IFERROR(__xludf.DUMMYFUNCTION("GOOGLETRANSLATE('대전도시공사_청년임대주택 현황_20240630'!I585,""ko"",""en"")"),"2000000")</f>
        <v>2000000</v>
      </c>
      <c r="J585" s="1" t="str">
        <f ca="1">IFERROR(__xludf.DUMMYFUNCTION("GOOGLETRANSLATE('대전도시공사_청년임대주택 현황_20240630'!J585,""ko"",""en"")"),"265600")</f>
        <v>265600</v>
      </c>
    </row>
    <row r="586" spans="1:10" ht="12.5" x14ac:dyDescent="0.25">
      <c r="A586" s="1" t="str">
        <f ca="1">IFERROR(__xludf.DUMMYFUNCTION("GOOGLETRANSLATE('대전도시공사_청년임대주택 현황_20240630'!A586,""ko"",""en"")"),"540-8 Bongmyeong-dong (Haenarae 2, youth rental)")</f>
        <v>540-8 Bongmyeong-dong (Haenarae 2, youth rental)</v>
      </c>
      <c r="B586" s="1" t="str">
        <f ca="1">IFERROR(__xludf.DUMMYFUNCTION("GOOGLETRANSLATE('대전도시공사_청년임대주택 현황_20240630'!B586,""ko"",""en"")"),"78")</f>
        <v>78</v>
      </c>
      <c r="C586" s="1" t="str">
        <f ca="1">IFERROR(__xludf.DUMMYFUNCTION("GOOGLETRANSLATE('대전도시공사_청년임대주택 현황_20240630'!C586,""ko"",""en"")"),"1")</f>
        <v>1</v>
      </c>
      <c r="D586" s="1" t="str">
        <f ca="1">IFERROR(__xludf.DUMMYFUNCTION("GOOGLETRANSLATE('대전도시공사_청년임대주택 현황_20240630'!D586,""ko"",""en"")"),"808")</f>
        <v>808</v>
      </c>
      <c r="E586" s="1" t="str">
        <f ca="1">IFERROR(__xludf.DUMMYFUNCTION("GOOGLETRANSLATE('대전도시공사_청년임대주택 현황_20240630'!E586,""ko"",""en"")"),"58.14")</f>
        <v>58.14</v>
      </c>
      <c r="F586" s="1" t="str">
        <f ca="1">IFERROR(__xludf.DUMMYFUNCTION("GOOGLETRANSLATE('대전도시공사_청년임대주택 현황_20240630'!F586,""ko"",""en"")"),"23.78")</f>
        <v>23.78</v>
      </c>
      <c r="G586" s="1" t="str">
        <f ca="1">IFERROR(__xludf.DUMMYFUNCTION("GOOGLETRANSLATE('대전도시공사_청년임대주택 현황_20240630'!G586,""ko"",""en"")"),"34.36")</f>
        <v>34.36</v>
      </c>
      <c r="H586" s="1" t="str">
        <f ca="1">IFERROR(__xludf.DUMMYFUNCTION("GOOGLETRANSLATE('대전도시공사_청년임대주택 현황_20240630'!H586,""ko"",""en"")"),"3rd place for youth rental")</f>
        <v>3rd place for youth rental</v>
      </c>
      <c r="I586" s="1" t="str">
        <f ca="1">IFERROR(__xludf.DUMMYFUNCTION("GOOGLETRANSLATE('대전도시공사_청년임대주택 현황_20240630'!I586,""ko"",""en"")"),"2000000")</f>
        <v>2000000</v>
      </c>
      <c r="J586" s="1" t="str">
        <f ca="1">IFERROR(__xludf.DUMMYFUNCTION("GOOGLETRANSLATE('대전도시공사_청년임대주택 현황_20240630'!J586,""ko"",""en"")"),"265600")</f>
        <v>265600</v>
      </c>
    </row>
    <row r="587" spans="1:10" ht="12.5" x14ac:dyDescent="0.25">
      <c r="A587" s="1" t="str">
        <f ca="1">IFERROR(__xludf.DUMMYFUNCTION("GOOGLETRANSLATE('대전도시공사_청년임대주택 현황_20240630'!A587,""ko"",""en"")"),"540-8 Bongmyeong-dong (Haenarae 2, youth rental)")</f>
        <v>540-8 Bongmyeong-dong (Haenarae 2, youth rental)</v>
      </c>
      <c r="B587" s="1" t="str">
        <f ca="1">IFERROR(__xludf.DUMMYFUNCTION("GOOGLETRANSLATE('대전도시공사_청년임대주택 현황_20240630'!B587,""ko"",""en"")"),"88")</f>
        <v>88</v>
      </c>
      <c r="C587" s="1" t="str">
        <f ca="1">IFERROR(__xludf.DUMMYFUNCTION("GOOGLETRANSLATE('대전도시공사_청년임대주택 현황_20240630'!C587,""ko"",""en"")"),"1")</f>
        <v>1</v>
      </c>
      <c r="D587" s="1" t="str">
        <f ca="1">IFERROR(__xludf.DUMMYFUNCTION("GOOGLETRANSLATE('대전도시공사_청년임대주택 현황_20240630'!D587,""ko"",""en"")"),"903")</f>
        <v>903</v>
      </c>
      <c r="E587" s="1" t="str">
        <f ca="1">IFERROR(__xludf.DUMMYFUNCTION("GOOGLETRANSLATE('대전도시공사_청년임대주택 현황_20240630'!E587,""ko"",""en"")"),"58.798")</f>
        <v>58.798</v>
      </c>
      <c r="F587" s="1" t="str">
        <f ca="1">IFERROR(__xludf.DUMMYFUNCTION("GOOGLETRANSLATE('대전도시공사_청년임대주택 현황_20240630'!F587,""ko"",""en"")"),"24.279")</f>
        <v>24.279</v>
      </c>
      <c r="G587" s="1" t="str">
        <f ca="1">IFERROR(__xludf.DUMMYFUNCTION("GOOGLETRANSLATE('대전도시공사_청년임대주택 현황_20240630'!G587,""ko"",""en"")"),"34.519")</f>
        <v>34.519</v>
      </c>
      <c r="H587" s="1" t="str">
        <f ca="1">IFERROR(__xludf.DUMMYFUNCTION("GOOGLETRANSLATE('대전도시공사_청년임대주택 현황_20240630'!H587,""ko"",""en"")"),"Beneficiary")</f>
        <v>Beneficiary</v>
      </c>
      <c r="I587" s="1" t="str">
        <f ca="1">IFERROR(__xludf.DUMMYFUNCTION("GOOGLETRANSLATE('대전도시공사_청년임대주택 현황_20240630'!I587,""ko"",""en"")"),"1000000")</f>
        <v>1000000</v>
      </c>
      <c r="J587" s="1" t="str">
        <f ca="1">IFERROR(__xludf.DUMMYFUNCTION("GOOGLETRANSLATE('대전도시공사_청년임대주택 현황_20240630'!J587,""ko"",""en"")"),"217900")</f>
        <v>217900</v>
      </c>
    </row>
    <row r="588" spans="1:10" ht="12.5" x14ac:dyDescent="0.25">
      <c r="A588" s="1" t="str">
        <f ca="1">IFERROR(__xludf.DUMMYFUNCTION("GOOGLETRANSLATE('대전도시공사_청년임대주택 현황_20240630'!A588,""ko"",""en"")"),"540-8 Bongmyeong-dong (Haenarae 2, youth rental)")</f>
        <v>540-8 Bongmyeong-dong (Haenarae 2, youth rental)</v>
      </c>
      <c r="B588" s="1" t="str">
        <f ca="1">IFERROR(__xludf.DUMMYFUNCTION("GOOGLETRANSLATE('대전도시공사_청년임대주택 현황_20240630'!B588,""ko"",""en"")"),"89")</f>
        <v>89</v>
      </c>
      <c r="C588" s="1" t="str">
        <f ca="1">IFERROR(__xludf.DUMMYFUNCTION("GOOGLETRANSLATE('대전도시공사_청년임대주택 현황_20240630'!C588,""ko"",""en"")"),"1")</f>
        <v>1</v>
      </c>
      <c r="D588" s="1" t="str">
        <f ca="1">IFERROR(__xludf.DUMMYFUNCTION("GOOGLETRANSLATE('대전도시공사_청년임대주택 현황_20240630'!D588,""ko"",""en"")"),"903")</f>
        <v>903</v>
      </c>
      <c r="E588" s="1" t="str">
        <f ca="1">IFERROR(__xludf.DUMMYFUNCTION("GOOGLETRANSLATE('대전도시공사_청년임대주택 현황_20240630'!E588,""ko"",""en"")"),"58.798")</f>
        <v>58.798</v>
      </c>
      <c r="F588" s="1" t="str">
        <f ca="1">IFERROR(__xludf.DUMMYFUNCTION("GOOGLETRANSLATE('대전도시공사_청년임대주택 현황_20240630'!F588,""ko"",""en"")"),"24.279")</f>
        <v>24.279</v>
      </c>
      <c r="G588" s="1" t="str">
        <f ca="1">IFERROR(__xludf.DUMMYFUNCTION("GOOGLETRANSLATE('대전도시공사_청년임대주택 현황_20240630'!G588,""ko"",""en"")"),"34.519")</f>
        <v>34.519</v>
      </c>
      <c r="H588" s="1" t="str">
        <f ca="1">IFERROR(__xludf.DUMMYFUNCTION("GOOGLETRANSLATE('대전도시공사_청년임대주택 현황_20240630'!H588,""ko"",""en"")"),"Youth Rental 2nd Place")</f>
        <v>Youth Rental 2nd Place</v>
      </c>
      <c r="I588" s="1" t="str">
        <f ca="1">IFERROR(__xludf.DUMMYFUNCTION("GOOGLETRANSLATE('대전도시공사_청년임대주택 현황_20240630'!I588,""ko"",""en"")"),"2000000")</f>
        <v>2000000</v>
      </c>
      <c r="J588" s="1" t="str">
        <f ca="1">IFERROR(__xludf.DUMMYFUNCTION("GOOGLETRANSLATE('대전도시공사_청년임대주택 현황_20240630'!J588,""ko"",""en"")"),"268200")</f>
        <v>268200</v>
      </c>
    </row>
    <row r="589" spans="1:10" ht="12.5" x14ac:dyDescent="0.25">
      <c r="A589" s="1" t="str">
        <f ca="1">IFERROR(__xludf.DUMMYFUNCTION("GOOGLETRANSLATE('대전도시공사_청년임대주택 현황_20240630'!A589,""ko"",""en"")"),"540-8 Bongmyeong-dong (Haenarae 2, youth rental)")</f>
        <v>540-8 Bongmyeong-dong (Haenarae 2, youth rental)</v>
      </c>
      <c r="B589" s="1" t="str">
        <f ca="1">IFERROR(__xludf.DUMMYFUNCTION("GOOGLETRANSLATE('대전도시공사_청년임대주택 현황_20240630'!B589,""ko"",""en"")"),"90")</f>
        <v>90</v>
      </c>
      <c r="C589" s="1" t="str">
        <f ca="1">IFERROR(__xludf.DUMMYFUNCTION("GOOGLETRANSLATE('대전도시공사_청년임대주택 현황_20240630'!C589,""ko"",""en"")"),"1")</f>
        <v>1</v>
      </c>
      <c r="D589" s="1" t="str">
        <f ca="1">IFERROR(__xludf.DUMMYFUNCTION("GOOGLETRANSLATE('대전도시공사_청년임대주택 현황_20240630'!D589,""ko"",""en"")"),"903")</f>
        <v>903</v>
      </c>
      <c r="E589" s="1" t="str">
        <f ca="1">IFERROR(__xludf.DUMMYFUNCTION("GOOGLETRANSLATE('대전도시공사_청년임대주택 현황_20240630'!E589,""ko"",""en"")"),"58.798")</f>
        <v>58.798</v>
      </c>
      <c r="F589" s="1" t="str">
        <f ca="1">IFERROR(__xludf.DUMMYFUNCTION("GOOGLETRANSLATE('대전도시공사_청년임대주택 현황_20240630'!F589,""ko"",""en"")"),"24.279")</f>
        <v>24.279</v>
      </c>
      <c r="G589" s="1" t="str">
        <f ca="1">IFERROR(__xludf.DUMMYFUNCTION("GOOGLETRANSLATE('대전도시공사_청년임대주택 현황_20240630'!G589,""ko"",""en"")"),"34.519")</f>
        <v>34.519</v>
      </c>
      <c r="H589" s="1" t="str">
        <f ca="1">IFERROR(__xludf.DUMMYFUNCTION("GOOGLETRANSLATE('대전도시공사_청년임대주택 현황_20240630'!H589,""ko"",""en"")"),"3rd place for youth rental")</f>
        <v>3rd place for youth rental</v>
      </c>
      <c r="I589" s="1" t="str">
        <f ca="1">IFERROR(__xludf.DUMMYFUNCTION("GOOGLETRANSLATE('대전도시공사_청년임대주택 현황_20240630'!I589,""ko"",""en"")"),"2000000")</f>
        <v>2000000</v>
      </c>
      <c r="J589" s="1" t="str">
        <f ca="1">IFERROR(__xludf.DUMMYFUNCTION("GOOGLETRANSLATE('대전도시공사_청년임대주택 현황_20240630'!J589,""ko"",""en"")"),"268200")</f>
        <v>268200</v>
      </c>
    </row>
    <row r="590" spans="1:10" ht="12.5" x14ac:dyDescent="0.25">
      <c r="A590" s="1" t="str">
        <f ca="1">IFERROR(__xludf.DUMMYFUNCTION("GOOGLETRANSLATE('대전도시공사_청년임대주택 현황_20240630'!A590,""ko"",""en"")"),"540-8 Bongmyeong-dong (Haenarae 2, youth rental)")</f>
        <v>540-8 Bongmyeong-dong (Haenarae 2, youth rental)</v>
      </c>
      <c r="B590" s="1" t="str">
        <f ca="1">IFERROR(__xludf.DUMMYFUNCTION("GOOGLETRANSLATE('대전도시공사_청년임대주택 현황_20240630'!B590,""ko"",""en"")"),"91")</f>
        <v>91</v>
      </c>
      <c r="C590" s="1" t="str">
        <f ca="1">IFERROR(__xludf.DUMMYFUNCTION("GOOGLETRANSLATE('대전도시공사_청년임대주택 현황_20240630'!C590,""ko"",""en"")"),"1")</f>
        <v>1</v>
      </c>
      <c r="D590" s="1" t="str">
        <f ca="1">IFERROR(__xludf.DUMMYFUNCTION("GOOGLETRANSLATE('대전도시공사_청년임대주택 현황_20240630'!D590,""ko"",""en"")"),"904")</f>
        <v>904</v>
      </c>
      <c r="E590" s="1" t="str">
        <f ca="1">IFERROR(__xludf.DUMMYFUNCTION("GOOGLETRANSLATE('대전도시공사_청년임대주택 현황_20240630'!E590,""ko"",""en"")"),"58.798")</f>
        <v>58.798</v>
      </c>
      <c r="F590" s="1" t="str">
        <f ca="1">IFERROR(__xludf.DUMMYFUNCTION("GOOGLETRANSLATE('대전도시공사_청년임대주택 현황_20240630'!F590,""ko"",""en"")"),"24.279")</f>
        <v>24.279</v>
      </c>
      <c r="G590" s="1" t="str">
        <f ca="1">IFERROR(__xludf.DUMMYFUNCTION("GOOGLETRANSLATE('대전도시공사_청년임대주택 현황_20240630'!G590,""ko"",""en"")"),"34.519")</f>
        <v>34.519</v>
      </c>
      <c r="H590" s="1" t="str">
        <f ca="1">IFERROR(__xludf.DUMMYFUNCTION("GOOGLETRANSLATE('대전도시공사_청년임대주택 현황_20240630'!H590,""ko"",""en"")"),"Youth Rent 1st Place")</f>
        <v>Youth Rent 1st Place</v>
      </c>
      <c r="I590" s="1" t="str">
        <f ca="1">IFERROR(__xludf.DUMMYFUNCTION("GOOGLETRANSLATE('대전도시공사_청년임대주택 현황_20240630'!I590,""ko"",""en"")"),"1000000")</f>
        <v>1000000</v>
      </c>
      <c r="J590" s="1" t="str">
        <f ca="1">IFERROR(__xludf.DUMMYFUNCTION("GOOGLETRANSLATE('대전도시공사_청년임대주택 현황_20240630'!J590,""ko"",""en"")"),"217900")</f>
        <v>217900</v>
      </c>
    </row>
    <row r="591" spans="1:10" ht="12.5" x14ac:dyDescent="0.25">
      <c r="A591" s="1" t="str">
        <f ca="1">IFERROR(__xludf.DUMMYFUNCTION("GOOGLETRANSLATE('대전도시공사_청년임대주택 현황_20240630'!A591,""ko"",""en"")"),"540-8 Bongmyeong-dong (Haenarae 2, youth rental)")</f>
        <v>540-8 Bongmyeong-dong (Haenarae 2, youth rental)</v>
      </c>
      <c r="B591" s="1" t="str">
        <f ca="1">IFERROR(__xludf.DUMMYFUNCTION("GOOGLETRANSLATE('대전도시공사_청년임대주택 현황_20240630'!B591,""ko"",""en"")"),"92")</f>
        <v>92</v>
      </c>
      <c r="C591" s="1" t="str">
        <f ca="1">IFERROR(__xludf.DUMMYFUNCTION("GOOGLETRANSLATE('대전도시공사_청년임대주택 현황_20240630'!C591,""ko"",""en"")"),"1")</f>
        <v>1</v>
      </c>
      <c r="D591" s="1" t="str">
        <f ca="1">IFERROR(__xludf.DUMMYFUNCTION("GOOGLETRANSLATE('대전도시공사_청년임대주택 현황_20240630'!D591,""ko"",""en"")"),"904")</f>
        <v>904</v>
      </c>
      <c r="E591" s="1" t="str">
        <f ca="1">IFERROR(__xludf.DUMMYFUNCTION("GOOGLETRANSLATE('대전도시공사_청년임대주택 현황_20240630'!E591,""ko"",""en"")"),"58.798")</f>
        <v>58.798</v>
      </c>
      <c r="F591" s="1" t="str">
        <f ca="1">IFERROR(__xludf.DUMMYFUNCTION("GOOGLETRANSLATE('대전도시공사_청년임대주택 현황_20240630'!F591,""ko"",""en"")"),"24.279")</f>
        <v>24.279</v>
      </c>
      <c r="G591" s="1" t="str">
        <f ca="1">IFERROR(__xludf.DUMMYFUNCTION("GOOGLETRANSLATE('대전도시공사_청년임대주택 현황_20240630'!G591,""ko"",""en"")"),"34.519")</f>
        <v>34.519</v>
      </c>
      <c r="H591" s="1" t="str">
        <f ca="1">IFERROR(__xludf.DUMMYFUNCTION("GOOGLETRANSLATE('대전도시공사_청년임대주택 현황_20240630'!H591,""ko"",""en"")"),"Youth Rental 2nd Place")</f>
        <v>Youth Rental 2nd Place</v>
      </c>
      <c r="I591" s="1" t="str">
        <f ca="1">IFERROR(__xludf.DUMMYFUNCTION("GOOGLETRANSLATE('대전도시공사_청년임대주택 현황_20240630'!I591,""ko"",""en"")"),"2000000")</f>
        <v>2000000</v>
      </c>
      <c r="J591" s="1" t="str">
        <f ca="1">IFERROR(__xludf.DUMMYFUNCTION("GOOGLETRANSLATE('대전도시공사_청년임대주택 현황_20240630'!J591,""ko"",""en"")"),"268200")</f>
        <v>268200</v>
      </c>
    </row>
    <row r="592" spans="1:10" ht="12.5" x14ac:dyDescent="0.25">
      <c r="A592" s="1" t="str">
        <f ca="1">IFERROR(__xludf.DUMMYFUNCTION("GOOGLETRANSLATE('대전도시공사_청년임대주택 현황_20240630'!A592,""ko"",""en"")"),"540-8 Bongmyeong-dong (Haenarae 2, youth rental)")</f>
        <v>540-8 Bongmyeong-dong (Haenarae 2, youth rental)</v>
      </c>
      <c r="B592" s="1" t="str">
        <f ca="1">IFERROR(__xludf.DUMMYFUNCTION("GOOGLETRANSLATE('대전도시공사_청년임대주택 현황_20240630'!B592,""ko"",""en"")"),"93")</f>
        <v>93</v>
      </c>
      <c r="C592" s="1" t="str">
        <f ca="1">IFERROR(__xludf.DUMMYFUNCTION("GOOGLETRANSLATE('대전도시공사_청년임대주택 현황_20240630'!C592,""ko"",""en"")"),"1")</f>
        <v>1</v>
      </c>
      <c r="D592" s="1" t="str">
        <f ca="1">IFERROR(__xludf.DUMMYFUNCTION("GOOGLETRANSLATE('대전도시공사_청년임대주택 현황_20240630'!D592,""ko"",""en"")"),"904")</f>
        <v>904</v>
      </c>
      <c r="E592" s="1" t="str">
        <f ca="1">IFERROR(__xludf.DUMMYFUNCTION("GOOGLETRANSLATE('대전도시공사_청년임대주택 현황_20240630'!E592,""ko"",""en"")"),"58.798")</f>
        <v>58.798</v>
      </c>
      <c r="F592" s="1" t="str">
        <f ca="1">IFERROR(__xludf.DUMMYFUNCTION("GOOGLETRANSLATE('대전도시공사_청년임대주택 현황_20240630'!F592,""ko"",""en"")"),"24.279")</f>
        <v>24.279</v>
      </c>
      <c r="G592" s="1" t="str">
        <f ca="1">IFERROR(__xludf.DUMMYFUNCTION("GOOGLETRANSLATE('대전도시공사_청년임대주택 현황_20240630'!G592,""ko"",""en"")"),"34.519")</f>
        <v>34.519</v>
      </c>
      <c r="H592" s="1" t="str">
        <f ca="1">IFERROR(__xludf.DUMMYFUNCTION("GOOGLETRANSLATE('대전도시공사_청년임대주택 현황_20240630'!H592,""ko"",""en"")"),"3rd place for youth rental")</f>
        <v>3rd place for youth rental</v>
      </c>
      <c r="I592" s="1" t="str">
        <f ca="1">IFERROR(__xludf.DUMMYFUNCTION("GOOGLETRANSLATE('대전도시공사_청년임대주택 현황_20240630'!I592,""ko"",""en"")"),"2000000")</f>
        <v>2000000</v>
      </c>
      <c r="J592" s="1" t="str">
        <f ca="1">IFERROR(__xludf.DUMMYFUNCTION("GOOGLETRANSLATE('대전도시공사_청년임대주택 현황_20240630'!J592,""ko"",""en"")"),"268200")</f>
        <v>268200</v>
      </c>
    </row>
    <row r="593" spans="1:10" ht="12.5" x14ac:dyDescent="0.25">
      <c r="A593" s="1" t="str">
        <f ca="1">IFERROR(__xludf.DUMMYFUNCTION("GOOGLETRANSLATE('대전도시공사_청년임대주택 현황_20240630'!A593,""ko"",""en"")"),"540-8 Bongmyeong-dong (Haenarae 2, youth rental)")</f>
        <v>540-8 Bongmyeong-dong (Haenarae 2, youth rental)</v>
      </c>
      <c r="B593" s="1" t="str">
        <f ca="1">IFERROR(__xludf.DUMMYFUNCTION("GOOGLETRANSLATE('대전도시공사_청년임대주택 현황_20240630'!B593,""ko"",""en"")"),"94")</f>
        <v>94</v>
      </c>
      <c r="C593" s="1" t="str">
        <f ca="1">IFERROR(__xludf.DUMMYFUNCTION("GOOGLETRANSLATE('대전도시공사_청년임대주택 현황_20240630'!C593,""ko"",""en"")"),"1")</f>
        <v>1</v>
      </c>
      <c r="D593" s="1" t="str">
        <f ca="1">IFERROR(__xludf.DUMMYFUNCTION("GOOGLETRANSLATE('대전도시공사_청년임대주택 현황_20240630'!D593,""ko"",""en"")"),"905")</f>
        <v>905</v>
      </c>
      <c r="E593" s="1" t="str">
        <f ca="1">IFERROR(__xludf.DUMMYFUNCTION("GOOGLETRANSLATE('대전도시공사_청년임대주택 현황_20240630'!E593,""ko"",""en"")"),"48.862")</f>
        <v>48.862</v>
      </c>
      <c r="F593" s="1" t="str">
        <f ca="1">IFERROR(__xludf.DUMMYFUNCTION("GOOGLETRANSLATE('대전도시공사_청년임대주택 현황_20240630'!F593,""ko"",""en"")"),"18.887")</f>
        <v>18.887</v>
      </c>
      <c r="G593" s="1" t="str">
        <f ca="1">IFERROR(__xludf.DUMMYFUNCTION("GOOGLETRANSLATE('대전도시공사_청년임대주택 현황_20240630'!G593,""ko"",""en"")"),"27.974")</f>
        <v>27.974</v>
      </c>
      <c r="H593" s="1" t="str">
        <f ca="1">IFERROR(__xludf.DUMMYFUNCTION("GOOGLETRANSLATE('대전도시공사_청년임대주택 현황_20240630'!H593,""ko"",""en"")"),"Beneficiary")</f>
        <v>Beneficiary</v>
      </c>
      <c r="I593" s="1" t="str">
        <f ca="1">IFERROR(__xludf.DUMMYFUNCTION("GOOGLETRANSLATE('대전도시공사_청년임대주택 현황_20240630'!I593,""ko"",""en"")"),"1000000")</f>
        <v>1000000</v>
      </c>
      <c r="J593" s="1" t="str">
        <f ca="1">IFERROR(__xludf.DUMMYFUNCTION("GOOGLETRANSLATE('대전도시공사_청년임대주택 현황_20240630'!J593,""ko"",""en"")"),"217200")</f>
        <v>217200</v>
      </c>
    </row>
    <row r="594" spans="1:10" ht="12.5" x14ac:dyDescent="0.25">
      <c r="A594" s="1" t="str">
        <f ca="1">IFERROR(__xludf.DUMMYFUNCTION("GOOGLETRANSLATE('대전도시공사_청년임대주택 현황_20240630'!A594,""ko"",""en"")"),"540-8 Bongmyeong-dong (Haenarae 2, youth rental)")</f>
        <v>540-8 Bongmyeong-dong (Haenarae 2, youth rental)</v>
      </c>
      <c r="B594" s="1" t="str">
        <f ca="1">IFERROR(__xludf.DUMMYFUNCTION("GOOGLETRANSLATE('대전도시공사_청년임대주택 현황_20240630'!B594,""ko"",""en"")"),"95")</f>
        <v>95</v>
      </c>
      <c r="C594" s="1" t="str">
        <f ca="1">IFERROR(__xludf.DUMMYFUNCTION("GOOGLETRANSLATE('대전도시공사_청년임대주택 현황_20240630'!C594,""ko"",""en"")"),"1")</f>
        <v>1</v>
      </c>
      <c r="D594" s="1" t="str">
        <f ca="1">IFERROR(__xludf.DUMMYFUNCTION("GOOGLETRANSLATE('대전도시공사_청년임대주택 현황_20240630'!D594,""ko"",""en"")"),"905")</f>
        <v>905</v>
      </c>
      <c r="E594" s="1" t="str">
        <f ca="1">IFERROR(__xludf.DUMMYFUNCTION("GOOGLETRANSLATE('대전도시공사_청년임대주택 현황_20240630'!E594,""ko"",""en"")"),"48.862")</f>
        <v>48.862</v>
      </c>
      <c r="F594" s="1" t="str">
        <f ca="1">IFERROR(__xludf.DUMMYFUNCTION("GOOGLETRANSLATE('대전도시공사_청년임대주택 현황_20240630'!F594,""ko"",""en"")"),"18.887")</f>
        <v>18.887</v>
      </c>
      <c r="G594" s="1" t="str">
        <f ca="1">IFERROR(__xludf.DUMMYFUNCTION("GOOGLETRANSLATE('대전도시공사_청년임대주택 현황_20240630'!G594,""ko"",""en"")"),"27.974")</f>
        <v>27.974</v>
      </c>
      <c r="H594" s="1" t="str">
        <f ca="1">IFERROR(__xludf.DUMMYFUNCTION("GOOGLETRANSLATE('대전도시공사_청년임대주택 현황_20240630'!H594,""ko"",""en"")"),"Youth Rental 2nd Place")</f>
        <v>Youth Rental 2nd Place</v>
      </c>
      <c r="I594" s="1" t="str">
        <f ca="1">IFERROR(__xludf.DUMMYFUNCTION("GOOGLETRANSLATE('대전도시공사_청년임대주택 현황_20240630'!I594,""ko"",""en"")"),"2000000")</f>
        <v>2000000</v>
      </c>
      <c r="J594" s="1" t="str">
        <f ca="1">IFERROR(__xludf.DUMMYFUNCTION("GOOGLETRANSLATE('대전도시공사_청년임대주택 현황_20240630'!J594,""ko"",""en"")"),"267400")</f>
        <v>267400</v>
      </c>
    </row>
    <row r="595" spans="1:10" ht="12.5" x14ac:dyDescent="0.25">
      <c r="A595" s="1" t="str">
        <f ca="1">IFERROR(__xludf.DUMMYFUNCTION("GOOGLETRANSLATE('대전도시공사_청년임대주택 현황_20240630'!A595,""ko"",""en"")"),"540-8 Bongmyeong-dong (Haenarae 2, youth rental)")</f>
        <v>540-8 Bongmyeong-dong (Haenarae 2, youth rental)</v>
      </c>
      <c r="B595" s="1" t="str">
        <f ca="1">IFERROR(__xludf.DUMMYFUNCTION("GOOGLETRANSLATE('대전도시공사_청년임대주택 현황_20240630'!B595,""ko"",""en"")"),"96")</f>
        <v>96</v>
      </c>
      <c r="C595" s="1" t="str">
        <f ca="1">IFERROR(__xludf.DUMMYFUNCTION("GOOGLETRANSLATE('대전도시공사_청년임대주택 현황_20240630'!C595,""ko"",""en"")"),"1")</f>
        <v>1</v>
      </c>
      <c r="D595" s="1" t="str">
        <f ca="1">IFERROR(__xludf.DUMMYFUNCTION("GOOGLETRANSLATE('대전도시공사_청년임대주택 현황_20240630'!D595,""ko"",""en"")"),"905")</f>
        <v>905</v>
      </c>
      <c r="E595" s="1" t="str">
        <f ca="1">IFERROR(__xludf.DUMMYFUNCTION("GOOGLETRANSLATE('대전도시공사_청년임대주택 현황_20240630'!E595,""ko"",""en"")"),"48.862")</f>
        <v>48.862</v>
      </c>
      <c r="F595" s="1" t="str">
        <f ca="1">IFERROR(__xludf.DUMMYFUNCTION("GOOGLETRANSLATE('대전도시공사_청년임대주택 현황_20240630'!F595,""ko"",""en"")"),"18.887")</f>
        <v>18.887</v>
      </c>
      <c r="G595" s="1" t="str">
        <f ca="1">IFERROR(__xludf.DUMMYFUNCTION("GOOGLETRANSLATE('대전도시공사_청년임대주택 현황_20240630'!G595,""ko"",""en"")"),"27.974")</f>
        <v>27.974</v>
      </c>
      <c r="H595" s="1" t="str">
        <f ca="1">IFERROR(__xludf.DUMMYFUNCTION("GOOGLETRANSLATE('대전도시공사_청년임대주택 현황_20240630'!H595,""ko"",""en"")"),"3rd place for youth rental")</f>
        <v>3rd place for youth rental</v>
      </c>
      <c r="I595" s="1" t="str">
        <f ca="1">IFERROR(__xludf.DUMMYFUNCTION("GOOGLETRANSLATE('대전도시공사_청년임대주택 현황_20240630'!I595,""ko"",""en"")"),"2000000")</f>
        <v>2000000</v>
      </c>
      <c r="J595" s="1" t="str">
        <f ca="1">IFERROR(__xludf.DUMMYFUNCTION("GOOGLETRANSLATE('대전도시공사_청년임대주택 현황_20240630'!J595,""ko"",""en"")"),"267400")</f>
        <v>267400</v>
      </c>
    </row>
    <row r="596" spans="1:10" ht="12.5" x14ac:dyDescent="0.25">
      <c r="A596" s="1" t="str">
        <f ca="1">IFERROR(__xludf.DUMMYFUNCTION("GOOGLETRANSLATE('대전도시공사_청년임대주택 현황_20240630'!A596,""ko"",""en"")"),"540-8 Bongmyeong-dong (Haenarae 2, youth rental)")</f>
        <v>540-8 Bongmyeong-dong (Haenarae 2, youth rental)</v>
      </c>
      <c r="B596" s="1" t="str">
        <f ca="1">IFERROR(__xludf.DUMMYFUNCTION("GOOGLETRANSLATE('대전도시공사_청년임대주택 현황_20240630'!B596,""ko"",""en"")"),"97")</f>
        <v>97</v>
      </c>
      <c r="C596" s="1" t="str">
        <f ca="1">IFERROR(__xludf.DUMMYFUNCTION("GOOGLETRANSLATE('대전도시공사_청년임대주택 현황_20240630'!C596,""ko"",""en"")"),"1")</f>
        <v>1</v>
      </c>
      <c r="D596" s="1" t="str">
        <f ca="1">IFERROR(__xludf.DUMMYFUNCTION("GOOGLETRANSLATE('대전도시공사_청년임대주택 현황_20240630'!D596,""ko"",""en"")"),"906")</f>
        <v>906</v>
      </c>
      <c r="E596" s="1" t="str">
        <f ca="1">IFERROR(__xludf.DUMMYFUNCTION("GOOGLETRANSLATE('대전도시공사_청년임대주택 현황_20240630'!E596,""ko"",""en"")"),"58.813")</f>
        <v>58.813</v>
      </c>
      <c r="F596" s="1" t="str">
        <f ca="1">IFERROR(__xludf.DUMMYFUNCTION("GOOGLETRANSLATE('대전도시공사_청년임대주택 현황_20240630'!F596,""ko"",""en"")"),"24.017")</f>
        <v>24.017</v>
      </c>
      <c r="G596" s="1" t="str">
        <f ca="1">IFERROR(__xludf.DUMMYFUNCTION("GOOGLETRANSLATE('대전도시공사_청년임대주택 현황_20240630'!G596,""ko"",""en"")"),"34.795")</f>
        <v>34.795</v>
      </c>
      <c r="H596" s="1" t="str">
        <f ca="1">IFERROR(__xludf.DUMMYFUNCTION("GOOGLETRANSLATE('대전도시공사_청년임대주택 현황_20240630'!H596,""ko"",""en"")"),"Beneficiary")</f>
        <v>Beneficiary</v>
      </c>
      <c r="I596" s="1" t="str">
        <f ca="1">IFERROR(__xludf.DUMMYFUNCTION("GOOGLETRANSLATE('대전도시공사_청년임대주택 현황_20240630'!I596,""ko"",""en"")"),"1000000")</f>
        <v>1000000</v>
      </c>
      <c r="J596" s="1" t="str">
        <f ca="1">IFERROR(__xludf.DUMMYFUNCTION("GOOGLETRANSLATE('대전도시공사_청년임대주택 현황_20240630'!J596,""ko"",""en"")"),"218000")</f>
        <v>218000</v>
      </c>
    </row>
    <row r="597" spans="1:10" ht="12.5" x14ac:dyDescent="0.25">
      <c r="A597" s="1" t="str">
        <f ca="1">IFERROR(__xludf.DUMMYFUNCTION("GOOGLETRANSLATE('대전도시공사_청년임대주택 현황_20240630'!A597,""ko"",""en"")"),"540-8 Bongmyeong-dong (Haenarae 2, youth rental)")</f>
        <v>540-8 Bongmyeong-dong (Haenarae 2, youth rental)</v>
      </c>
      <c r="B597" s="1" t="str">
        <f ca="1">IFERROR(__xludf.DUMMYFUNCTION("GOOGLETRANSLATE('대전도시공사_청년임대주택 현황_20240630'!B597,""ko"",""en"")"),"98")</f>
        <v>98</v>
      </c>
      <c r="C597" s="1" t="str">
        <f ca="1">IFERROR(__xludf.DUMMYFUNCTION("GOOGLETRANSLATE('대전도시공사_청년임대주택 현황_20240630'!C597,""ko"",""en"")"),"1")</f>
        <v>1</v>
      </c>
      <c r="D597" s="1" t="str">
        <f ca="1">IFERROR(__xludf.DUMMYFUNCTION("GOOGLETRANSLATE('대전도시공사_청년임대주택 현황_20240630'!D597,""ko"",""en"")"),"906")</f>
        <v>906</v>
      </c>
      <c r="E597" s="1" t="str">
        <f ca="1">IFERROR(__xludf.DUMMYFUNCTION("GOOGLETRANSLATE('대전도시공사_청년임대주택 현황_20240630'!E597,""ko"",""en"")"),"58.813")</f>
        <v>58.813</v>
      </c>
      <c r="F597" s="1" t="str">
        <f ca="1">IFERROR(__xludf.DUMMYFUNCTION("GOOGLETRANSLATE('대전도시공사_청년임대주택 현황_20240630'!F597,""ko"",""en"")"),"24.017")</f>
        <v>24.017</v>
      </c>
      <c r="G597" s="1" t="str">
        <f ca="1">IFERROR(__xludf.DUMMYFUNCTION("GOOGLETRANSLATE('대전도시공사_청년임대주택 현황_20240630'!G597,""ko"",""en"")"),"34.795")</f>
        <v>34.795</v>
      </c>
      <c r="H597" s="1" t="str">
        <f ca="1">IFERROR(__xludf.DUMMYFUNCTION("GOOGLETRANSLATE('대전도시공사_청년임대주택 현황_20240630'!H597,""ko"",""en"")"),"Youth Rental 2nd Place")</f>
        <v>Youth Rental 2nd Place</v>
      </c>
      <c r="I597" s="1" t="str">
        <f ca="1">IFERROR(__xludf.DUMMYFUNCTION("GOOGLETRANSLATE('대전도시공사_청년임대주택 현황_20240630'!I597,""ko"",""en"")"),"2000000")</f>
        <v>2000000</v>
      </c>
      <c r="J597" s="1" t="str">
        <f ca="1">IFERROR(__xludf.DUMMYFUNCTION("GOOGLETRANSLATE('대전도시공사_청년임대주택 현황_20240630'!J597,""ko"",""en"")"),"268400")</f>
        <v>268400</v>
      </c>
    </row>
    <row r="598" spans="1:10" ht="12.5" x14ac:dyDescent="0.25">
      <c r="A598" s="1" t="str">
        <f ca="1">IFERROR(__xludf.DUMMYFUNCTION("GOOGLETRANSLATE('대전도시공사_청년임대주택 현황_20240630'!A598,""ko"",""en"")"),"540-8 Bongmyeong-dong (Haenarae 2, youth rental)")</f>
        <v>540-8 Bongmyeong-dong (Haenarae 2, youth rental)</v>
      </c>
      <c r="B598" s="1" t="str">
        <f ca="1">IFERROR(__xludf.DUMMYFUNCTION("GOOGLETRANSLATE('대전도시공사_청년임대주택 현황_20240630'!B598,""ko"",""en"")"),"99")</f>
        <v>99</v>
      </c>
      <c r="C598" s="1" t="str">
        <f ca="1">IFERROR(__xludf.DUMMYFUNCTION("GOOGLETRANSLATE('대전도시공사_청년임대주택 현황_20240630'!C598,""ko"",""en"")"),"1")</f>
        <v>1</v>
      </c>
      <c r="D598" s="1" t="str">
        <f ca="1">IFERROR(__xludf.DUMMYFUNCTION("GOOGLETRANSLATE('대전도시공사_청년임대주택 현황_20240630'!D598,""ko"",""en"")"),"906")</f>
        <v>906</v>
      </c>
      <c r="E598" s="1" t="str">
        <f ca="1">IFERROR(__xludf.DUMMYFUNCTION("GOOGLETRANSLATE('대전도시공사_청년임대주택 현황_20240630'!E598,""ko"",""en"")"),"58.813")</f>
        <v>58.813</v>
      </c>
      <c r="F598" s="1" t="str">
        <f ca="1">IFERROR(__xludf.DUMMYFUNCTION("GOOGLETRANSLATE('대전도시공사_청년임대주택 현황_20240630'!F598,""ko"",""en"")"),"24.017")</f>
        <v>24.017</v>
      </c>
      <c r="G598" s="1" t="str">
        <f ca="1">IFERROR(__xludf.DUMMYFUNCTION("GOOGLETRANSLATE('대전도시공사_청년임대주택 현황_20240630'!G598,""ko"",""en"")"),"34.795")</f>
        <v>34.795</v>
      </c>
      <c r="H598" s="1" t="str">
        <f ca="1">IFERROR(__xludf.DUMMYFUNCTION("GOOGLETRANSLATE('대전도시공사_청년임대주택 현황_20240630'!H598,""ko"",""en"")"),"3rd place for youth rental")</f>
        <v>3rd place for youth rental</v>
      </c>
      <c r="I598" s="1" t="str">
        <f ca="1">IFERROR(__xludf.DUMMYFUNCTION("GOOGLETRANSLATE('대전도시공사_청년임대주택 현황_20240630'!I598,""ko"",""en"")"),"2000000")</f>
        <v>2000000</v>
      </c>
      <c r="J598" s="1" t="str">
        <f ca="1">IFERROR(__xludf.DUMMYFUNCTION("GOOGLETRANSLATE('대전도시공사_청년임대주택 현황_20240630'!J598,""ko"",""en"")"),"268400")</f>
        <v>268400</v>
      </c>
    </row>
    <row r="599" spans="1:10" ht="12.5" x14ac:dyDescent="0.25">
      <c r="A599" s="1" t="str">
        <f ca="1">IFERROR(__xludf.DUMMYFUNCTION("GOOGLETRANSLATE('대전도시공사_청년임대주택 현황_20240630'!A599,""ko"",""en"")"),"540-8 Bongmyeong-dong (Haenarae 2, youth rental)")</f>
        <v>540-8 Bongmyeong-dong (Haenarae 2, youth rental)</v>
      </c>
      <c r="B599" s="1" t="str">
        <f ca="1">IFERROR(__xludf.DUMMYFUNCTION("GOOGLETRANSLATE('대전도시공사_청년임대주택 현황_20240630'!B599,""ko"",""en"")"),"103")</f>
        <v>103</v>
      </c>
      <c r="C599" s="1" t="str">
        <f ca="1">IFERROR(__xludf.DUMMYFUNCTION("GOOGLETRANSLATE('대전도시공사_청년임대주택 현황_20240630'!C599,""ko"",""en"")"),"1")</f>
        <v>1</v>
      </c>
      <c r="D599" s="1" t="str">
        <f ca="1">IFERROR(__xludf.DUMMYFUNCTION("GOOGLETRANSLATE('대전도시공사_청년임대주택 현황_20240630'!D599,""ko"",""en"")"),"908")</f>
        <v>908</v>
      </c>
      <c r="E599" s="1" t="str">
        <f ca="1">IFERROR(__xludf.DUMMYFUNCTION("GOOGLETRANSLATE('대전도시공사_청년임대주택 현황_20240630'!E599,""ko"",""en"")"),"58.14")</f>
        <v>58.14</v>
      </c>
      <c r="F599" s="1" t="str">
        <f ca="1">IFERROR(__xludf.DUMMYFUNCTION("GOOGLETRANSLATE('대전도시공사_청년임대주택 현황_20240630'!F599,""ko"",""en"")"),"23.78")</f>
        <v>23.78</v>
      </c>
      <c r="G599" s="1" t="str">
        <f ca="1">IFERROR(__xludf.DUMMYFUNCTION("GOOGLETRANSLATE('대전도시공사_청년임대주택 현황_20240630'!G599,""ko"",""en"")"),"34.36")</f>
        <v>34.36</v>
      </c>
      <c r="H599" s="1" t="str">
        <f ca="1">IFERROR(__xludf.DUMMYFUNCTION("GOOGLETRANSLATE('대전도시공사_청년임대주택 현황_20240630'!H599,""ko"",""en"")"),"Beneficiary")</f>
        <v>Beneficiary</v>
      </c>
      <c r="I599" s="1" t="str">
        <f ca="1">IFERROR(__xludf.DUMMYFUNCTION("GOOGLETRANSLATE('대전도시공사_청년임대주택 현황_20240630'!I599,""ko"",""en"")"),"1000000")</f>
        <v>1000000</v>
      </c>
      <c r="J599" s="1" t="str">
        <f ca="1">IFERROR(__xludf.DUMMYFUNCTION("GOOGLETRANSLATE('대전도시공사_청년임대주택 현황_20240630'!J599,""ko"",""en"")"),"215800")</f>
        <v>215800</v>
      </c>
    </row>
    <row r="600" spans="1:10" ht="12.5" x14ac:dyDescent="0.25">
      <c r="A600" s="1" t="str">
        <f ca="1">IFERROR(__xludf.DUMMYFUNCTION("GOOGLETRANSLATE('대전도시공사_청년임대주택 현황_20240630'!A600,""ko"",""en"")"),"540-8 Bongmyeong-dong (Haenarae 2, youth rental)")</f>
        <v>540-8 Bongmyeong-dong (Haenarae 2, youth rental)</v>
      </c>
      <c r="B600" s="1" t="str">
        <f ca="1">IFERROR(__xludf.DUMMYFUNCTION("GOOGLETRANSLATE('대전도시공사_청년임대주택 현황_20240630'!B600,""ko"",""en"")"),"104")</f>
        <v>104</v>
      </c>
      <c r="C600" s="1" t="str">
        <f ca="1">IFERROR(__xludf.DUMMYFUNCTION("GOOGLETRANSLATE('대전도시공사_청년임대주택 현황_20240630'!C600,""ko"",""en"")"),"1")</f>
        <v>1</v>
      </c>
      <c r="D600" s="1" t="str">
        <f ca="1">IFERROR(__xludf.DUMMYFUNCTION("GOOGLETRANSLATE('대전도시공사_청년임대주택 현황_20240630'!D600,""ko"",""en"")"),"908")</f>
        <v>908</v>
      </c>
      <c r="E600" s="1" t="str">
        <f ca="1">IFERROR(__xludf.DUMMYFUNCTION("GOOGLETRANSLATE('대전도시공사_청년임대주택 현황_20240630'!E600,""ko"",""en"")"),"58.14")</f>
        <v>58.14</v>
      </c>
      <c r="F600" s="1" t="str">
        <f ca="1">IFERROR(__xludf.DUMMYFUNCTION("GOOGLETRANSLATE('대전도시공사_청년임대주택 현황_20240630'!F600,""ko"",""en"")"),"23.78")</f>
        <v>23.78</v>
      </c>
      <c r="G600" s="1" t="str">
        <f ca="1">IFERROR(__xludf.DUMMYFUNCTION("GOOGLETRANSLATE('대전도시공사_청년임대주택 현황_20240630'!G600,""ko"",""en"")"),"34.36")</f>
        <v>34.36</v>
      </c>
      <c r="H600" s="1" t="str">
        <f ca="1">IFERROR(__xludf.DUMMYFUNCTION("GOOGLETRANSLATE('대전도시공사_청년임대주택 현황_20240630'!H600,""ko"",""en"")"),"Youth Rental 2nd Place")</f>
        <v>Youth Rental 2nd Place</v>
      </c>
      <c r="I600" s="1" t="str">
        <f ca="1">IFERROR(__xludf.DUMMYFUNCTION("GOOGLETRANSLATE('대전도시공사_청년임대주택 현황_20240630'!I600,""ko"",""en"")"),"2000000")</f>
        <v>2000000</v>
      </c>
      <c r="J600" s="1" t="str">
        <f ca="1">IFERROR(__xludf.DUMMYFUNCTION("GOOGLETRANSLATE('대전도시공사_청년임대주택 현황_20240630'!J600,""ko"",""en"")"),"265600")</f>
        <v>265600</v>
      </c>
    </row>
    <row r="601" spans="1:10" ht="12.5" x14ac:dyDescent="0.25">
      <c r="A601" s="1" t="str">
        <f ca="1">IFERROR(__xludf.DUMMYFUNCTION("GOOGLETRANSLATE('대전도시공사_청년임대주택 현황_20240630'!A601,""ko"",""en"")"),"540-8 Bongmyeong-dong (Haenarae 2, youth rental)")</f>
        <v>540-8 Bongmyeong-dong (Haenarae 2, youth rental)</v>
      </c>
      <c r="B601" s="1" t="str">
        <f ca="1">IFERROR(__xludf.DUMMYFUNCTION("GOOGLETRANSLATE('대전도시공사_청년임대주택 현황_20240630'!B601,""ko"",""en"")"),"105")</f>
        <v>105</v>
      </c>
      <c r="C601" s="1" t="str">
        <f ca="1">IFERROR(__xludf.DUMMYFUNCTION("GOOGLETRANSLATE('대전도시공사_청년임대주택 현황_20240630'!C601,""ko"",""en"")"),"1")</f>
        <v>1</v>
      </c>
      <c r="D601" s="1" t="str">
        <f ca="1">IFERROR(__xludf.DUMMYFUNCTION("GOOGLETRANSLATE('대전도시공사_청년임대주택 현황_20240630'!D601,""ko"",""en"")"),"908")</f>
        <v>908</v>
      </c>
      <c r="E601" s="1" t="str">
        <f ca="1">IFERROR(__xludf.DUMMYFUNCTION("GOOGLETRANSLATE('대전도시공사_청년임대주택 현황_20240630'!E601,""ko"",""en"")"),"58.14")</f>
        <v>58.14</v>
      </c>
      <c r="F601" s="1" t="str">
        <f ca="1">IFERROR(__xludf.DUMMYFUNCTION("GOOGLETRANSLATE('대전도시공사_청년임대주택 현황_20240630'!F601,""ko"",""en"")"),"23.78")</f>
        <v>23.78</v>
      </c>
      <c r="G601" s="1" t="str">
        <f ca="1">IFERROR(__xludf.DUMMYFUNCTION("GOOGLETRANSLATE('대전도시공사_청년임대주택 현황_20240630'!G601,""ko"",""en"")"),"34.36")</f>
        <v>34.36</v>
      </c>
      <c r="H601" s="1" t="str">
        <f ca="1">IFERROR(__xludf.DUMMYFUNCTION("GOOGLETRANSLATE('대전도시공사_청년임대주택 현황_20240630'!H601,""ko"",""en"")"),"3rd place for youth rental")</f>
        <v>3rd place for youth rental</v>
      </c>
      <c r="I601" s="1" t="str">
        <f ca="1">IFERROR(__xludf.DUMMYFUNCTION("GOOGLETRANSLATE('대전도시공사_청년임대주택 현황_20240630'!I601,""ko"",""en"")"),"2000000")</f>
        <v>2000000</v>
      </c>
      <c r="J601" s="1" t="str">
        <f ca="1">IFERROR(__xludf.DUMMYFUNCTION("GOOGLETRANSLATE('대전도시공사_청년임대주택 현황_20240630'!J601,""ko"",""en"")"),"265600")</f>
        <v>265600</v>
      </c>
    </row>
    <row r="602" spans="1:10" ht="12.5" x14ac:dyDescent="0.25">
      <c r="A602" s="1" t="str">
        <f ca="1">IFERROR(__xludf.DUMMYFUNCTION("GOOGLETRANSLATE('대전도시공사_청년임대주택 현황_20240630'!A602,""ko"",""en"")"),"540-8 Bongmyeong-dong (Haenarae 2, youth rental)")</f>
        <v>540-8 Bongmyeong-dong (Haenarae 2, youth rental)</v>
      </c>
      <c r="B602" s="1" t="str">
        <f ca="1">IFERROR(__xludf.DUMMYFUNCTION("GOOGLETRANSLATE('대전도시공사_청년임대주택 현황_20240630'!B602,""ko"",""en"")"),"106")</f>
        <v>106</v>
      </c>
      <c r="C602" s="1" t="str">
        <f ca="1">IFERROR(__xludf.DUMMYFUNCTION("GOOGLETRANSLATE('대전도시공사_청년임대주택 현황_20240630'!C602,""ko"",""en"")"),"1")</f>
        <v>1</v>
      </c>
      <c r="D602" s="1" t="str">
        <f ca="1">IFERROR(__xludf.DUMMYFUNCTION("GOOGLETRANSLATE('대전도시공사_청년임대주택 현황_20240630'!D602,""ko"",""en"")"),"915")</f>
        <v>915</v>
      </c>
      <c r="E602" s="1" t="str">
        <f ca="1">IFERROR(__xludf.DUMMYFUNCTION("GOOGLETRANSLATE('대전도시공사_청년임대주택 현황_20240630'!E602,""ko"",""en"")"),"46.296")</f>
        <v>46.296</v>
      </c>
      <c r="F602" s="1" t="str">
        <f ca="1">IFERROR(__xludf.DUMMYFUNCTION("GOOGLETRANSLATE('대전도시공사_청년임대주택 현황_20240630'!F602,""ko"",""en"")"),"18.459")</f>
        <v>18.459</v>
      </c>
      <c r="G602" s="1" t="str">
        <f ca="1">IFERROR(__xludf.DUMMYFUNCTION("GOOGLETRANSLATE('대전도시공사_청년임대주택 현황_20240630'!G602,""ko"",""en"")"),"27.837")</f>
        <v>27.837</v>
      </c>
      <c r="H602" s="1" t="str">
        <f ca="1">IFERROR(__xludf.DUMMYFUNCTION("GOOGLETRANSLATE('대전도시공사_청년임대주택 현황_20240630'!H602,""ko"",""en"")"),"Beneficiary")</f>
        <v>Beneficiary</v>
      </c>
      <c r="I602" s="1" t="str">
        <f ca="1">IFERROR(__xludf.DUMMYFUNCTION("GOOGLETRANSLATE('대전도시공사_청년임대주택 현황_20240630'!I602,""ko"",""en"")"),"1000000")</f>
        <v>1000000</v>
      </c>
      <c r="J602" s="1" t="str">
        <f ca="1">IFERROR(__xludf.DUMMYFUNCTION("GOOGLETRANSLATE('대전도시공사_청년임대주택 현황_20240630'!J602,""ko"",""en"")"),"212200")</f>
        <v>212200</v>
      </c>
    </row>
    <row r="603" spans="1:10" ht="12.5" x14ac:dyDescent="0.25">
      <c r="A603" s="1" t="str">
        <f ca="1">IFERROR(__xludf.DUMMYFUNCTION("GOOGLETRANSLATE('대전도시공사_청년임대주택 현황_20240630'!A603,""ko"",""en"")"),"540-8 Bongmyeong-dong (Haenarae 2, youth rental)")</f>
        <v>540-8 Bongmyeong-dong (Haenarae 2, youth rental)</v>
      </c>
      <c r="B603" s="1" t="str">
        <f ca="1">IFERROR(__xludf.DUMMYFUNCTION("GOOGLETRANSLATE('대전도시공사_청년임대주택 현황_20240630'!B603,""ko"",""en"")"),"107")</f>
        <v>107</v>
      </c>
      <c r="C603" s="1" t="str">
        <f ca="1">IFERROR(__xludf.DUMMYFUNCTION("GOOGLETRANSLATE('대전도시공사_청년임대주택 현황_20240630'!C603,""ko"",""en"")"),"1")</f>
        <v>1</v>
      </c>
      <c r="D603" s="1" t="str">
        <f ca="1">IFERROR(__xludf.DUMMYFUNCTION("GOOGLETRANSLATE('대전도시공사_청년임대주택 현황_20240630'!D603,""ko"",""en"")"),"915")</f>
        <v>915</v>
      </c>
      <c r="E603" s="1" t="str">
        <f ca="1">IFERROR(__xludf.DUMMYFUNCTION("GOOGLETRANSLATE('대전도시공사_청년임대주택 현황_20240630'!E603,""ko"",""en"")"),"46.296")</f>
        <v>46.296</v>
      </c>
      <c r="F603" s="1" t="str">
        <f ca="1">IFERROR(__xludf.DUMMYFUNCTION("GOOGLETRANSLATE('대전도시공사_청년임대주택 현황_20240630'!F603,""ko"",""en"")"),"18.459")</f>
        <v>18.459</v>
      </c>
      <c r="G603" s="1" t="str">
        <f ca="1">IFERROR(__xludf.DUMMYFUNCTION("GOOGLETRANSLATE('대전도시공사_청년임대주택 현황_20240630'!G603,""ko"",""en"")"),"27.837")</f>
        <v>27.837</v>
      </c>
      <c r="H603" s="1" t="str">
        <f ca="1">IFERROR(__xludf.DUMMYFUNCTION("GOOGLETRANSLATE('대전도시공사_청년임대주택 현황_20240630'!H603,""ko"",""en"")"),"Youth Rental 2nd Place")</f>
        <v>Youth Rental 2nd Place</v>
      </c>
      <c r="I603" s="1" t="str">
        <f ca="1">IFERROR(__xludf.DUMMYFUNCTION("GOOGLETRANSLATE('대전도시공사_청년임대주택 현황_20240630'!I603,""ko"",""en"")"),"2000000")</f>
        <v>2000000</v>
      </c>
      <c r="J603" s="1" t="str">
        <f ca="1">IFERROR(__xludf.DUMMYFUNCTION("GOOGLETRANSLATE('대전도시공사_청년임대주택 현황_20240630'!J603,""ko"",""en"")"),"261100")</f>
        <v>261100</v>
      </c>
    </row>
    <row r="604" spans="1:10" ht="12.5" x14ac:dyDescent="0.25">
      <c r="A604" s="1" t="str">
        <f ca="1">IFERROR(__xludf.DUMMYFUNCTION("GOOGLETRANSLATE('대전도시공사_청년임대주택 현황_20240630'!A604,""ko"",""en"")"),"540-8 Bongmyeong-dong (Haenarae 2, youth rental)")</f>
        <v>540-8 Bongmyeong-dong (Haenarae 2, youth rental)</v>
      </c>
      <c r="B604" s="1" t="str">
        <f ca="1">IFERROR(__xludf.DUMMYFUNCTION("GOOGLETRANSLATE('대전도시공사_청년임대주택 현황_20240630'!B604,""ko"",""en"")"),"108")</f>
        <v>108</v>
      </c>
      <c r="C604" s="1" t="str">
        <f ca="1">IFERROR(__xludf.DUMMYFUNCTION("GOOGLETRANSLATE('대전도시공사_청년임대주택 현황_20240630'!C604,""ko"",""en"")"),"1")</f>
        <v>1</v>
      </c>
      <c r="D604" s="1" t="str">
        <f ca="1">IFERROR(__xludf.DUMMYFUNCTION("GOOGLETRANSLATE('대전도시공사_청년임대주택 현황_20240630'!D604,""ko"",""en"")"),"915")</f>
        <v>915</v>
      </c>
      <c r="E604" s="1" t="str">
        <f ca="1">IFERROR(__xludf.DUMMYFUNCTION("GOOGLETRANSLATE('대전도시공사_청년임대주택 현황_20240630'!E604,""ko"",""en"")"),"46.296")</f>
        <v>46.296</v>
      </c>
      <c r="F604" s="1" t="str">
        <f ca="1">IFERROR(__xludf.DUMMYFUNCTION("GOOGLETRANSLATE('대전도시공사_청년임대주택 현황_20240630'!F604,""ko"",""en"")"),"18.459")</f>
        <v>18.459</v>
      </c>
      <c r="G604" s="1" t="str">
        <f ca="1">IFERROR(__xludf.DUMMYFUNCTION("GOOGLETRANSLATE('대전도시공사_청년임대주택 현황_20240630'!G604,""ko"",""en"")"),"27.837")</f>
        <v>27.837</v>
      </c>
      <c r="H604" s="1" t="str">
        <f ca="1">IFERROR(__xludf.DUMMYFUNCTION("GOOGLETRANSLATE('대전도시공사_청년임대주택 현황_20240630'!H604,""ko"",""en"")"),"3rd place for youth rental")</f>
        <v>3rd place for youth rental</v>
      </c>
      <c r="I604" s="1" t="str">
        <f ca="1">IFERROR(__xludf.DUMMYFUNCTION("GOOGLETRANSLATE('대전도시공사_청년임대주택 현황_20240630'!I604,""ko"",""en"")"),"2000000")</f>
        <v>2000000</v>
      </c>
      <c r="J604" s="1" t="str">
        <f ca="1">IFERROR(__xludf.DUMMYFUNCTION("GOOGLETRANSLATE('대전도시공사_청년임대주택 현황_20240630'!J604,""ko"",""en"")"),"261100")</f>
        <v>261100</v>
      </c>
    </row>
    <row r="605" spans="1:10" ht="12.5" x14ac:dyDescent="0.25">
      <c r="A605" s="1" t="str">
        <f ca="1">IFERROR(__xludf.DUMMYFUNCTION("GOOGLETRANSLATE('대전도시공사_청년임대주택 현황_20240630'!A605,""ko"",""en"")"),"540-8 Bongmyeong-dong (Haenarae 2, youth rental)")</f>
        <v>540-8 Bongmyeong-dong (Haenarae 2, youth rental)</v>
      </c>
      <c r="B605" s="1" t="str">
        <f ca="1">IFERROR(__xludf.DUMMYFUNCTION("GOOGLETRANSLATE('대전도시공사_청년임대주택 현황_20240630'!B605,""ko"",""en"")"),"121")</f>
        <v>121</v>
      </c>
      <c r="C605" s="1" t="str">
        <f ca="1">IFERROR(__xludf.DUMMYFUNCTION("GOOGLETRANSLATE('대전도시공사_청년임대주택 현황_20240630'!C605,""ko"",""en"")"),"1")</f>
        <v>1</v>
      </c>
      <c r="D605" s="1" t="str">
        <f ca="1">IFERROR(__xludf.DUMMYFUNCTION("GOOGLETRANSLATE('대전도시공사_청년임대주택 현황_20240630'!D605,""ko"",""en"")"),"1006")</f>
        <v>1006</v>
      </c>
      <c r="E605" s="1" t="str">
        <f ca="1">IFERROR(__xludf.DUMMYFUNCTION("GOOGLETRANSLATE('대전도시공사_청년임대주택 현황_20240630'!E605,""ko"",""en"")"),"58.813")</f>
        <v>58.813</v>
      </c>
      <c r="F605" s="1" t="str">
        <f ca="1">IFERROR(__xludf.DUMMYFUNCTION("GOOGLETRANSLATE('대전도시공사_청년임대주택 현황_20240630'!F605,""ko"",""en"")"),"24.017")</f>
        <v>24.017</v>
      </c>
      <c r="G605" s="1" t="str">
        <f ca="1">IFERROR(__xludf.DUMMYFUNCTION("GOOGLETRANSLATE('대전도시공사_청년임대주택 현황_20240630'!G605,""ko"",""en"")"),"34.795")</f>
        <v>34.795</v>
      </c>
      <c r="H605" s="1" t="str">
        <f ca="1">IFERROR(__xludf.DUMMYFUNCTION("GOOGLETRANSLATE('대전도시공사_청년임대주택 현황_20240630'!H605,""ko"",""en"")"),"Beneficiary")</f>
        <v>Beneficiary</v>
      </c>
      <c r="I605" s="1" t="str">
        <f ca="1">IFERROR(__xludf.DUMMYFUNCTION("GOOGLETRANSLATE('대전도시공사_청년임대주택 현황_20240630'!I605,""ko"",""en"")"),"1000000")</f>
        <v>1000000</v>
      </c>
      <c r="J605" s="1" t="str">
        <f ca="1">IFERROR(__xludf.DUMMYFUNCTION("GOOGLETRANSLATE('대전도시공사_청년임대주택 현황_20240630'!J605,""ko"",""en"")"),"218000")</f>
        <v>218000</v>
      </c>
    </row>
    <row r="606" spans="1:10" ht="12.5" x14ac:dyDescent="0.25">
      <c r="A606" s="1" t="str">
        <f ca="1">IFERROR(__xludf.DUMMYFUNCTION("GOOGLETRANSLATE('대전도시공사_청년임대주택 현황_20240630'!A606,""ko"",""en"")"),"540-8 Bongmyeong-dong (Haenarae 2, youth rental)")</f>
        <v>540-8 Bongmyeong-dong (Haenarae 2, youth rental)</v>
      </c>
      <c r="B606" s="1" t="str">
        <f ca="1">IFERROR(__xludf.DUMMYFUNCTION("GOOGLETRANSLATE('대전도시공사_청년임대주택 현황_20240630'!B606,""ko"",""en"")"),"122")</f>
        <v>122</v>
      </c>
      <c r="C606" s="1" t="str">
        <f ca="1">IFERROR(__xludf.DUMMYFUNCTION("GOOGLETRANSLATE('대전도시공사_청년임대주택 현황_20240630'!C606,""ko"",""en"")"),"1")</f>
        <v>1</v>
      </c>
      <c r="D606" s="1" t="str">
        <f ca="1">IFERROR(__xludf.DUMMYFUNCTION("GOOGLETRANSLATE('대전도시공사_청년임대주택 현황_20240630'!D606,""ko"",""en"")"),"1006")</f>
        <v>1006</v>
      </c>
      <c r="E606" s="1" t="str">
        <f ca="1">IFERROR(__xludf.DUMMYFUNCTION("GOOGLETRANSLATE('대전도시공사_청년임대주택 현황_20240630'!E606,""ko"",""en"")"),"58.813")</f>
        <v>58.813</v>
      </c>
      <c r="F606" s="1" t="str">
        <f ca="1">IFERROR(__xludf.DUMMYFUNCTION("GOOGLETRANSLATE('대전도시공사_청년임대주택 현황_20240630'!F606,""ko"",""en"")"),"24.017")</f>
        <v>24.017</v>
      </c>
      <c r="G606" s="1" t="str">
        <f ca="1">IFERROR(__xludf.DUMMYFUNCTION("GOOGLETRANSLATE('대전도시공사_청년임대주택 현황_20240630'!G606,""ko"",""en"")"),"34.795")</f>
        <v>34.795</v>
      </c>
      <c r="H606" s="1" t="str">
        <f ca="1">IFERROR(__xludf.DUMMYFUNCTION("GOOGLETRANSLATE('대전도시공사_청년임대주택 현황_20240630'!H606,""ko"",""en"")"),"Youth Rental 2nd Place")</f>
        <v>Youth Rental 2nd Place</v>
      </c>
      <c r="I606" s="1" t="str">
        <f ca="1">IFERROR(__xludf.DUMMYFUNCTION("GOOGLETRANSLATE('대전도시공사_청년임대주택 현황_20240630'!I606,""ko"",""en"")"),"2000000")</f>
        <v>2000000</v>
      </c>
      <c r="J606" s="1" t="str">
        <f ca="1">IFERROR(__xludf.DUMMYFUNCTION("GOOGLETRANSLATE('대전도시공사_청년임대주택 현황_20240630'!J606,""ko"",""en"")"),"268400")</f>
        <v>268400</v>
      </c>
    </row>
    <row r="607" spans="1:10" ht="12.5" x14ac:dyDescent="0.25">
      <c r="A607" s="1" t="str">
        <f ca="1">IFERROR(__xludf.DUMMYFUNCTION("GOOGLETRANSLATE('대전도시공사_청년임대주택 현황_20240630'!A607,""ko"",""en"")"),"540-8 Bongmyeong-dong (Haenarae 2, youth rental)")</f>
        <v>540-8 Bongmyeong-dong (Haenarae 2, youth rental)</v>
      </c>
      <c r="B607" s="1" t="str">
        <f ca="1">IFERROR(__xludf.DUMMYFUNCTION("GOOGLETRANSLATE('대전도시공사_청년임대주택 현황_20240630'!B607,""ko"",""en"")"),"123")</f>
        <v>123</v>
      </c>
      <c r="C607" s="1" t="str">
        <f ca="1">IFERROR(__xludf.DUMMYFUNCTION("GOOGLETRANSLATE('대전도시공사_청년임대주택 현황_20240630'!C607,""ko"",""en"")"),"1")</f>
        <v>1</v>
      </c>
      <c r="D607" s="1" t="str">
        <f ca="1">IFERROR(__xludf.DUMMYFUNCTION("GOOGLETRANSLATE('대전도시공사_청년임대주택 현황_20240630'!D607,""ko"",""en"")"),"1006")</f>
        <v>1006</v>
      </c>
      <c r="E607" s="1" t="str">
        <f ca="1">IFERROR(__xludf.DUMMYFUNCTION("GOOGLETRANSLATE('대전도시공사_청년임대주택 현황_20240630'!E607,""ko"",""en"")"),"58.813")</f>
        <v>58.813</v>
      </c>
      <c r="F607" s="1" t="str">
        <f ca="1">IFERROR(__xludf.DUMMYFUNCTION("GOOGLETRANSLATE('대전도시공사_청년임대주택 현황_20240630'!F607,""ko"",""en"")"),"24.017")</f>
        <v>24.017</v>
      </c>
      <c r="G607" s="1" t="str">
        <f ca="1">IFERROR(__xludf.DUMMYFUNCTION("GOOGLETRANSLATE('대전도시공사_청년임대주택 현황_20240630'!G607,""ko"",""en"")"),"34.795")</f>
        <v>34.795</v>
      </c>
      <c r="H607" s="1" t="str">
        <f ca="1">IFERROR(__xludf.DUMMYFUNCTION("GOOGLETRANSLATE('대전도시공사_청년임대주택 현황_20240630'!H607,""ko"",""en"")"),"3rd place for youth rental")</f>
        <v>3rd place for youth rental</v>
      </c>
      <c r="I607" s="1" t="str">
        <f ca="1">IFERROR(__xludf.DUMMYFUNCTION("GOOGLETRANSLATE('대전도시공사_청년임대주택 현황_20240630'!I607,""ko"",""en"")"),"2000000")</f>
        <v>2000000</v>
      </c>
      <c r="J607" s="1" t="str">
        <f ca="1">IFERROR(__xludf.DUMMYFUNCTION("GOOGLETRANSLATE('대전도시공사_청년임대주택 현황_20240630'!J607,""ko"",""en"")"),"268400")</f>
        <v>268400</v>
      </c>
    </row>
    <row r="608" spans="1:10" ht="12.5" x14ac:dyDescent="0.25">
      <c r="A608" s="1" t="str">
        <f ca="1">IFERROR(__xludf.DUMMYFUNCTION("GOOGLETRANSLATE('대전도시공사_청년임대주택 현황_20240630'!A608,""ko"",""en"")"),"540-8 Bongmyeong-dong (Haenarae 2, youth rental)")</f>
        <v>540-8 Bongmyeong-dong (Haenarae 2, youth rental)</v>
      </c>
      <c r="B608" s="1" t="str">
        <f ca="1">IFERROR(__xludf.DUMMYFUNCTION("GOOGLETRANSLATE('대전도시공사_청년임대주택 현황_20240630'!B608,""ko"",""en"")"),"124")</f>
        <v>124</v>
      </c>
      <c r="C608" s="1" t="str">
        <f ca="1">IFERROR(__xludf.DUMMYFUNCTION("GOOGLETRANSLATE('대전도시공사_청년임대주택 현황_20240630'!C608,""ko"",""en"")"),"1")</f>
        <v>1</v>
      </c>
      <c r="D608" s="1" t="str">
        <f ca="1">IFERROR(__xludf.DUMMYFUNCTION("GOOGLETRANSLATE('대전도시공사_청년임대주택 현황_20240630'!D608,""ko"",""en"")"),"1007")</f>
        <v>1007</v>
      </c>
      <c r="E608" s="1" t="str">
        <f ca="1">IFERROR(__xludf.DUMMYFUNCTION("GOOGLETRANSLATE('대전도시공사_청년임대주택 현황_20240630'!E608,""ko"",""en"")"),"58.798")</f>
        <v>58.798</v>
      </c>
      <c r="F608" s="1" t="str">
        <f ca="1">IFERROR(__xludf.DUMMYFUNCTION("GOOGLETRANSLATE('대전도시공사_청년임대주택 현황_20240630'!F608,""ko"",""en"")"),"24.279")</f>
        <v>24.279</v>
      </c>
      <c r="G608" s="1" t="str">
        <f ca="1">IFERROR(__xludf.DUMMYFUNCTION("GOOGLETRANSLATE('대전도시공사_청년임대주택 현황_20240630'!G608,""ko"",""en"")"),"34.519")</f>
        <v>34.519</v>
      </c>
      <c r="H608" s="1" t="str">
        <f ca="1">IFERROR(__xludf.DUMMYFUNCTION("GOOGLETRANSLATE('대전도시공사_청년임대주택 현황_20240630'!H608,""ko"",""en"")"),"Beneficiary")</f>
        <v>Beneficiary</v>
      </c>
      <c r="I608" s="1" t="str">
        <f ca="1">IFERROR(__xludf.DUMMYFUNCTION("GOOGLETRANSLATE('대전도시공사_청년임대주택 현황_20240630'!I608,""ko"",""en"")"),"1000000")</f>
        <v>1000000</v>
      </c>
      <c r="J608" s="1" t="str">
        <f ca="1">IFERROR(__xludf.DUMMYFUNCTION("GOOGLETRANSLATE('대전도시공사_청년임대주택 현황_20240630'!J608,""ko"",""en"")"),"220400")</f>
        <v>220400</v>
      </c>
    </row>
    <row r="609" spans="1:10" ht="12.5" x14ac:dyDescent="0.25">
      <c r="A609" s="1" t="str">
        <f ca="1">IFERROR(__xludf.DUMMYFUNCTION("GOOGLETRANSLATE('대전도시공사_청년임대주택 현황_20240630'!A609,""ko"",""en"")"),"540-8 Bongmyeong-dong (Haenarae 2, youth rental)")</f>
        <v>540-8 Bongmyeong-dong (Haenarae 2, youth rental)</v>
      </c>
      <c r="B609" s="1" t="str">
        <f ca="1">IFERROR(__xludf.DUMMYFUNCTION("GOOGLETRANSLATE('대전도시공사_청년임대주택 현황_20240630'!B609,""ko"",""en"")"),"125")</f>
        <v>125</v>
      </c>
      <c r="C609" s="1" t="str">
        <f ca="1">IFERROR(__xludf.DUMMYFUNCTION("GOOGLETRANSLATE('대전도시공사_청년임대주택 현황_20240630'!C609,""ko"",""en"")"),"1")</f>
        <v>1</v>
      </c>
      <c r="D609" s="1" t="str">
        <f ca="1">IFERROR(__xludf.DUMMYFUNCTION("GOOGLETRANSLATE('대전도시공사_청년임대주택 현황_20240630'!D609,""ko"",""en"")"),"1007")</f>
        <v>1007</v>
      </c>
      <c r="E609" s="1" t="str">
        <f ca="1">IFERROR(__xludf.DUMMYFUNCTION("GOOGLETRANSLATE('대전도시공사_청년임대주택 현황_20240630'!E609,""ko"",""en"")"),"58.798")</f>
        <v>58.798</v>
      </c>
      <c r="F609" s="1" t="str">
        <f ca="1">IFERROR(__xludf.DUMMYFUNCTION("GOOGLETRANSLATE('대전도시공사_청년임대주택 현황_20240630'!F609,""ko"",""en"")"),"24.279")</f>
        <v>24.279</v>
      </c>
      <c r="G609" s="1" t="str">
        <f ca="1">IFERROR(__xludf.DUMMYFUNCTION("GOOGLETRANSLATE('대전도시공사_청년임대주택 현황_20240630'!G609,""ko"",""en"")"),"34.519")</f>
        <v>34.519</v>
      </c>
      <c r="H609" s="1" t="str">
        <f ca="1">IFERROR(__xludf.DUMMYFUNCTION("GOOGLETRANSLATE('대전도시공사_청년임대주택 현황_20240630'!H609,""ko"",""en"")"),"Youth Rental 2nd Place")</f>
        <v>Youth Rental 2nd Place</v>
      </c>
      <c r="I609" s="1" t="str">
        <f ca="1">IFERROR(__xludf.DUMMYFUNCTION("GOOGLETRANSLATE('대전도시공사_청년임대주택 현황_20240630'!I609,""ko"",""en"")"),"2000000")</f>
        <v>2000000</v>
      </c>
      <c r="J609" s="1" t="str">
        <f ca="1">IFERROR(__xludf.DUMMYFUNCTION("GOOGLETRANSLATE('대전도시공사_청년임대주택 현황_20240630'!J609,""ko"",""en"")"),"271400")</f>
        <v>271400</v>
      </c>
    </row>
    <row r="610" spans="1:10" ht="12.5" x14ac:dyDescent="0.25">
      <c r="A610" s="1" t="str">
        <f ca="1">IFERROR(__xludf.DUMMYFUNCTION("GOOGLETRANSLATE('대전도시공사_청년임대주택 현황_20240630'!A610,""ko"",""en"")"),"540-8 Bongmyeong-dong (Haenarae 2, youth rental)")</f>
        <v>540-8 Bongmyeong-dong (Haenarae 2, youth rental)</v>
      </c>
      <c r="B610" s="1" t="str">
        <f ca="1">IFERROR(__xludf.DUMMYFUNCTION("GOOGLETRANSLATE('대전도시공사_청년임대주택 현황_20240630'!B610,""ko"",""en"")"),"126")</f>
        <v>126</v>
      </c>
      <c r="C610" s="1" t="str">
        <f ca="1">IFERROR(__xludf.DUMMYFUNCTION("GOOGLETRANSLATE('대전도시공사_청년임대주택 현황_20240630'!C610,""ko"",""en"")"),"1")</f>
        <v>1</v>
      </c>
      <c r="D610" s="1" t="str">
        <f ca="1">IFERROR(__xludf.DUMMYFUNCTION("GOOGLETRANSLATE('대전도시공사_청년임대주택 현황_20240630'!D610,""ko"",""en"")"),"1007")</f>
        <v>1007</v>
      </c>
      <c r="E610" s="1" t="str">
        <f ca="1">IFERROR(__xludf.DUMMYFUNCTION("GOOGLETRANSLATE('대전도시공사_청년임대주택 현황_20240630'!E610,""ko"",""en"")"),"58.798")</f>
        <v>58.798</v>
      </c>
      <c r="F610" s="1" t="str">
        <f ca="1">IFERROR(__xludf.DUMMYFUNCTION("GOOGLETRANSLATE('대전도시공사_청년임대주택 현황_20240630'!F610,""ko"",""en"")"),"24.279")</f>
        <v>24.279</v>
      </c>
      <c r="G610" s="1" t="str">
        <f ca="1">IFERROR(__xludf.DUMMYFUNCTION("GOOGLETRANSLATE('대전도시공사_청년임대주택 현황_20240630'!G610,""ko"",""en"")"),"34.519")</f>
        <v>34.519</v>
      </c>
      <c r="H610" s="1" t="str">
        <f ca="1">IFERROR(__xludf.DUMMYFUNCTION("GOOGLETRANSLATE('대전도시공사_청년임대주택 현황_20240630'!H610,""ko"",""en"")"),"3rd place for youth rental")</f>
        <v>3rd place for youth rental</v>
      </c>
      <c r="I610" s="1" t="str">
        <f ca="1">IFERROR(__xludf.DUMMYFUNCTION("GOOGLETRANSLATE('대전도시공사_청년임대주택 현황_20240630'!I610,""ko"",""en"")"),"2000000")</f>
        <v>2000000</v>
      </c>
      <c r="J610" s="1" t="str">
        <f ca="1">IFERROR(__xludf.DUMMYFUNCTION("GOOGLETRANSLATE('대전도시공사_청년임대주택 현황_20240630'!J610,""ko"",""en"")"),"271400")</f>
        <v>271400</v>
      </c>
    </row>
    <row r="611" spans="1:10" ht="12.5" x14ac:dyDescent="0.25">
      <c r="A611" s="1" t="str">
        <f ca="1">IFERROR(__xludf.DUMMYFUNCTION("GOOGLETRANSLATE('대전도시공사_청년임대주택 현황_20240630'!A611,""ko"",""en"")"),"540-8 Bongmyeong-dong (Haenarae 2, youth rental)")</f>
        <v>540-8 Bongmyeong-dong (Haenarae 2, youth rental)</v>
      </c>
      <c r="B611" s="1" t="str">
        <f ca="1">IFERROR(__xludf.DUMMYFUNCTION("GOOGLETRANSLATE('대전도시공사_청년임대주택 현황_20240630'!B611,""ko"",""en"")"),"130")</f>
        <v>130</v>
      </c>
      <c r="C611" s="1" t="str">
        <f ca="1">IFERROR(__xludf.DUMMYFUNCTION("GOOGLETRANSLATE('대전도시공사_청년임대주택 현황_20240630'!C611,""ko"",""en"")"),"1")</f>
        <v>1</v>
      </c>
      <c r="D611" s="1" t="str">
        <f ca="1">IFERROR(__xludf.DUMMYFUNCTION("GOOGLETRANSLATE('대전도시공사_청년임대주택 현황_20240630'!D611,""ko"",""en"")"),"1015")</f>
        <v>1015</v>
      </c>
      <c r="E611" s="1" t="str">
        <f ca="1">IFERROR(__xludf.DUMMYFUNCTION("GOOGLETRANSLATE('대전도시공사_청년임대주택 현황_20240630'!E611,""ko"",""en"")"),"46.296")</f>
        <v>46.296</v>
      </c>
      <c r="F611" s="1" t="str">
        <f ca="1">IFERROR(__xludf.DUMMYFUNCTION("GOOGLETRANSLATE('대전도시공사_청년임대주택 현황_20240630'!F611,""ko"",""en"")"),"18.459")</f>
        <v>18.459</v>
      </c>
      <c r="G611" s="1" t="str">
        <f ca="1">IFERROR(__xludf.DUMMYFUNCTION("GOOGLETRANSLATE('대전도시공사_청년임대주택 현황_20240630'!G611,""ko"",""en"")"),"27.837")</f>
        <v>27.837</v>
      </c>
      <c r="H611" s="1" t="str">
        <f ca="1">IFERROR(__xludf.DUMMYFUNCTION("GOOGLETRANSLATE('대전도시공사_청년임대주택 현황_20240630'!H611,""ko"",""en"")"),"Beneficiary")</f>
        <v>Beneficiary</v>
      </c>
      <c r="I611" s="1" t="str">
        <f ca="1">IFERROR(__xludf.DUMMYFUNCTION("GOOGLETRANSLATE('대전도시공사_청년임대주택 현황_20240630'!I611,""ko"",""en"")"),"1000000")</f>
        <v>1000000</v>
      </c>
      <c r="J611" s="1" t="str">
        <f ca="1">IFERROR(__xludf.DUMMYFUNCTION("GOOGLETRANSLATE('대전도시공사_청년임대주택 현황_20240630'!J611,""ko"",""en"")"),"212200")</f>
        <v>212200</v>
      </c>
    </row>
    <row r="612" spans="1:10" ht="12.5" x14ac:dyDescent="0.25">
      <c r="A612" s="1" t="str">
        <f ca="1">IFERROR(__xludf.DUMMYFUNCTION("GOOGLETRANSLATE('대전도시공사_청년임대주택 현황_20240630'!A612,""ko"",""en"")"),"540-8 Bongmyeong-dong (Haenarae 2, youth rental)")</f>
        <v>540-8 Bongmyeong-dong (Haenarae 2, youth rental)</v>
      </c>
      <c r="B612" s="1" t="str">
        <f ca="1">IFERROR(__xludf.DUMMYFUNCTION("GOOGLETRANSLATE('대전도시공사_청년임대주택 현황_20240630'!B612,""ko"",""en"")"),"131")</f>
        <v>131</v>
      </c>
      <c r="C612" s="1" t="str">
        <f ca="1">IFERROR(__xludf.DUMMYFUNCTION("GOOGLETRANSLATE('대전도시공사_청년임대주택 현황_20240630'!C612,""ko"",""en"")"),"1")</f>
        <v>1</v>
      </c>
      <c r="D612" s="1" t="str">
        <f ca="1">IFERROR(__xludf.DUMMYFUNCTION("GOOGLETRANSLATE('대전도시공사_청년임대주택 현황_20240630'!D612,""ko"",""en"")"),"1015")</f>
        <v>1015</v>
      </c>
      <c r="E612" s="1" t="str">
        <f ca="1">IFERROR(__xludf.DUMMYFUNCTION("GOOGLETRANSLATE('대전도시공사_청년임대주택 현황_20240630'!E612,""ko"",""en"")"),"46.296")</f>
        <v>46.296</v>
      </c>
      <c r="F612" s="1" t="str">
        <f ca="1">IFERROR(__xludf.DUMMYFUNCTION("GOOGLETRANSLATE('대전도시공사_청년임대주택 현황_20240630'!F612,""ko"",""en"")"),"18.459")</f>
        <v>18.459</v>
      </c>
      <c r="G612" s="1" t="str">
        <f ca="1">IFERROR(__xludf.DUMMYFUNCTION("GOOGLETRANSLATE('대전도시공사_청년임대주택 현황_20240630'!G612,""ko"",""en"")"),"27.837")</f>
        <v>27.837</v>
      </c>
      <c r="H612" s="1" t="str">
        <f ca="1">IFERROR(__xludf.DUMMYFUNCTION("GOOGLETRANSLATE('대전도시공사_청년임대주택 현황_20240630'!H612,""ko"",""en"")"),"Youth Rental 2nd Place")</f>
        <v>Youth Rental 2nd Place</v>
      </c>
      <c r="I612" s="1" t="str">
        <f ca="1">IFERROR(__xludf.DUMMYFUNCTION("GOOGLETRANSLATE('대전도시공사_청년임대주택 현황_20240630'!I612,""ko"",""en"")"),"2000000")</f>
        <v>2000000</v>
      </c>
      <c r="J612" s="1" t="str">
        <f ca="1">IFERROR(__xludf.DUMMYFUNCTION("GOOGLETRANSLATE('대전도시공사_청년임대주택 현황_20240630'!J612,""ko"",""en"")"),"261100")</f>
        <v>261100</v>
      </c>
    </row>
    <row r="613" spans="1:10" ht="12.5" x14ac:dyDescent="0.25">
      <c r="A613" s="1" t="str">
        <f ca="1">IFERROR(__xludf.DUMMYFUNCTION("GOOGLETRANSLATE('대전도시공사_청년임대주택 현황_20240630'!A613,""ko"",""en"")"),"540-8 Bongmyeong-dong (Haenarae 2, youth rental)")</f>
        <v>540-8 Bongmyeong-dong (Haenarae 2, youth rental)</v>
      </c>
      <c r="B613" s="1" t="str">
        <f ca="1">IFERROR(__xludf.DUMMYFUNCTION("GOOGLETRANSLATE('대전도시공사_청년임대주택 현황_20240630'!B613,""ko"",""en"")"),"132")</f>
        <v>132</v>
      </c>
      <c r="C613" s="1" t="str">
        <f ca="1">IFERROR(__xludf.DUMMYFUNCTION("GOOGLETRANSLATE('대전도시공사_청년임대주택 현황_20240630'!C613,""ko"",""en"")"),"1")</f>
        <v>1</v>
      </c>
      <c r="D613" s="1" t="str">
        <f ca="1">IFERROR(__xludf.DUMMYFUNCTION("GOOGLETRANSLATE('대전도시공사_청년임대주택 현황_20240630'!D613,""ko"",""en"")"),"1015")</f>
        <v>1015</v>
      </c>
      <c r="E613" s="1" t="str">
        <f ca="1">IFERROR(__xludf.DUMMYFUNCTION("GOOGLETRANSLATE('대전도시공사_청년임대주택 현황_20240630'!E613,""ko"",""en"")"),"46.296")</f>
        <v>46.296</v>
      </c>
      <c r="F613" s="1" t="str">
        <f ca="1">IFERROR(__xludf.DUMMYFUNCTION("GOOGLETRANSLATE('대전도시공사_청년임대주택 현황_20240630'!F613,""ko"",""en"")"),"18.459")</f>
        <v>18.459</v>
      </c>
      <c r="G613" s="1" t="str">
        <f ca="1">IFERROR(__xludf.DUMMYFUNCTION("GOOGLETRANSLATE('대전도시공사_청년임대주택 현황_20240630'!G613,""ko"",""en"")"),"27.837")</f>
        <v>27.837</v>
      </c>
      <c r="H613" s="1" t="str">
        <f ca="1">IFERROR(__xludf.DUMMYFUNCTION("GOOGLETRANSLATE('대전도시공사_청년임대주택 현황_20240630'!H613,""ko"",""en"")"),"3rd place for youth rental")</f>
        <v>3rd place for youth rental</v>
      </c>
      <c r="I613" s="1" t="str">
        <f ca="1">IFERROR(__xludf.DUMMYFUNCTION("GOOGLETRANSLATE('대전도시공사_청년임대주택 현황_20240630'!I613,""ko"",""en"")"),"2000000")</f>
        <v>2000000</v>
      </c>
      <c r="J613" s="1" t="str">
        <f ca="1">IFERROR(__xludf.DUMMYFUNCTION("GOOGLETRANSLATE('대전도시공사_청년임대주택 현황_20240630'!J613,""ko"",""en"")"),"261100")</f>
        <v>261100</v>
      </c>
    </row>
    <row r="614" spans="1:10" ht="12.5" x14ac:dyDescent="0.25">
      <c r="A614" s="1" t="str">
        <f ca="1">IFERROR(__xludf.DUMMYFUNCTION("GOOGLETRANSLATE('대전도시공사_청년임대주택 현황_20240630'!A614,""ko"",""en"")"),"540-8 Bongmyeong-dong (Haenarae 2, youth rental)")</f>
        <v>540-8 Bongmyeong-dong (Haenarae 2, youth rental)</v>
      </c>
      <c r="B614" s="1" t="str">
        <f ca="1">IFERROR(__xludf.DUMMYFUNCTION("GOOGLETRANSLATE('대전도시공사_청년임대주택 현황_20240630'!B614,""ko"",""en"")"),"133")</f>
        <v>133</v>
      </c>
      <c r="C614" s="1" t="str">
        <f ca="1">IFERROR(__xludf.DUMMYFUNCTION("GOOGLETRANSLATE('대전도시공사_청년임대주택 현황_20240630'!C614,""ko"",""en"")"),"1")</f>
        <v>1</v>
      </c>
      <c r="D614" s="1" t="str">
        <f ca="1">IFERROR(__xludf.DUMMYFUNCTION("GOOGLETRANSLATE('대전도시공사_청년임대주택 현황_20240630'!D614,""ko"",""en"")"),"1103")</f>
        <v>1103</v>
      </c>
      <c r="E614" s="1" t="str">
        <f ca="1">IFERROR(__xludf.DUMMYFUNCTION("GOOGLETRANSLATE('대전도시공사_청년임대주택 현황_20240630'!E614,""ko"",""en"")"),"58.798")</f>
        <v>58.798</v>
      </c>
      <c r="F614" s="1" t="str">
        <f ca="1">IFERROR(__xludf.DUMMYFUNCTION("GOOGLETRANSLATE('대전도시공사_청년임대주택 현황_20240630'!F614,""ko"",""en"")"),"24.279")</f>
        <v>24.279</v>
      </c>
      <c r="G614" s="1" t="str">
        <f ca="1">IFERROR(__xludf.DUMMYFUNCTION("GOOGLETRANSLATE('대전도시공사_청년임대주택 현황_20240630'!G614,""ko"",""en"")"),"34.519")</f>
        <v>34.519</v>
      </c>
      <c r="H614" s="1" t="str">
        <f ca="1">IFERROR(__xludf.DUMMYFUNCTION("GOOGLETRANSLATE('대전도시공사_청년임대주택 현황_20240630'!H614,""ko"",""en"")"),"Beneficiary")</f>
        <v>Beneficiary</v>
      </c>
      <c r="I614" s="1" t="str">
        <f ca="1">IFERROR(__xludf.DUMMYFUNCTION("GOOGLETRANSLATE('대전도시공사_청년임대주택 현황_20240630'!I614,""ko"",""en"")"),"1000000")</f>
        <v>1000000</v>
      </c>
      <c r="J614" s="1" t="str">
        <f ca="1">IFERROR(__xludf.DUMMYFUNCTION("GOOGLETRANSLATE('대전도시공사_청년임대주택 현황_20240630'!J614,""ko"",""en"")"),"220400")</f>
        <v>220400</v>
      </c>
    </row>
    <row r="615" spans="1:10" ht="12.5" x14ac:dyDescent="0.25">
      <c r="A615" s="1" t="str">
        <f ca="1">IFERROR(__xludf.DUMMYFUNCTION("GOOGLETRANSLATE('대전도시공사_청년임대주택 현황_20240630'!A615,""ko"",""en"")"),"540-8 Bongmyeong-dong (Haenarae 2, youth rental)")</f>
        <v>540-8 Bongmyeong-dong (Haenarae 2, youth rental)</v>
      </c>
      <c r="B615" s="1" t="str">
        <f ca="1">IFERROR(__xludf.DUMMYFUNCTION("GOOGLETRANSLATE('대전도시공사_청년임대주택 현황_20240630'!B615,""ko"",""en"")"),"134")</f>
        <v>134</v>
      </c>
      <c r="C615" s="1" t="str">
        <f ca="1">IFERROR(__xludf.DUMMYFUNCTION("GOOGLETRANSLATE('대전도시공사_청년임대주택 현황_20240630'!C615,""ko"",""en"")"),"1")</f>
        <v>1</v>
      </c>
      <c r="D615" s="1" t="str">
        <f ca="1">IFERROR(__xludf.DUMMYFUNCTION("GOOGLETRANSLATE('대전도시공사_청년임대주택 현황_20240630'!D615,""ko"",""en"")"),"1103")</f>
        <v>1103</v>
      </c>
      <c r="E615" s="1" t="str">
        <f ca="1">IFERROR(__xludf.DUMMYFUNCTION("GOOGLETRANSLATE('대전도시공사_청년임대주택 현황_20240630'!E615,""ko"",""en"")"),"58.798")</f>
        <v>58.798</v>
      </c>
      <c r="F615" s="1" t="str">
        <f ca="1">IFERROR(__xludf.DUMMYFUNCTION("GOOGLETRANSLATE('대전도시공사_청년임대주택 현황_20240630'!F615,""ko"",""en"")"),"24.279")</f>
        <v>24.279</v>
      </c>
      <c r="G615" s="1" t="str">
        <f ca="1">IFERROR(__xludf.DUMMYFUNCTION("GOOGLETRANSLATE('대전도시공사_청년임대주택 현황_20240630'!G615,""ko"",""en"")"),"34.519")</f>
        <v>34.519</v>
      </c>
      <c r="H615" s="1" t="str">
        <f ca="1">IFERROR(__xludf.DUMMYFUNCTION("GOOGLETRANSLATE('대전도시공사_청년임대주택 현황_20240630'!H615,""ko"",""en"")"),"Youth Rental 2nd Place")</f>
        <v>Youth Rental 2nd Place</v>
      </c>
      <c r="I615" s="1" t="str">
        <f ca="1">IFERROR(__xludf.DUMMYFUNCTION("GOOGLETRANSLATE('대전도시공사_청년임대주택 현황_20240630'!I615,""ko"",""en"")"),"2000000")</f>
        <v>2000000</v>
      </c>
      <c r="J615" s="1" t="str">
        <f ca="1">IFERROR(__xludf.DUMMYFUNCTION("GOOGLETRANSLATE('대전도시공사_청년임대주택 현황_20240630'!J615,""ko"",""en"")"),"271400")</f>
        <v>271400</v>
      </c>
    </row>
    <row r="616" spans="1:10" ht="12.5" x14ac:dyDescent="0.25">
      <c r="A616" s="1" t="str">
        <f ca="1">IFERROR(__xludf.DUMMYFUNCTION("GOOGLETRANSLATE('대전도시공사_청년임대주택 현황_20240630'!A616,""ko"",""en"")"),"540-8 Bongmyeong-dong (Haenarae 2, youth rental)")</f>
        <v>540-8 Bongmyeong-dong (Haenarae 2, youth rental)</v>
      </c>
      <c r="B616" s="1" t="str">
        <f ca="1">IFERROR(__xludf.DUMMYFUNCTION("GOOGLETRANSLATE('대전도시공사_청년임대주택 현황_20240630'!B616,""ko"",""en"")"),"135")</f>
        <v>135</v>
      </c>
      <c r="C616" s="1" t="str">
        <f ca="1">IFERROR(__xludf.DUMMYFUNCTION("GOOGLETRANSLATE('대전도시공사_청년임대주택 현황_20240630'!C616,""ko"",""en"")"),"1")</f>
        <v>1</v>
      </c>
      <c r="D616" s="1" t="str">
        <f ca="1">IFERROR(__xludf.DUMMYFUNCTION("GOOGLETRANSLATE('대전도시공사_청년임대주택 현황_20240630'!D616,""ko"",""en"")"),"1103")</f>
        <v>1103</v>
      </c>
      <c r="E616" s="1" t="str">
        <f ca="1">IFERROR(__xludf.DUMMYFUNCTION("GOOGLETRANSLATE('대전도시공사_청년임대주택 현황_20240630'!E616,""ko"",""en"")"),"58.798")</f>
        <v>58.798</v>
      </c>
      <c r="F616" s="1" t="str">
        <f ca="1">IFERROR(__xludf.DUMMYFUNCTION("GOOGLETRANSLATE('대전도시공사_청년임대주택 현황_20240630'!F616,""ko"",""en"")"),"24.279")</f>
        <v>24.279</v>
      </c>
      <c r="G616" s="1" t="str">
        <f ca="1">IFERROR(__xludf.DUMMYFUNCTION("GOOGLETRANSLATE('대전도시공사_청년임대주택 현황_20240630'!G616,""ko"",""en"")"),"34.519")</f>
        <v>34.519</v>
      </c>
      <c r="H616" s="1" t="str">
        <f ca="1">IFERROR(__xludf.DUMMYFUNCTION("GOOGLETRANSLATE('대전도시공사_청년임대주택 현황_20240630'!H616,""ko"",""en"")"),"3rd place for youth rental")</f>
        <v>3rd place for youth rental</v>
      </c>
      <c r="I616" s="1" t="str">
        <f ca="1">IFERROR(__xludf.DUMMYFUNCTION("GOOGLETRANSLATE('대전도시공사_청년임대주택 현황_20240630'!I616,""ko"",""en"")"),"2000000")</f>
        <v>2000000</v>
      </c>
      <c r="J616" s="1" t="str">
        <f ca="1">IFERROR(__xludf.DUMMYFUNCTION("GOOGLETRANSLATE('대전도시공사_청년임대주택 현황_20240630'!J616,""ko"",""en"")"),"271400")</f>
        <v>271400</v>
      </c>
    </row>
    <row r="617" spans="1:10" ht="12.5" x14ac:dyDescent="0.25">
      <c r="A617" s="1" t="str">
        <f ca="1">IFERROR(__xludf.DUMMYFUNCTION("GOOGLETRANSLATE('대전도시공사_청년임대주택 현황_20240630'!A617,""ko"",""en"")"),"540-8 Bongmyeong-dong (Haenarae 2, youth rental)")</f>
        <v>540-8 Bongmyeong-dong (Haenarae 2, youth rental)</v>
      </c>
      <c r="B617" s="1" t="str">
        <f ca="1">IFERROR(__xludf.DUMMYFUNCTION("GOOGLETRANSLATE('대전도시공사_청년임대주택 현황_20240630'!B617,""ko"",""en"")"),"136")</f>
        <v>136</v>
      </c>
      <c r="C617" s="1" t="str">
        <f ca="1">IFERROR(__xludf.DUMMYFUNCTION("GOOGLETRANSLATE('대전도시공사_청년임대주택 현황_20240630'!C617,""ko"",""en"")"),"1")</f>
        <v>1</v>
      </c>
      <c r="D617" s="1" t="str">
        <f ca="1">IFERROR(__xludf.DUMMYFUNCTION("GOOGLETRANSLATE('대전도시공사_청년임대주택 현황_20240630'!D617,""ko"",""en"")"),"1104")</f>
        <v>1104</v>
      </c>
      <c r="E617" s="1" t="str">
        <f ca="1">IFERROR(__xludf.DUMMYFUNCTION("GOOGLETRANSLATE('대전도시공사_청년임대주택 현황_20240630'!E617,""ko"",""en"")"),"58.798")</f>
        <v>58.798</v>
      </c>
      <c r="F617" s="1" t="str">
        <f ca="1">IFERROR(__xludf.DUMMYFUNCTION("GOOGLETRANSLATE('대전도시공사_청년임대주택 현황_20240630'!F617,""ko"",""en"")"),"24.279")</f>
        <v>24.279</v>
      </c>
      <c r="G617" s="1" t="str">
        <f ca="1">IFERROR(__xludf.DUMMYFUNCTION("GOOGLETRANSLATE('대전도시공사_청년임대주택 현황_20240630'!G617,""ko"",""en"")"),"34.519")</f>
        <v>34.519</v>
      </c>
      <c r="H617" s="1" t="str">
        <f ca="1">IFERROR(__xludf.DUMMYFUNCTION("GOOGLETRANSLATE('대전도시공사_청년임대주택 현황_20240630'!H617,""ko"",""en"")"),"Beneficiary")</f>
        <v>Beneficiary</v>
      </c>
      <c r="I617" s="1" t="str">
        <f ca="1">IFERROR(__xludf.DUMMYFUNCTION("GOOGLETRANSLATE('대전도시공사_청년임대주택 현황_20240630'!I617,""ko"",""en"")"),"1000000")</f>
        <v>1000000</v>
      </c>
      <c r="J617" s="1" t="str">
        <f ca="1">IFERROR(__xludf.DUMMYFUNCTION("GOOGLETRANSLATE('대전도시공사_청년임대주택 현황_20240630'!J617,""ko"",""en"")"),"220400")</f>
        <v>220400</v>
      </c>
    </row>
    <row r="618" spans="1:10" ht="12.5" x14ac:dyDescent="0.25">
      <c r="A618" s="1" t="str">
        <f ca="1">IFERROR(__xludf.DUMMYFUNCTION("GOOGLETRANSLATE('대전도시공사_청년임대주택 현황_20240630'!A618,""ko"",""en"")"),"540-8 Bongmyeong-dong (Haenarae 2, youth rental)")</f>
        <v>540-8 Bongmyeong-dong (Haenarae 2, youth rental)</v>
      </c>
      <c r="B618" s="1" t="str">
        <f ca="1">IFERROR(__xludf.DUMMYFUNCTION("GOOGLETRANSLATE('대전도시공사_청년임대주택 현황_20240630'!B618,""ko"",""en"")"),"137")</f>
        <v>137</v>
      </c>
      <c r="C618" s="1" t="str">
        <f ca="1">IFERROR(__xludf.DUMMYFUNCTION("GOOGLETRANSLATE('대전도시공사_청년임대주택 현황_20240630'!C618,""ko"",""en"")"),"1")</f>
        <v>1</v>
      </c>
      <c r="D618" s="1" t="str">
        <f ca="1">IFERROR(__xludf.DUMMYFUNCTION("GOOGLETRANSLATE('대전도시공사_청년임대주택 현황_20240630'!D618,""ko"",""en"")"),"1104")</f>
        <v>1104</v>
      </c>
      <c r="E618" s="1" t="str">
        <f ca="1">IFERROR(__xludf.DUMMYFUNCTION("GOOGLETRANSLATE('대전도시공사_청년임대주택 현황_20240630'!E618,""ko"",""en"")"),"58.798")</f>
        <v>58.798</v>
      </c>
      <c r="F618" s="1" t="str">
        <f ca="1">IFERROR(__xludf.DUMMYFUNCTION("GOOGLETRANSLATE('대전도시공사_청년임대주택 현황_20240630'!F618,""ko"",""en"")"),"24.279")</f>
        <v>24.279</v>
      </c>
      <c r="G618" s="1" t="str">
        <f ca="1">IFERROR(__xludf.DUMMYFUNCTION("GOOGLETRANSLATE('대전도시공사_청년임대주택 현황_20240630'!G618,""ko"",""en"")"),"34.519")</f>
        <v>34.519</v>
      </c>
      <c r="H618" s="1" t="str">
        <f ca="1">IFERROR(__xludf.DUMMYFUNCTION("GOOGLETRANSLATE('대전도시공사_청년임대주택 현황_20240630'!H618,""ko"",""en"")"),"Youth Rental 2nd Place")</f>
        <v>Youth Rental 2nd Place</v>
      </c>
      <c r="I618" s="1" t="str">
        <f ca="1">IFERROR(__xludf.DUMMYFUNCTION("GOOGLETRANSLATE('대전도시공사_청년임대주택 현황_20240630'!I618,""ko"",""en"")"),"2000000")</f>
        <v>2000000</v>
      </c>
      <c r="J618" s="1" t="str">
        <f ca="1">IFERROR(__xludf.DUMMYFUNCTION("GOOGLETRANSLATE('대전도시공사_청년임대주택 현황_20240630'!J618,""ko"",""en"")"),"271400")</f>
        <v>271400</v>
      </c>
    </row>
    <row r="619" spans="1:10" ht="12.5" x14ac:dyDescent="0.25">
      <c r="A619" s="1" t="str">
        <f ca="1">IFERROR(__xludf.DUMMYFUNCTION("GOOGLETRANSLATE('대전도시공사_청년임대주택 현황_20240630'!A619,""ko"",""en"")"),"540-8 Bongmyeong-dong (Haenarae 2, youth rental)")</f>
        <v>540-8 Bongmyeong-dong (Haenarae 2, youth rental)</v>
      </c>
      <c r="B619" s="1" t="str">
        <f ca="1">IFERROR(__xludf.DUMMYFUNCTION("GOOGLETRANSLATE('대전도시공사_청년임대주택 현황_20240630'!B619,""ko"",""en"")"),"138")</f>
        <v>138</v>
      </c>
      <c r="C619" s="1" t="str">
        <f ca="1">IFERROR(__xludf.DUMMYFUNCTION("GOOGLETRANSLATE('대전도시공사_청년임대주택 현황_20240630'!C619,""ko"",""en"")"),"1")</f>
        <v>1</v>
      </c>
      <c r="D619" s="1" t="str">
        <f ca="1">IFERROR(__xludf.DUMMYFUNCTION("GOOGLETRANSLATE('대전도시공사_청년임대주택 현황_20240630'!D619,""ko"",""en"")"),"1104")</f>
        <v>1104</v>
      </c>
      <c r="E619" s="1" t="str">
        <f ca="1">IFERROR(__xludf.DUMMYFUNCTION("GOOGLETRANSLATE('대전도시공사_청년임대주택 현황_20240630'!E619,""ko"",""en"")"),"58.798")</f>
        <v>58.798</v>
      </c>
      <c r="F619" s="1" t="str">
        <f ca="1">IFERROR(__xludf.DUMMYFUNCTION("GOOGLETRANSLATE('대전도시공사_청년임대주택 현황_20240630'!F619,""ko"",""en"")"),"24.279")</f>
        <v>24.279</v>
      </c>
      <c r="G619" s="1" t="str">
        <f ca="1">IFERROR(__xludf.DUMMYFUNCTION("GOOGLETRANSLATE('대전도시공사_청년임대주택 현황_20240630'!G619,""ko"",""en"")"),"34.519")</f>
        <v>34.519</v>
      </c>
      <c r="H619" s="1" t="str">
        <f ca="1">IFERROR(__xludf.DUMMYFUNCTION("GOOGLETRANSLATE('대전도시공사_청년임대주택 현황_20240630'!H619,""ko"",""en"")"),"3rd place for youth rental")</f>
        <v>3rd place for youth rental</v>
      </c>
      <c r="I619" s="1" t="str">
        <f ca="1">IFERROR(__xludf.DUMMYFUNCTION("GOOGLETRANSLATE('대전도시공사_청년임대주택 현황_20240630'!I619,""ko"",""en"")"),"2000000")</f>
        <v>2000000</v>
      </c>
      <c r="J619" s="1" t="str">
        <f ca="1">IFERROR(__xludf.DUMMYFUNCTION("GOOGLETRANSLATE('대전도시공사_청년임대주택 현황_20240630'!J619,""ko"",""en"")"),"271400")</f>
        <v>271400</v>
      </c>
    </row>
    <row r="620" spans="1:10" ht="12.5" x14ac:dyDescent="0.25">
      <c r="A620" s="1" t="str">
        <f ca="1">IFERROR(__xludf.DUMMYFUNCTION("GOOGLETRANSLATE('대전도시공사_청년임대주택 현황_20240630'!A620,""ko"",""en"")"),"540-8 Bongmyeong-dong (Haenarae 2, youth rental)")</f>
        <v>540-8 Bongmyeong-dong (Haenarae 2, youth rental)</v>
      </c>
      <c r="B620" s="1" t="str">
        <f ca="1">IFERROR(__xludf.DUMMYFUNCTION("GOOGLETRANSLATE('대전도시공사_청년임대주택 현황_20240630'!B620,""ko"",""en"")"),"142")</f>
        <v>142</v>
      </c>
      <c r="C620" s="1" t="str">
        <f ca="1">IFERROR(__xludf.DUMMYFUNCTION("GOOGLETRANSLATE('대전도시공사_청년임대주택 현황_20240630'!C620,""ko"",""en"")"),"1")</f>
        <v>1</v>
      </c>
      <c r="D620" s="1" t="str">
        <f ca="1">IFERROR(__xludf.DUMMYFUNCTION("GOOGLETRANSLATE('대전도시공사_청년임대주택 현황_20240630'!D620,""ko"",""en"")"),"1107")</f>
        <v>1107</v>
      </c>
      <c r="E620" s="1" t="str">
        <f ca="1">IFERROR(__xludf.DUMMYFUNCTION("GOOGLETRANSLATE('대전도시공사_청년임대주택 현황_20240630'!E620,""ko"",""en"")"),"58.798")</f>
        <v>58.798</v>
      </c>
      <c r="F620" s="1" t="str">
        <f ca="1">IFERROR(__xludf.DUMMYFUNCTION("GOOGLETRANSLATE('대전도시공사_청년임대주택 현황_20240630'!F620,""ko"",""en"")"),"24.279")</f>
        <v>24.279</v>
      </c>
      <c r="G620" s="1" t="str">
        <f ca="1">IFERROR(__xludf.DUMMYFUNCTION("GOOGLETRANSLATE('대전도시공사_청년임대주택 현황_20240630'!G620,""ko"",""en"")"),"34.519")</f>
        <v>34.519</v>
      </c>
      <c r="H620" s="1" t="str">
        <f ca="1">IFERROR(__xludf.DUMMYFUNCTION("GOOGLETRANSLATE('대전도시공사_청년임대주택 현황_20240630'!H620,""ko"",""en"")"),"Beneficiary")</f>
        <v>Beneficiary</v>
      </c>
      <c r="I620" s="1" t="str">
        <f ca="1">IFERROR(__xludf.DUMMYFUNCTION("GOOGLETRANSLATE('대전도시공사_청년임대주택 현황_20240630'!I620,""ko"",""en"")"),"1000000")</f>
        <v>1000000</v>
      </c>
      <c r="J620" s="1" t="str">
        <f ca="1">IFERROR(__xludf.DUMMYFUNCTION("GOOGLETRANSLATE('대전도시공사_청년임대주택 현황_20240630'!J620,""ko"",""en"")"),"222500")</f>
        <v>222500</v>
      </c>
    </row>
    <row r="621" spans="1:10" ht="12.5" x14ac:dyDescent="0.25">
      <c r="A621" s="1" t="str">
        <f ca="1">IFERROR(__xludf.DUMMYFUNCTION("GOOGLETRANSLATE('대전도시공사_청년임대주택 현황_20240630'!A621,""ko"",""en"")"),"540-8 Bongmyeong-dong (Haenarae 2, youth rental)")</f>
        <v>540-8 Bongmyeong-dong (Haenarae 2, youth rental)</v>
      </c>
      <c r="B621" s="1" t="str">
        <f ca="1">IFERROR(__xludf.DUMMYFUNCTION("GOOGLETRANSLATE('대전도시공사_청년임대주택 현황_20240630'!B621,""ko"",""en"")"),"143")</f>
        <v>143</v>
      </c>
      <c r="C621" s="1" t="str">
        <f ca="1">IFERROR(__xludf.DUMMYFUNCTION("GOOGLETRANSLATE('대전도시공사_청년임대주택 현황_20240630'!C621,""ko"",""en"")"),"1")</f>
        <v>1</v>
      </c>
      <c r="D621" s="1" t="str">
        <f ca="1">IFERROR(__xludf.DUMMYFUNCTION("GOOGLETRANSLATE('대전도시공사_청년임대주택 현황_20240630'!D621,""ko"",""en"")"),"1107")</f>
        <v>1107</v>
      </c>
      <c r="E621" s="1" t="str">
        <f ca="1">IFERROR(__xludf.DUMMYFUNCTION("GOOGLETRANSLATE('대전도시공사_청년임대주택 현황_20240630'!E621,""ko"",""en"")"),"58.798")</f>
        <v>58.798</v>
      </c>
      <c r="F621" s="1" t="str">
        <f ca="1">IFERROR(__xludf.DUMMYFUNCTION("GOOGLETRANSLATE('대전도시공사_청년임대주택 현황_20240630'!F621,""ko"",""en"")"),"24.279")</f>
        <v>24.279</v>
      </c>
      <c r="G621" s="1" t="str">
        <f ca="1">IFERROR(__xludf.DUMMYFUNCTION("GOOGLETRANSLATE('대전도시공사_청년임대주택 현황_20240630'!G621,""ko"",""en"")"),"34.519")</f>
        <v>34.519</v>
      </c>
      <c r="H621" s="1" t="str">
        <f ca="1">IFERROR(__xludf.DUMMYFUNCTION("GOOGLETRANSLATE('대전도시공사_청년임대주택 현황_20240630'!H621,""ko"",""en"")"),"Youth Rental 2nd Place")</f>
        <v>Youth Rental 2nd Place</v>
      </c>
      <c r="I621" s="1" t="str">
        <f ca="1">IFERROR(__xludf.DUMMYFUNCTION("GOOGLETRANSLATE('대전도시공사_청년임대주택 현황_20240630'!I621,""ko"",""en"")"),"2000000")</f>
        <v>2000000</v>
      </c>
      <c r="J621" s="1" t="str">
        <f ca="1">IFERROR(__xludf.DUMMYFUNCTION("GOOGLETRANSLATE('대전도시공사_청년임대주택 현황_20240630'!J621,""ko"",""en"")"),"274000")</f>
        <v>274000</v>
      </c>
    </row>
    <row r="622" spans="1:10" ht="12.5" x14ac:dyDescent="0.25">
      <c r="A622" s="1" t="str">
        <f ca="1">IFERROR(__xludf.DUMMYFUNCTION("GOOGLETRANSLATE('대전도시공사_청년임대주택 현황_20240630'!A622,""ko"",""en"")"),"540-8 Bongmyeong-dong (Haenarae 2, youth rental)")</f>
        <v>540-8 Bongmyeong-dong (Haenarae 2, youth rental)</v>
      </c>
      <c r="B622" s="1" t="str">
        <f ca="1">IFERROR(__xludf.DUMMYFUNCTION("GOOGLETRANSLATE('대전도시공사_청년임대주택 현황_20240630'!B622,""ko"",""en"")"),"144")</f>
        <v>144</v>
      </c>
      <c r="C622" s="1" t="str">
        <f ca="1">IFERROR(__xludf.DUMMYFUNCTION("GOOGLETRANSLATE('대전도시공사_청년임대주택 현황_20240630'!C622,""ko"",""en"")"),"1")</f>
        <v>1</v>
      </c>
      <c r="D622" s="1" t="str">
        <f ca="1">IFERROR(__xludf.DUMMYFUNCTION("GOOGLETRANSLATE('대전도시공사_청년임대주택 현황_20240630'!D622,""ko"",""en"")"),"1107")</f>
        <v>1107</v>
      </c>
      <c r="E622" s="1" t="str">
        <f ca="1">IFERROR(__xludf.DUMMYFUNCTION("GOOGLETRANSLATE('대전도시공사_청년임대주택 현황_20240630'!E622,""ko"",""en"")"),"58.798")</f>
        <v>58.798</v>
      </c>
      <c r="F622" s="1" t="str">
        <f ca="1">IFERROR(__xludf.DUMMYFUNCTION("GOOGLETRANSLATE('대전도시공사_청년임대주택 현황_20240630'!F622,""ko"",""en"")"),"24.279")</f>
        <v>24.279</v>
      </c>
      <c r="G622" s="1" t="str">
        <f ca="1">IFERROR(__xludf.DUMMYFUNCTION("GOOGLETRANSLATE('대전도시공사_청년임대주택 현황_20240630'!G622,""ko"",""en"")"),"34.519")</f>
        <v>34.519</v>
      </c>
      <c r="H622" s="1" t="str">
        <f ca="1">IFERROR(__xludf.DUMMYFUNCTION("GOOGLETRANSLATE('대전도시공사_청년임대주택 현황_20240630'!H622,""ko"",""en"")"),"3rd place for youth rental")</f>
        <v>3rd place for youth rental</v>
      </c>
      <c r="I622" s="1" t="str">
        <f ca="1">IFERROR(__xludf.DUMMYFUNCTION("GOOGLETRANSLATE('대전도시공사_청년임대주택 현황_20240630'!I622,""ko"",""en"")"),"2000000")</f>
        <v>2000000</v>
      </c>
      <c r="J622" s="1" t="str">
        <f ca="1">IFERROR(__xludf.DUMMYFUNCTION("GOOGLETRANSLATE('대전도시공사_청년임대주택 현황_20240630'!J622,""ko"",""en"")"),"274000")</f>
        <v>274000</v>
      </c>
    </row>
    <row r="623" spans="1:10" ht="12.5" x14ac:dyDescent="0.25">
      <c r="A623" s="1" t="str">
        <f ca="1">IFERROR(__xludf.DUMMYFUNCTION("GOOGLETRANSLATE('대전도시공사_청년임대주택 현황_20240630'!A623,""ko"",""en"")"),"540-8 Bongmyeong-dong (Haenarae 2, youth rental)")</f>
        <v>540-8 Bongmyeong-dong (Haenarae 2, youth rental)</v>
      </c>
      <c r="B623" s="1" t="str">
        <f ca="1">IFERROR(__xludf.DUMMYFUNCTION("GOOGLETRANSLATE('대전도시공사_청년임대주택 현황_20240630'!B623,""ko"",""en"")"),"145")</f>
        <v>145</v>
      </c>
      <c r="C623" s="1" t="str">
        <f ca="1">IFERROR(__xludf.DUMMYFUNCTION("GOOGLETRANSLATE('대전도시공사_청년임대주택 현황_20240630'!C623,""ko"",""en"")"),"1")</f>
        <v>1</v>
      </c>
      <c r="D623" s="1" t="str">
        <f ca="1">IFERROR(__xludf.DUMMYFUNCTION("GOOGLETRANSLATE('대전도시공사_청년임대주택 현황_20240630'!D623,""ko"",""en"")"),"1108")</f>
        <v>1108</v>
      </c>
      <c r="E623" s="1" t="str">
        <f ca="1">IFERROR(__xludf.DUMMYFUNCTION("GOOGLETRANSLATE('대전도시공사_청년임대주택 현황_20240630'!E623,""ko"",""en"")"),"58.14")</f>
        <v>58.14</v>
      </c>
      <c r="F623" s="1" t="str">
        <f ca="1">IFERROR(__xludf.DUMMYFUNCTION("GOOGLETRANSLATE('대전도시공사_청년임대주택 현황_20240630'!F623,""ko"",""en"")"),"23.78")</f>
        <v>23.78</v>
      </c>
      <c r="G623" s="1" t="str">
        <f ca="1">IFERROR(__xludf.DUMMYFUNCTION("GOOGLETRANSLATE('대전도시공사_청년임대주택 현황_20240630'!G623,""ko"",""en"")"),"34.36")</f>
        <v>34.36</v>
      </c>
      <c r="H623" s="1" t="str">
        <f ca="1">IFERROR(__xludf.DUMMYFUNCTION("GOOGLETRANSLATE('대전도시공사_청년임대주택 현황_20240630'!H623,""ko"",""en"")"),"Beneficiary")</f>
        <v>Beneficiary</v>
      </c>
      <c r="I623" s="1" t="str">
        <f ca="1">IFERROR(__xludf.DUMMYFUNCTION("GOOGLETRANSLATE('대전도시공사_청년임대주택 현황_20240630'!I623,""ko"",""en"")"),"1000000")</f>
        <v>1000000</v>
      </c>
      <c r="J623" s="1" t="str">
        <f ca="1">IFERROR(__xludf.DUMMYFUNCTION("GOOGLETRANSLATE('대전도시공사_청년임대주택 현황_20240630'!J623,""ko"",""en"")"),"217800")</f>
        <v>217800</v>
      </c>
    </row>
    <row r="624" spans="1:10" ht="12.5" x14ac:dyDescent="0.25">
      <c r="A624" s="1" t="str">
        <f ca="1">IFERROR(__xludf.DUMMYFUNCTION("GOOGLETRANSLATE('대전도시공사_청년임대주택 현황_20240630'!A624,""ko"",""en"")"),"540-8 Bongmyeong-dong (Haenarae 2, youth rental)")</f>
        <v>540-8 Bongmyeong-dong (Haenarae 2, youth rental)</v>
      </c>
      <c r="B624" s="1" t="str">
        <f ca="1">IFERROR(__xludf.DUMMYFUNCTION("GOOGLETRANSLATE('대전도시공사_청년임대주택 현황_20240630'!B624,""ko"",""en"")"),"146")</f>
        <v>146</v>
      </c>
      <c r="C624" s="1" t="str">
        <f ca="1">IFERROR(__xludf.DUMMYFUNCTION("GOOGLETRANSLATE('대전도시공사_청년임대주택 현황_20240630'!C624,""ko"",""en"")"),"1")</f>
        <v>1</v>
      </c>
      <c r="D624" s="1" t="str">
        <f ca="1">IFERROR(__xludf.DUMMYFUNCTION("GOOGLETRANSLATE('대전도시공사_청년임대주택 현황_20240630'!D624,""ko"",""en"")"),"1108")</f>
        <v>1108</v>
      </c>
      <c r="E624" s="1" t="str">
        <f ca="1">IFERROR(__xludf.DUMMYFUNCTION("GOOGLETRANSLATE('대전도시공사_청년임대주택 현황_20240630'!E624,""ko"",""en"")"),"58.14")</f>
        <v>58.14</v>
      </c>
      <c r="F624" s="1" t="str">
        <f ca="1">IFERROR(__xludf.DUMMYFUNCTION("GOOGLETRANSLATE('대전도시공사_청년임대주택 현황_20240630'!F624,""ko"",""en"")"),"23.78")</f>
        <v>23.78</v>
      </c>
      <c r="G624" s="1" t="str">
        <f ca="1">IFERROR(__xludf.DUMMYFUNCTION("GOOGLETRANSLATE('대전도시공사_청년임대주택 현황_20240630'!G624,""ko"",""en"")"),"34.36")</f>
        <v>34.36</v>
      </c>
      <c r="H624" s="1" t="str">
        <f ca="1">IFERROR(__xludf.DUMMYFUNCTION("GOOGLETRANSLATE('대전도시공사_청년임대주택 현황_20240630'!H624,""ko"",""en"")"),"Youth Rental 2nd Place")</f>
        <v>Youth Rental 2nd Place</v>
      </c>
      <c r="I624" s="1" t="str">
        <f ca="1">IFERROR(__xludf.DUMMYFUNCTION("GOOGLETRANSLATE('대전도시공사_청년임대주택 현황_20240630'!I624,""ko"",""en"")"),"2000000")</f>
        <v>2000000</v>
      </c>
      <c r="J624" s="1" t="str">
        <f ca="1">IFERROR(__xludf.DUMMYFUNCTION("GOOGLETRANSLATE('대전도시공사_청년임대주택 현황_20240630'!J624,""ko"",""en"")"),"268100")</f>
        <v>268100</v>
      </c>
    </row>
    <row r="625" spans="1:10" ht="12.5" x14ac:dyDescent="0.25">
      <c r="A625" s="1" t="str">
        <f ca="1">IFERROR(__xludf.DUMMYFUNCTION("GOOGLETRANSLATE('대전도시공사_청년임대주택 현황_20240630'!A625,""ko"",""en"")"),"540-8 Bongmyeong-dong (Haenarae 2, youth rental)")</f>
        <v>540-8 Bongmyeong-dong (Haenarae 2, youth rental)</v>
      </c>
      <c r="B625" s="1" t="str">
        <f ca="1">IFERROR(__xludf.DUMMYFUNCTION("GOOGLETRANSLATE('대전도시공사_청년임대주택 현황_20240630'!B625,""ko"",""en"")"),"147")</f>
        <v>147</v>
      </c>
      <c r="C625" s="1" t="str">
        <f ca="1">IFERROR(__xludf.DUMMYFUNCTION("GOOGLETRANSLATE('대전도시공사_청년임대주택 현황_20240630'!C625,""ko"",""en"")"),"1")</f>
        <v>1</v>
      </c>
      <c r="D625" s="1" t="str">
        <f ca="1">IFERROR(__xludf.DUMMYFUNCTION("GOOGLETRANSLATE('대전도시공사_청년임대주택 현황_20240630'!D625,""ko"",""en"")"),"1108")</f>
        <v>1108</v>
      </c>
      <c r="E625" s="1" t="str">
        <f ca="1">IFERROR(__xludf.DUMMYFUNCTION("GOOGLETRANSLATE('대전도시공사_청년임대주택 현황_20240630'!E625,""ko"",""en"")"),"58.14")</f>
        <v>58.14</v>
      </c>
      <c r="F625" s="1" t="str">
        <f ca="1">IFERROR(__xludf.DUMMYFUNCTION("GOOGLETRANSLATE('대전도시공사_청년임대주택 현황_20240630'!F625,""ko"",""en"")"),"23.78")</f>
        <v>23.78</v>
      </c>
      <c r="G625" s="1" t="str">
        <f ca="1">IFERROR(__xludf.DUMMYFUNCTION("GOOGLETRANSLATE('대전도시공사_청년임대주택 현황_20240630'!G625,""ko"",""en"")"),"34.36")</f>
        <v>34.36</v>
      </c>
      <c r="H625" s="1" t="str">
        <f ca="1">IFERROR(__xludf.DUMMYFUNCTION("GOOGLETRANSLATE('대전도시공사_청년임대주택 현황_20240630'!H625,""ko"",""en"")"),"3rd place for youth rental")</f>
        <v>3rd place for youth rental</v>
      </c>
      <c r="I625" s="1" t="str">
        <f ca="1">IFERROR(__xludf.DUMMYFUNCTION("GOOGLETRANSLATE('대전도시공사_청년임대주택 현황_20240630'!I625,""ko"",""en"")"),"2000000")</f>
        <v>2000000</v>
      </c>
      <c r="J625" s="1" t="str">
        <f ca="1">IFERROR(__xludf.DUMMYFUNCTION("GOOGLETRANSLATE('대전도시공사_청년임대주택 현황_20240630'!J625,""ko"",""en"")"),"268100")</f>
        <v>268100</v>
      </c>
    </row>
    <row r="626" spans="1:10" ht="12.5" x14ac:dyDescent="0.25">
      <c r="A626" s="1" t="str">
        <f ca="1">IFERROR(__xludf.DUMMYFUNCTION("GOOGLETRANSLATE('대전도시공사_청년임대주택 현황_20240630'!A626,""ko"",""en"")"),"540-8 Bongmyeong-dong (Haenarae 2, youth rental)")</f>
        <v>540-8 Bongmyeong-dong (Haenarae 2, youth rental)</v>
      </c>
      <c r="B626" s="1" t="str">
        <f ca="1">IFERROR(__xludf.DUMMYFUNCTION("GOOGLETRANSLATE('대전도시공사_청년임대주택 현황_20240630'!B626,""ko"",""en"")"),"151")</f>
        <v>151</v>
      </c>
      <c r="C626" s="1" t="str">
        <f ca="1">IFERROR(__xludf.DUMMYFUNCTION("GOOGLETRANSLATE('대전도시공사_청년임대주택 현황_20240630'!C626,""ko"",""en"")"),"1")</f>
        <v>1</v>
      </c>
      <c r="D626" s="1" t="str">
        <f ca="1">IFERROR(__xludf.DUMMYFUNCTION("GOOGLETRANSLATE('대전도시공사_청년임대주택 현황_20240630'!D626,""ko"",""en"")"),"1201")</f>
        <v>1201</v>
      </c>
      <c r="E626" s="1" t="str">
        <f ca="1">IFERROR(__xludf.DUMMYFUNCTION("GOOGLETRANSLATE('대전도시공사_청년임대주택 현황_20240630'!E626,""ko"",""en"")"),"48.862")</f>
        <v>48.862</v>
      </c>
      <c r="F626" s="1" t="str">
        <f ca="1">IFERROR(__xludf.DUMMYFUNCTION("GOOGLETRANSLATE('대전도시공사_청년임대주택 현황_20240630'!F626,""ko"",""en"")"),"18.887")</f>
        <v>18.887</v>
      </c>
      <c r="G626" s="1" t="str">
        <f ca="1">IFERROR(__xludf.DUMMYFUNCTION("GOOGLETRANSLATE('대전도시공사_청년임대주택 현황_20240630'!G626,""ko"",""en"")"),"27.974")</f>
        <v>27.974</v>
      </c>
      <c r="H626" s="1" t="str">
        <f ca="1">IFERROR(__xludf.DUMMYFUNCTION("GOOGLETRANSLATE('대전도시공사_청년임대주택 현황_20240630'!H626,""ko"",""en"")"),"Youth Rent 1st Place")</f>
        <v>Youth Rent 1st Place</v>
      </c>
      <c r="I626" s="1" t="str">
        <f ca="1">IFERROR(__xludf.DUMMYFUNCTION("GOOGLETRANSLATE('대전도시공사_청년임대주택 현황_20240630'!I626,""ko"",""en"")"),"1000000")</f>
        <v>1000000</v>
      </c>
      <c r="J626" s="1" t="str">
        <f ca="1">IFERROR(__xludf.DUMMYFUNCTION("GOOGLETRANSLATE('대전도시공사_청년임대주택 현황_20240630'!J626,""ko"",""en"")"),"219200")</f>
        <v>219200</v>
      </c>
    </row>
    <row r="627" spans="1:10" ht="12.5" x14ac:dyDescent="0.25">
      <c r="A627" s="1" t="str">
        <f ca="1">IFERROR(__xludf.DUMMYFUNCTION("GOOGLETRANSLATE('대전도시공사_청년임대주택 현황_20240630'!A627,""ko"",""en"")"),"540-8 Bongmyeong-dong (Haenarae 2, youth rental)")</f>
        <v>540-8 Bongmyeong-dong (Haenarae 2, youth rental)</v>
      </c>
      <c r="B627" s="1" t="str">
        <f ca="1">IFERROR(__xludf.DUMMYFUNCTION("GOOGLETRANSLATE('대전도시공사_청년임대주택 현황_20240630'!B627,""ko"",""en"")"),"152")</f>
        <v>152</v>
      </c>
      <c r="C627" s="1" t="str">
        <f ca="1">IFERROR(__xludf.DUMMYFUNCTION("GOOGLETRANSLATE('대전도시공사_청년임대주택 현황_20240630'!C627,""ko"",""en"")"),"1")</f>
        <v>1</v>
      </c>
      <c r="D627" s="1" t="str">
        <f ca="1">IFERROR(__xludf.DUMMYFUNCTION("GOOGLETRANSLATE('대전도시공사_청년임대주택 현황_20240630'!D627,""ko"",""en"")"),"1201")</f>
        <v>1201</v>
      </c>
      <c r="E627" s="1" t="str">
        <f ca="1">IFERROR(__xludf.DUMMYFUNCTION("GOOGLETRANSLATE('대전도시공사_청년임대주택 현황_20240630'!E627,""ko"",""en"")"),"48.862")</f>
        <v>48.862</v>
      </c>
      <c r="F627" s="1" t="str">
        <f ca="1">IFERROR(__xludf.DUMMYFUNCTION("GOOGLETRANSLATE('대전도시공사_청년임대주택 현황_20240630'!F627,""ko"",""en"")"),"18.887")</f>
        <v>18.887</v>
      </c>
      <c r="G627" s="1" t="str">
        <f ca="1">IFERROR(__xludf.DUMMYFUNCTION("GOOGLETRANSLATE('대전도시공사_청년임대주택 현황_20240630'!G627,""ko"",""en"")"),"27.974")</f>
        <v>27.974</v>
      </c>
      <c r="H627" s="1" t="str">
        <f ca="1">IFERROR(__xludf.DUMMYFUNCTION("GOOGLETRANSLATE('대전도시공사_청년임대주택 현황_20240630'!H627,""ko"",""en"")"),"Youth Rental 2nd Place")</f>
        <v>Youth Rental 2nd Place</v>
      </c>
      <c r="I627" s="1" t="str">
        <f ca="1">IFERROR(__xludf.DUMMYFUNCTION("GOOGLETRANSLATE('대전도시공사_청년임대주택 현황_20240630'!I627,""ko"",""en"")"),"2000000")</f>
        <v>2000000</v>
      </c>
      <c r="J627" s="1" t="str">
        <f ca="1">IFERROR(__xludf.DUMMYFUNCTION("GOOGLETRANSLATE('대전도시공사_청년임대주택 현황_20240630'!J627,""ko"",""en"")"),"269900")</f>
        <v>269900</v>
      </c>
    </row>
    <row r="628" spans="1:10" ht="12.5" x14ac:dyDescent="0.25">
      <c r="A628" s="1" t="str">
        <f ca="1">IFERROR(__xludf.DUMMYFUNCTION("GOOGLETRANSLATE('대전도시공사_청년임대주택 현황_20240630'!A628,""ko"",""en"")"),"540-8 Bongmyeong-dong (Haenarae 2, youth rental)")</f>
        <v>540-8 Bongmyeong-dong (Haenarae 2, youth rental)</v>
      </c>
      <c r="B628" s="1" t="str">
        <f ca="1">IFERROR(__xludf.DUMMYFUNCTION("GOOGLETRANSLATE('대전도시공사_청년임대주택 현황_20240630'!B628,""ko"",""en"")"),"153")</f>
        <v>153</v>
      </c>
      <c r="C628" s="1" t="str">
        <f ca="1">IFERROR(__xludf.DUMMYFUNCTION("GOOGLETRANSLATE('대전도시공사_청년임대주택 현황_20240630'!C628,""ko"",""en"")"),"1")</f>
        <v>1</v>
      </c>
      <c r="D628" s="1" t="str">
        <f ca="1">IFERROR(__xludf.DUMMYFUNCTION("GOOGLETRANSLATE('대전도시공사_청년임대주택 현황_20240630'!D628,""ko"",""en"")"),"1201")</f>
        <v>1201</v>
      </c>
      <c r="E628" s="1" t="str">
        <f ca="1">IFERROR(__xludf.DUMMYFUNCTION("GOOGLETRANSLATE('대전도시공사_청년임대주택 현황_20240630'!E628,""ko"",""en"")"),"48.862")</f>
        <v>48.862</v>
      </c>
      <c r="F628" s="1" t="str">
        <f ca="1">IFERROR(__xludf.DUMMYFUNCTION("GOOGLETRANSLATE('대전도시공사_청년임대주택 현황_20240630'!F628,""ko"",""en"")"),"18.887")</f>
        <v>18.887</v>
      </c>
      <c r="G628" s="1" t="str">
        <f ca="1">IFERROR(__xludf.DUMMYFUNCTION("GOOGLETRANSLATE('대전도시공사_청년임대주택 현황_20240630'!G628,""ko"",""en"")"),"27.974")</f>
        <v>27.974</v>
      </c>
      <c r="H628" s="1" t="str">
        <f ca="1">IFERROR(__xludf.DUMMYFUNCTION("GOOGLETRANSLATE('대전도시공사_청년임대주택 현황_20240630'!H628,""ko"",""en"")"),"3rd place for youth rental")</f>
        <v>3rd place for youth rental</v>
      </c>
      <c r="I628" s="1" t="str">
        <f ca="1">IFERROR(__xludf.DUMMYFUNCTION("GOOGLETRANSLATE('대전도시공사_청년임대주택 현황_20240630'!I628,""ko"",""en"")"),"2000000")</f>
        <v>2000000</v>
      </c>
      <c r="J628" s="1" t="str">
        <f ca="1">IFERROR(__xludf.DUMMYFUNCTION("GOOGLETRANSLATE('대전도시공사_청년임대주택 현황_20240630'!J628,""ko"",""en"")"),"269900")</f>
        <v>269900</v>
      </c>
    </row>
    <row r="629" spans="1:10" ht="12.5" x14ac:dyDescent="0.25">
      <c r="A629" s="1" t="str">
        <f ca="1">IFERROR(__xludf.DUMMYFUNCTION("GOOGLETRANSLATE('대전도시공사_청년임대주택 현황_20240630'!A629,""ko"",""en"")"),"540-8 Bongmyeong-dong (Haenarae 2, youth rental)")</f>
        <v>540-8 Bongmyeong-dong (Haenarae 2, youth rental)</v>
      </c>
      <c r="B629" s="1" t="str">
        <f ca="1">IFERROR(__xludf.DUMMYFUNCTION("GOOGLETRANSLATE('대전도시공사_청년임대주택 현황_20240630'!B629,""ko"",""en"")"),"154")</f>
        <v>154</v>
      </c>
      <c r="C629" s="1" t="str">
        <f ca="1">IFERROR(__xludf.DUMMYFUNCTION("GOOGLETRANSLATE('대전도시공사_청년임대주택 현황_20240630'!C629,""ko"",""en"")"),"1")</f>
        <v>1</v>
      </c>
      <c r="D629" s="1" t="str">
        <f ca="1">IFERROR(__xludf.DUMMYFUNCTION("GOOGLETRANSLATE('대전도시공사_청년임대주택 현황_20240630'!D629,""ko"",""en"")"),"1202")</f>
        <v>1202</v>
      </c>
      <c r="E629" s="1" t="str">
        <f ca="1">IFERROR(__xludf.DUMMYFUNCTION("GOOGLETRANSLATE('대전도시공사_청년임대주택 현황_20240630'!E629,""ko"",""en"")"),"58.798")</f>
        <v>58.798</v>
      </c>
      <c r="F629" s="1" t="str">
        <f ca="1">IFERROR(__xludf.DUMMYFUNCTION("GOOGLETRANSLATE('대전도시공사_청년임대주택 현황_20240630'!F629,""ko"",""en"")"),"24.279")</f>
        <v>24.279</v>
      </c>
      <c r="G629" s="1" t="str">
        <f ca="1">IFERROR(__xludf.DUMMYFUNCTION("GOOGLETRANSLATE('대전도시공사_청년임대주택 현황_20240630'!G629,""ko"",""en"")"),"34.519")</f>
        <v>34.519</v>
      </c>
      <c r="H629" s="1" t="str">
        <f ca="1">IFERROR(__xludf.DUMMYFUNCTION("GOOGLETRANSLATE('대전도시공사_청년임대주택 현황_20240630'!H629,""ko"",""en"")"),"Beneficiary")</f>
        <v>Beneficiary</v>
      </c>
      <c r="I629" s="1" t="str">
        <f ca="1">IFERROR(__xludf.DUMMYFUNCTION("GOOGLETRANSLATE('대전도시공사_청년임대주택 현황_20240630'!I629,""ko"",""en"")"),"1000000")</f>
        <v>1000000</v>
      </c>
      <c r="J629" s="1" t="str">
        <f ca="1">IFERROR(__xludf.DUMMYFUNCTION("GOOGLETRANSLATE('대전도시공사_청년임대주택 현황_20240630'!J629,""ko"",""en"")"),"220400")</f>
        <v>220400</v>
      </c>
    </row>
    <row r="630" spans="1:10" ht="12.5" x14ac:dyDescent="0.25">
      <c r="A630" s="1" t="str">
        <f ca="1">IFERROR(__xludf.DUMMYFUNCTION("GOOGLETRANSLATE('대전도시공사_청년임대주택 현황_20240630'!A630,""ko"",""en"")"),"540-8 Bongmyeong-dong (Haenarae 2, youth rental)")</f>
        <v>540-8 Bongmyeong-dong (Haenarae 2, youth rental)</v>
      </c>
      <c r="B630" s="1" t="str">
        <f ca="1">IFERROR(__xludf.DUMMYFUNCTION("GOOGLETRANSLATE('대전도시공사_청년임대주택 현황_20240630'!B630,""ko"",""en"")"),"155")</f>
        <v>155</v>
      </c>
      <c r="C630" s="1" t="str">
        <f ca="1">IFERROR(__xludf.DUMMYFUNCTION("GOOGLETRANSLATE('대전도시공사_청년임대주택 현황_20240630'!C630,""ko"",""en"")"),"1")</f>
        <v>1</v>
      </c>
      <c r="D630" s="1" t="str">
        <f ca="1">IFERROR(__xludf.DUMMYFUNCTION("GOOGLETRANSLATE('대전도시공사_청년임대주택 현황_20240630'!D630,""ko"",""en"")"),"1202")</f>
        <v>1202</v>
      </c>
      <c r="E630" s="1" t="str">
        <f ca="1">IFERROR(__xludf.DUMMYFUNCTION("GOOGLETRANSLATE('대전도시공사_청년임대주택 현황_20240630'!E630,""ko"",""en"")"),"58.798")</f>
        <v>58.798</v>
      </c>
      <c r="F630" s="1" t="str">
        <f ca="1">IFERROR(__xludf.DUMMYFUNCTION("GOOGLETRANSLATE('대전도시공사_청년임대주택 현황_20240630'!F630,""ko"",""en"")"),"24.279")</f>
        <v>24.279</v>
      </c>
      <c r="G630" s="1" t="str">
        <f ca="1">IFERROR(__xludf.DUMMYFUNCTION("GOOGLETRANSLATE('대전도시공사_청년임대주택 현황_20240630'!G630,""ko"",""en"")"),"34.519")</f>
        <v>34.519</v>
      </c>
      <c r="H630" s="1" t="str">
        <f ca="1">IFERROR(__xludf.DUMMYFUNCTION("GOOGLETRANSLATE('대전도시공사_청년임대주택 현황_20240630'!H630,""ko"",""en"")"),"Youth Rental 2nd Place")</f>
        <v>Youth Rental 2nd Place</v>
      </c>
      <c r="I630" s="1" t="str">
        <f ca="1">IFERROR(__xludf.DUMMYFUNCTION("GOOGLETRANSLATE('대전도시공사_청년임대주택 현황_20240630'!I630,""ko"",""en"")"),"2000000")</f>
        <v>2000000</v>
      </c>
      <c r="J630" s="1" t="str">
        <f ca="1">IFERROR(__xludf.DUMMYFUNCTION("GOOGLETRANSLATE('대전도시공사_청년임대주택 현황_20240630'!J630,""ko"",""en"")"),"271400")</f>
        <v>271400</v>
      </c>
    </row>
    <row r="631" spans="1:10" ht="12.5" x14ac:dyDescent="0.25">
      <c r="A631" s="1" t="str">
        <f ca="1">IFERROR(__xludf.DUMMYFUNCTION("GOOGLETRANSLATE('대전도시공사_청년임대주택 현황_20240630'!A631,""ko"",""en"")"),"540-8 Bongmyeong-dong (Haenarae 2, youth rental)")</f>
        <v>540-8 Bongmyeong-dong (Haenarae 2, youth rental)</v>
      </c>
      <c r="B631" s="1" t="str">
        <f ca="1">IFERROR(__xludf.DUMMYFUNCTION("GOOGLETRANSLATE('대전도시공사_청년임대주택 현황_20240630'!B631,""ko"",""en"")"),"156")</f>
        <v>156</v>
      </c>
      <c r="C631" s="1" t="str">
        <f ca="1">IFERROR(__xludf.DUMMYFUNCTION("GOOGLETRANSLATE('대전도시공사_청년임대주택 현황_20240630'!C631,""ko"",""en"")"),"1")</f>
        <v>1</v>
      </c>
      <c r="D631" s="1" t="str">
        <f ca="1">IFERROR(__xludf.DUMMYFUNCTION("GOOGLETRANSLATE('대전도시공사_청년임대주택 현황_20240630'!D631,""ko"",""en"")"),"1202")</f>
        <v>1202</v>
      </c>
      <c r="E631" s="1" t="str">
        <f ca="1">IFERROR(__xludf.DUMMYFUNCTION("GOOGLETRANSLATE('대전도시공사_청년임대주택 현황_20240630'!E631,""ko"",""en"")"),"58.798")</f>
        <v>58.798</v>
      </c>
      <c r="F631" s="1" t="str">
        <f ca="1">IFERROR(__xludf.DUMMYFUNCTION("GOOGLETRANSLATE('대전도시공사_청년임대주택 현황_20240630'!F631,""ko"",""en"")"),"24.279")</f>
        <v>24.279</v>
      </c>
      <c r="G631" s="1" t="str">
        <f ca="1">IFERROR(__xludf.DUMMYFUNCTION("GOOGLETRANSLATE('대전도시공사_청년임대주택 현황_20240630'!G631,""ko"",""en"")"),"34.519")</f>
        <v>34.519</v>
      </c>
      <c r="H631" s="1" t="str">
        <f ca="1">IFERROR(__xludf.DUMMYFUNCTION("GOOGLETRANSLATE('대전도시공사_청년임대주택 현황_20240630'!H631,""ko"",""en"")"),"3rd place for youth rental")</f>
        <v>3rd place for youth rental</v>
      </c>
      <c r="I631" s="1" t="str">
        <f ca="1">IFERROR(__xludf.DUMMYFUNCTION("GOOGLETRANSLATE('대전도시공사_청년임대주택 현황_20240630'!I631,""ko"",""en"")"),"2000000")</f>
        <v>2000000</v>
      </c>
      <c r="J631" s="1" t="str">
        <f ca="1">IFERROR(__xludf.DUMMYFUNCTION("GOOGLETRANSLATE('대전도시공사_청년임대주택 현황_20240630'!J631,""ko"",""en"")"),"271400")</f>
        <v>271400</v>
      </c>
    </row>
    <row r="632" spans="1:10" ht="12.5" x14ac:dyDescent="0.25">
      <c r="A632" s="1" t="str">
        <f ca="1">IFERROR(__xludf.DUMMYFUNCTION("GOOGLETRANSLATE('대전도시공사_청년임대주택 현황_20240630'!A632,""ko"",""en"")"),"540-8 Bongmyeong-dong (Haenarae 2, youth rental)")</f>
        <v>540-8 Bongmyeong-dong (Haenarae 2, youth rental)</v>
      </c>
      <c r="B632" s="1" t="str">
        <f ca="1">IFERROR(__xludf.DUMMYFUNCTION("GOOGLETRANSLATE('대전도시공사_청년임대주택 현황_20240630'!B632,""ko"",""en"")"),"163")</f>
        <v>163</v>
      </c>
      <c r="C632" s="1" t="str">
        <f ca="1">IFERROR(__xludf.DUMMYFUNCTION("GOOGLETRANSLATE('대전도시공사_청년임대주택 현황_20240630'!C632,""ko"",""en"")"),"1")</f>
        <v>1</v>
      </c>
      <c r="D632" s="1" t="str">
        <f ca="1">IFERROR(__xludf.DUMMYFUNCTION("GOOGLETRANSLATE('대전도시공사_청년임대주택 현황_20240630'!D632,""ko"",""en"")"),"1207")</f>
        <v>1207</v>
      </c>
      <c r="E632" s="1" t="str">
        <f ca="1">IFERROR(__xludf.DUMMYFUNCTION("GOOGLETRANSLATE('대전도시공사_청년임대주택 현황_20240630'!E632,""ko"",""en"")"),"58.798")</f>
        <v>58.798</v>
      </c>
      <c r="F632" s="1" t="str">
        <f ca="1">IFERROR(__xludf.DUMMYFUNCTION("GOOGLETRANSLATE('대전도시공사_청년임대주택 현황_20240630'!F632,""ko"",""en"")"),"24.279")</f>
        <v>24.279</v>
      </c>
      <c r="G632" s="1" t="str">
        <f ca="1">IFERROR(__xludf.DUMMYFUNCTION("GOOGLETRANSLATE('대전도시공사_청년임대주택 현황_20240630'!G632,""ko"",""en"")"),"34.519")</f>
        <v>34.519</v>
      </c>
      <c r="H632" s="1" t="str">
        <f ca="1">IFERROR(__xludf.DUMMYFUNCTION("GOOGLETRANSLATE('대전도시공사_청년임대주택 현황_20240630'!H632,""ko"",""en"")"),"Beneficiary")</f>
        <v>Beneficiary</v>
      </c>
      <c r="I632" s="1" t="str">
        <f ca="1">IFERROR(__xludf.DUMMYFUNCTION("GOOGLETRANSLATE('대전도시공사_청년임대주택 현황_20240630'!I632,""ko"",""en"")"),"1000000")</f>
        <v>1000000</v>
      </c>
      <c r="J632" s="1" t="str">
        <f ca="1">IFERROR(__xludf.DUMMYFUNCTION("GOOGLETRANSLATE('대전도시공사_청년임대주택 현황_20240630'!J632,""ko"",""en"")"),"222500")</f>
        <v>222500</v>
      </c>
    </row>
    <row r="633" spans="1:10" ht="12.5" x14ac:dyDescent="0.25">
      <c r="A633" s="1" t="str">
        <f ca="1">IFERROR(__xludf.DUMMYFUNCTION("GOOGLETRANSLATE('대전도시공사_청년임대주택 현황_20240630'!A633,""ko"",""en"")"),"540-8 Bongmyeong-dong (Haenarae 2, youth rental)")</f>
        <v>540-8 Bongmyeong-dong (Haenarae 2, youth rental)</v>
      </c>
      <c r="B633" s="1" t="str">
        <f ca="1">IFERROR(__xludf.DUMMYFUNCTION("GOOGLETRANSLATE('대전도시공사_청년임대주택 현황_20240630'!B633,""ko"",""en"")"),"164")</f>
        <v>164</v>
      </c>
      <c r="C633" s="1" t="str">
        <f ca="1">IFERROR(__xludf.DUMMYFUNCTION("GOOGLETRANSLATE('대전도시공사_청년임대주택 현황_20240630'!C633,""ko"",""en"")"),"1")</f>
        <v>1</v>
      </c>
      <c r="D633" s="1" t="str">
        <f ca="1">IFERROR(__xludf.DUMMYFUNCTION("GOOGLETRANSLATE('대전도시공사_청년임대주택 현황_20240630'!D633,""ko"",""en"")"),"1207")</f>
        <v>1207</v>
      </c>
      <c r="E633" s="1" t="str">
        <f ca="1">IFERROR(__xludf.DUMMYFUNCTION("GOOGLETRANSLATE('대전도시공사_청년임대주택 현황_20240630'!E633,""ko"",""en"")"),"58.798")</f>
        <v>58.798</v>
      </c>
      <c r="F633" s="1" t="str">
        <f ca="1">IFERROR(__xludf.DUMMYFUNCTION("GOOGLETRANSLATE('대전도시공사_청년임대주택 현황_20240630'!F633,""ko"",""en"")"),"24.279")</f>
        <v>24.279</v>
      </c>
      <c r="G633" s="1" t="str">
        <f ca="1">IFERROR(__xludf.DUMMYFUNCTION("GOOGLETRANSLATE('대전도시공사_청년임대주택 현황_20240630'!G633,""ko"",""en"")"),"34.519")</f>
        <v>34.519</v>
      </c>
      <c r="H633" s="1" t="str">
        <f ca="1">IFERROR(__xludf.DUMMYFUNCTION("GOOGLETRANSLATE('대전도시공사_청년임대주택 현황_20240630'!H633,""ko"",""en"")"),"Youth Rental 2nd Place")</f>
        <v>Youth Rental 2nd Place</v>
      </c>
      <c r="I633" s="1" t="str">
        <f ca="1">IFERROR(__xludf.DUMMYFUNCTION("GOOGLETRANSLATE('대전도시공사_청년임대주택 현황_20240630'!I633,""ko"",""en"")"),"2000000")</f>
        <v>2000000</v>
      </c>
      <c r="J633" s="1" t="str">
        <f ca="1">IFERROR(__xludf.DUMMYFUNCTION("GOOGLETRANSLATE('대전도시공사_청년임대주택 현황_20240630'!J633,""ko"",""en"")"),"274000")</f>
        <v>274000</v>
      </c>
    </row>
    <row r="634" spans="1:10" ht="12.5" x14ac:dyDescent="0.25">
      <c r="A634" s="1" t="str">
        <f ca="1">IFERROR(__xludf.DUMMYFUNCTION("GOOGLETRANSLATE('대전도시공사_청년임대주택 현황_20240630'!A634,""ko"",""en"")"),"540-8 Bongmyeong-dong (Haenarae 2, youth rental)")</f>
        <v>540-8 Bongmyeong-dong (Haenarae 2, youth rental)</v>
      </c>
      <c r="B634" s="1" t="str">
        <f ca="1">IFERROR(__xludf.DUMMYFUNCTION("GOOGLETRANSLATE('대전도시공사_청년임대주택 현황_20240630'!B634,""ko"",""en"")"),"165")</f>
        <v>165</v>
      </c>
      <c r="C634" s="1" t="str">
        <f ca="1">IFERROR(__xludf.DUMMYFUNCTION("GOOGLETRANSLATE('대전도시공사_청년임대주택 현황_20240630'!C634,""ko"",""en"")"),"1")</f>
        <v>1</v>
      </c>
      <c r="D634" s="1" t="str">
        <f ca="1">IFERROR(__xludf.DUMMYFUNCTION("GOOGLETRANSLATE('대전도시공사_청년임대주택 현황_20240630'!D634,""ko"",""en"")"),"1207")</f>
        <v>1207</v>
      </c>
      <c r="E634" s="1" t="str">
        <f ca="1">IFERROR(__xludf.DUMMYFUNCTION("GOOGLETRANSLATE('대전도시공사_청년임대주택 현황_20240630'!E634,""ko"",""en"")"),"58.798")</f>
        <v>58.798</v>
      </c>
      <c r="F634" s="1" t="str">
        <f ca="1">IFERROR(__xludf.DUMMYFUNCTION("GOOGLETRANSLATE('대전도시공사_청년임대주택 현황_20240630'!F634,""ko"",""en"")"),"24.279")</f>
        <v>24.279</v>
      </c>
      <c r="G634" s="1" t="str">
        <f ca="1">IFERROR(__xludf.DUMMYFUNCTION("GOOGLETRANSLATE('대전도시공사_청년임대주택 현황_20240630'!G634,""ko"",""en"")"),"34.519")</f>
        <v>34.519</v>
      </c>
      <c r="H634" s="1" t="str">
        <f ca="1">IFERROR(__xludf.DUMMYFUNCTION("GOOGLETRANSLATE('대전도시공사_청년임대주택 현황_20240630'!H634,""ko"",""en"")"),"3rd place for youth rental")</f>
        <v>3rd place for youth rental</v>
      </c>
      <c r="I634" s="1" t="str">
        <f ca="1">IFERROR(__xludf.DUMMYFUNCTION("GOOGLETRANSLATE('대전도시공사_청년임대주택 현황_20240630'!I634,""ko"",""en"")"),"2000000")</f>
        <v>2000000</v>
      </c>
      <c r="J634" s="1" t="str">
        <f ca="1">IFERROR(__xludf.DUMMYFUNCTION("GOOGLETRANSLATE('대전도시공사_청년임대주택 현황_20240630'!J634,""ko"",""en"")"),"274000")</f>
        <v>274000</v>
      </c>
    </row>
    <row r="635" spans="1:10" ht="12.5" x14ac:dyDescent="0.25">
      <c r="A635" s="1" t="str">
        <f ca="1">IFERROR(__xludf.DUMMYFUNCTION("GOOGLETRANSLATE('대전도시공사_청년임대주택 현황_20240630'!A635,""ko"",""en"")"),"540-8 Bongmyeong-dong (Haenarae 2, youth rental)")</f>
        <v>540-8 Bongmyeong-dong (Haenarae 2, youth rental)</v>
      </c>
      <c r="B635" s="1" t="str">
        <f ca="1">IFERROR(__xludf.DUMMYFUNCTION("GOOGLETRANSLATE('대전도시공사_청년임대주택 현황_20240630'!B635,""ko"",""en"")"),"166")</f>
        <v>166</v>
      </c>
      <c r="C635" s="1" t="str">
        <f ca="1">IFERROR(__xludf.DUMMYFUNCTION("GOOGLETRANSLATE('대전도시공사_청년임대주택 현황_20240630'!C635,""ko"",""en"")"),"1")</f>
        <v>1</v>
      </c>
      <c r="D635" s="1" t="str">
        <f ca="1">IFERROR(__xludf.DUMMYFUNCTION("GOOGLETRANSLATE('대전도시공사_청년임대주택 현황_20240630'!D635,""ko"",""en"")"),"1208")</f>
        <v>1208</v>
      </c>
      <c r="E635" s="1" t="str">
        <f ca="1">IFERROR(__xludf.DUMMYFUNCTION("GOOGLETRANSLATE('대전도시공사_청년임대주택 현황_20240630'!E635,""ko"",""en"")"),"58.14")</f>
        <v>58.14</v>
      </c>
      <c r="F635" s="1" t="str">
        <f ca="1">IFERROR(__xludf.DUMMYFUNCTION("GOOGLETRANSLATE('대전도시공사_청년임대주택 현황_20240630'!F635,""ko"",""en"")"),"23.78")</f>
        <v>23.78</v>
      </c>
      <c r="G635" s="1" t="str">
        <f ca="1">IFERROR(__xludf.DUMMYFUNCTION("GOOGLETRANSLATE('대전도시공사_청년임대주택 현황_20240630'!G635,""ko"",""en"")"),"34.36")</f>
        <v>34.36</v>
      </c>
      <c r="H635" s="1" t="str">
        <f ca="1">IFERROR(__xludf.DUMMYFUNCTION("GOOGLETRANSLATE('대전도시공사_청년임대주택 현황_20240630'!H635,""ko"",""en"")"),"Beneficiary")</f>
        <v>Beneficiary</v>
      </c>
      <c r="I635" s="1" t="str">
        <f ca="1">IFERROR(__xludf.DUMMYFUNCTION("GOOGLETRANSLATE('대전도시공사_청년임대주택 현황_20240630'!I635,""ko"",""en"")"),"1000000")</f>
        <v>1000000</v>
      </c>
      <c r="J635" s="1" t="str">
        <f ca="1">IFERROR(__xludf.DUMMYFUNCTION("GOOGLETRANSLATE('대전도시공사_청년임대주택 현황_20240630'!J635,""ko"",""en"")"),"217800")</f>
        <v>217800</v>
      </c>
    </row>
    <row r="636" spans="1:10" ht="12.5" x14ac:dyDescent="0.25">
      <c r="A636" s="1" t="str">
        <f ca="1">IFERROR(__xludf.DUMMYFUNCTION("GOOGLETRANSLATE('대전도시공사_청년임대주택 현황_20240630'!A636,""ko"",""en"")"),"540-8 Bongmyeong-dong (Haenarae 2, youth rental)")</f>
        <v>540-8 Bongmyeong-dong (Haenarae 2, youth rental)</v>
      </c>
      <c r="B636" s="1" t="str">
        <f ca="1">IFERROR(__xludf.DUMMYFUNCTION("GOOGLETRANSLATE('대전도시공사_청년임대주택 현황_20240630'!B636,""ko"",""en"")"),"167")</f>
        <v>167</v>
      </c>
      <c r="C636" s="1" t="str">
        <f ca="1">IFERROR(__xludf.DUMMYFUNCTION("GOOGLETRANSLATE('대전도시공사_청년임대주택 현황_20240630'!C636,""ko"",""en"")"),"1")</f>
        <v>1</v>
      </c>
      <c r="D636" s="1" t="str">
        <f ca="1">IFERROR(__xludf.DUMMYFUNCTION("GOOGLETRANSLATE('대전도시공사_청년임대주택 현황_20240630'!D636,""ko"",""en"")"),"1208")</f>
        <v>1208</v>
      </c>
      <c r="E636" s="1" t="str">
        <f ca="1">IFERROR(__xludf.DUMMYFUNCTION("GOOGLETRANSLATE('대전도시공사_청년임대주택 현황_20240630'!E636,""ko"",""en"")"),"58.14")</f>
        <v>58.14</v>
      </c>
      <c r="F636" s="1" t="str">
        <f ca="1">IFERROR(__xludf.DUMMYFUNCTION("GOOGLETRANSLATE('대전도시공사_청년임대주택 현황_20240630'!F636,""ko"",""en"")"),"23.78")</f>
        <v>23.78</v>
      </c>
      <c r="G636" s="1" t="str">
        <f ca="1">IFERROR(__xludf.DUMMYFUNCTION("GOOGLETRANSLATE('대전도시공사_청년임대주택 현황_20240630'!G636,""ko"",""en"")"),"34.36")</f>
        <v>34.36</v>
      </c>
      <c r="H636" s="1" t="str">
        <f ca="1">IFERROR(__xludf.DUMMYFUNCTION("GOOGLETRANSLATE('대전도시공사_청년임대주택 현황_20240630'!H636,""ko"",""en"")"),"Youth Rental 2nd Place")</f>
        <v>Youth Rental 2nd Place</v>
      </c>
      <c r="I636" s="1" t="str">
        <f ca="1">IFERROR(__xludf.DUMMYFUNCTION("GOOGLETRANSLATE('대전도시공사_청년임대주택 현황_20240630'!I636,""ko"",""en"")"),"2000000")</f>
        <v>2000000</v>
      </c>
      <c r="J636" s="1" t="str">
        <f ca="1">IFERROR(__xludf.DUMMYFUNCTION("GOOGLETRANSLATE('대전도시공사_청년임대주택 현황_20240630'!J636,""ko"",""en"")"),"268100")</f>
        <v>268100</v>
      </c>
    </row>
    <row r="637" spans="1:10" ht="12.5" x14ac:dyDescent="0.25">
      <c r="A637" s="1" t="str">
        <f ca="1">IFERROR(__xludf.DUMMYFUNCTION("GOOGLETRANSLATE('대전도시공사_청년임대주택 현황_20240630'!A637,""ko"",""en"")"),"540-8 Bongmyeong-dong (Haenarae 2, youth rental)")</f>
        <v>540-8 Bongmyeong-dong (Haenarae 2, youth rental)</v>
      </c>
      <c r="B637" s="1" t="str">
        <f ca="1">IFERROR(__xludf.DUMMYFUNCTION("GOOGLETRANSLATE('대전도시공사_청년임대주택 현황_20240630'!B637,""ko"",""en"")"),"168")</f>
        <v>168</v>
      </c>
      <c r="C637" s="1" t="str">
        <f ca="1">IFERROR(__xludf.DUMMYFUNCTION("GOOGLETRANSLATE('대전도시공사_청년임대주택 현황_20240630'!C637,""ko"",""en"")"),"1")</f>
        <v>1</v>
      </c>
      <c r="D637" s="1" t="str">
        <f ca="1">IFERROR(__xludf.DUMMYFUNCTION("GOOGLETRANSLATE('대전도시공사_청년임대주택 현황_20240630'!D637,""ko"",""en"")"),"1208")</f>
        <v>1208</v>
      </c>
      <c r="E637" s="1" t="str">
        <f ca="1">IFERROR(__xludf.DUMMYFUNCTION("GOOGLETRANSLATE('대전도시공사_청년임대주택 현황_20240630'!E637,""ko"",""en"")"),"58.14")</f>
        <v>58.14</v>
      </c>
      <c r="F637" s="1" t="str">
        <f ca="1">IFERROR(__xludf.DUMMYFUNCTION("GOOGLETRANSLATE('대전도시공사_청년임대주택 현황_20240630'!F637,""ko"",""en"")"),"23.78")</f>
        <v>23.78</v>
      </c>
      <c r="G637" s="1" t="str">
        <f ca="1">IFERROR(__xludf.DUMMYFUNCTION("GOOGLETRANSLATE('대전도시공사_청년임대주택 현황_20240630'!G637,""ko"",""en"")"),"34.36")</f>
        <v>34.36</v>
      </c>
      <c r="H637" s="1" t="str">
        <f ca="1">IFERROR(__xludf.DUMMYFUNCTION("GOOGLETRANSLATE('대전도시공사_청년임대주택 현황_20240630'!H637,""ko"",""en"")"),"3rd place for youth rental")</f>
        <v>3rd place for youth rental</v>
      </c>
      <c r="I637" s="1" t="str">
        <f ca="1">IFERROR(__xludf.DUMMYFUNCTION("GOOGLETRANSLATE('대전도시공사_청년임대주택 현황_20240630'!I637,""ko"",""en"")"),"2000000")</f>
        <v>2000000</v>
      </c>
      <c r="J637" s="1" t="str">
        <f ca="1">IFERROR(__xludf.DUMMYFUNCTION("GOOGLETRANSLATE('대전도시공사_청년임대주택 현황_20240630'!J637,""ko"",""en"")"),"268100")</f>
        <v>268100</v>
      </c>
    </row>
    <row r="638" spans="1:10" ht="12.5" x14ac:dyDescent="0.25">
      <c r="A638" s="1" t="str">
        <f ca="1">IFERROR(__xludf.DUMMYFUNCTION("GOOGLETRANSLATE('대전도시공사_청년임대주택 현황_20240630'!A638,""ko"",""en"")"),"540-8 Bongmyeong-dong (Haenarae 2, youth rental)")</f>
        <v>540-8 Bongmyeong-dong (Haenarae 2, youth rental)</v>
      </c>
      <c r="B638" s="1" t="str">
        <f ca="1">IFERROR(__xludf.DUMMYFUNCTION("GOOGLETRANSLATE('대전도시공사_청년임대주택 현황_20240630'!B638,""ko"",""en"")"),"169")</f>
        <v>169</v>
      </c>
      <c r="C638" s="1" t="str">
        <f ca="1">IFERROR(__xludf.DUMMYFUNCTION("GOOGLETRANSLATE('대전도시공사_청년임대주택 현황_20240630'!C638,""ko"",""en"")"),"1")</f>
        <v>1</v>
      </c>
      <c r="D638" s="1" t="str">
        <f ca="1">IFERROR(__xludf.DUMMYFUNCTION("GOOGLETRANSLATE('대전도시공사_청년임대주택 현황_20240630'!D638,""ko"",""en"")"),"1211")</f>
        <v>1211</v>
      </c>
      <c r="E638" s="1" t="str">
        <f ca="1">IFERROR(__xludf.DUMMYFUNCTION("GOOGLETRANSLATE('대전도시공사_청년임대주택 현황_20240630'!E638,""ko"",""en"")"),"58.14")</f>
        <v>58.14</v>
      </c>
      <c r="F638" s="1" t="str">
        <f ca="1">IFERROR(__xludf.DUMMYFUNCTION("GOOGLETRANSLATE('대전도시공사_청년임대주택 현황_20240630'!F638,""ko"",""en"")"),"23.78")</f>
        <v>23.78</v>
      </c>
      <c r="G638" s="1" t="str">
        <f ca="1">IFERROR(__xludf.DUMMYFUNCTION("GOOGLETRANSLATE('대전도시공사_청년임대주택 현황_20240630'!G638,""ko"",""en"")"),"34.36")</f>
        <v>34.36</v>
      </c>
      <c r="H638" s="1" t="str">
        <f ca="1">IFERROR(__xludf.DUMMYFUNCTION("GOOGLETRANSLATE('대전도시공사_청년임대주택 현황_20240630'!H638,""ko"",""en"")"),"Youth Rent 1st Place")</f>
        <v>Youth Rent 1st Place</v>
      </c>
      <c r="I638" s="1" t="str">
        <f ca="1">IFERROR(__xludf.DUMMYFUNCTION("GOOGLETRANSLATE('대전도시공사_청년임대주택 현황_20240630'!I638,""ko"",""en"")"),"1000000")</f>
        <v>1000000</v>
      </c>
      <c r="J638" s="1" t="str">
        <f ca="1">IFERROR(__xludf.DUMMYFUNCTION("GOOGLETRANSLATE('대전도시공사_청년임대주택 현황_20240630'!J638,""ko"",""en"")"),"224800")</f>
        <v>224800</v>
      </c>
    </row>
    <row r="639" spans="1:10" ht="12.5" x14ac:dyDescent="0.25">
      <c r="A639" s="1" t="str">
        <f ca="1">IFERROR(__xludf.DUMMYFUNCTION("GOOGLETRANSLATE('대전도시공사_청년임대주택 현황_20240630'!A639,""ko"",""en"")"),"540-8 Bongmyeong-dong (Haenarae 2, youth rental)")</f>
        <v>540-8 Bongmyeong-dong (Haenarae 2, youth rental)</v>
      </c>
      <c r="B639" s="1" t="str">
        <f ca="1">IFERROR(__xludf.DUMMYFUNCTION("GOOGLETRANSLATE('대전도시공사_청년임대주택 현황_20240630'!B639,""ko"",""en"")"),"170")</f>
        <v>170</v>
      </c>
      <c r="C639" s="1" t="str">
        <f ca="1">IFERROR(__xludf.DUMMYFUNCTION("GOOGLETRANSLATE('대전도시공사_청년임대주택 현황_20240630'!C639,""ko"",""en"")"),"1")</f>
        <v>1</v>
      </c>
      <c r="D639" s="1" t="str">
        <f ca="1">IFERROR(__xludf.DUMMYFUNCTION("GOOGLETRANSLATE('대전도시공사_청년임대주택 현황_20240630'!D639,""ko"",""en"")"),"1211")</f>
        <v>1211</v>
      </c>
      <c r="E639" s="1" t="str">
        <f ca="1">IFERROR(__xludf.DUMMYFUNCTION("GOOGLETRANSLATE('대전도시공사_청년임대주택 현황_20240630'!E639,""ko"",""en"")"),"58.14")</f>
        <v>58.14</v>
      </c>
      <c r="F639" s="1" t="str">
        <f ca="1">IFERROR(__xludf.DUMMYFUNCTION("GOOGLETRANSLATE('대전도시공사_청년임대주택 현황_20240630'!F639,""ko"",""en"")"),"23.78")</f>
        <v>23.78</v>
      </c>
      <c r="G639" s="1" t="str">
        <f ca="1">IFERROR(__xludf.DUMMYFUNCTION("GOOGLETRANSLATE('대전도시공사_청년임대주택 현황_20240630'!G639,""ko"",""en"")"),"34.36")</f>
        <v>34.36</v>
      </c>
      <c r="H639" s="1" t="str">
        <f ca="1">IFERROR(__xludf.DUMMYFUNCTION("GOOGLETRANSLATE('대전도시공사_청년임대주택 현황_20240630'!H639,""ko"",""en"")"),"Youth Rental 2nd Place")</f>
        <v>Youth Rental 2nd Place</v>
      </c>
      <c r="I639" s="1" t="str">
        <f ca="1">IFERROR(__xludf.DUMMYFUNCTION("GOOGLETRANSLATE('대전도시공사_청년임대주택 현황_20240630'!I639,""ko"",""en"")"),"2000000")</f>
        <v>2000000</v>
      </c>
      <c r="J639" s="1" t="str">
        <f ca="1">IFERROR(__xludf.DUMMYFUNCTION("GOOGLETRANSLATE('대전도시공사_청년임대주택 현황_20240630'!J639,""ko"",""en"")"),"276900")</f>
        <v>276900</v>
      </c>
    </row>
    <row r="640" spans="1:10" ht="12.5" x14ac:dyDescent="0.25">
      <c r="A640" s="1" t="str">
        <f ca="1">IFERROR(__xludf.DUMMYFUNCTION("GOOGLETRANSLATE('대전도시공사_청년임대주택 현황_20240630'!A640,""ko"",""en"")"),"540-8 Bongmyeong-dong (Haenarae 2, youth rental)")</f>
        <v>540-8 Bongmyeong-dong (Haenarae 2, youth rental)</v>
      </c>
      <c r="B640" s="1" t="str">
        <f ca="1">IFERROR(__xludf.DUMMYFUNCTION("GOOGLETRANSLATE('대전도시공사_청년임대주택 현황_20240630'!B640,""ko"",""en"")"),"171")</f>
        <v>171</v>
      </c>
      <c r="C640" s="1" t="str">
        <f ca="1">IFERROR(__xludf.DUMMYFUNCTION("GOOGLETRANSLATE('대전도시공사_청년임대주택 현황_20240630'!C640,""ko"",""en"")"),"1")</f>
        <v>1</v>
      </c>
      <c r="D640" s="1" t="str">
        <f ca="1">IFERROR(__xludf.DUMMYFUNCTION("GOOGLETRANSLATE('대전도시공사_청년임대주택 현황_20240630'!D640,""ko"",""en"")"),"1211")</f>
        <v>1211</v>
      </c>
      <c r="E640" s="1" t="str">
        <f ca="1">IFERROR(__xludf.DUMMYFUNCTION("GOOGLETRANSLATE('대전도시공사_청년임대주택 현황_20240630'!E640,""ko"",""en"")"),"58.14")</f>
        <v>58.14</v>
      </c>
      <c r="F640" s="1" t="str">
        <f ca="1">IFERROR(__xludf.DUMMYFUNCTION("GOOGLETRANSLATE('대전도시공사_청년임대주택 현황_20240630'!F640,""ko"",""en"")"),"23.78")</f>
        <v>23.78</v>
      </c>
      <c r="G640" s="1" t="str">
        <f ca="1">IFERROR(__xludf.DUMMYFUNCTION("GOOGLETRANSLATE('대전도시공사_청년임대주택 현황_20240630'!G640,""ko"",""en"")"),"34.36")</f>
        <v>34.36</v>
      </c>
      <c r="H640" s="1" t="str">
        <f ca="1">IFERROR(__xludf.DUMMYFUNCTION("GOOGLETRANSLATE('대전도시공사_청년임대주택 현황_20240630'!H640,""ko"",""en"")"),"3rd place for youth rental")</f>
        <v>3rd place for youth rental</v>
      </c>
      <c r="I640" s="1" t="str">
        <f ca="1">IFERROR(__xludf.DUMMYFUNCTION("GOOGLETRANSLATE('대전도시공사_청년임대주택 현황_20240630'!I640,""ko"",""en"")"),"2000000")</f>
        <v>2000000</v>
      </c>
      <c r="J640" s="1" t="str">
        <f ca="1">IFERROR(__xludf.DUMMYFUNCTION("GOOGLETRANSLATE('대전도시공사_청년임대주택 현황_20240630'!J640,""ko"",""en"")"),"276900")</f>
        <v>276900</v>
      </c>
    </row>
    <row r="641" spans="1:10" ht="12.5" x14ac:dyDescent="0.25">
      <c r="A641" s="1" t="str">
        <f ca="1">IFERROR(__xludf.DUMMYFUNCTION("GOOGLETRANSLATE('대전도시공사_청년임대주택 현황_20240630'!A641,""ko"",""en"")"),"540-8 Bongmyeong-dong (Haenarae 2, youth rental)")</f>
        <v>540-8 Bongmyeong-dong (Haenarae 2, youth rental)</v>
      </c>
      <c r="B641" s="1" t="str">
        <f ca="1">IFERROR(__xludf.DUMMYFUNCTION("GOOGLETRANSLATE('대전도시공사_청년임대주택 현황_20240630'!B641,""ko"",""en"")"),"175")</f>
        <v>175</v>
      </c>
      <c r="C641" s="1" t="str">
        <f ca="1">IFERROR(__xludf.DUMMYFUNCTION("GOOGLETRANSLATE('대전도시공사_청년임대주택 현황_20240630'!C641,""ko"",""en"")"),"1")</f>
        <v>1</v>
      </c>
      <c r="D641" s="1" t="str">
        <f ca="1">IFERROR(__xludf.DUMMYFUNCTION("GOOGLETRANSLATE('대전도시공사_청년임대주택 현황_20240630'!D641,""ko"",""en"")"),"1301")</f>
        <v>1301</v>
      </c>
      <c r="E641" s="1" t="str">
        <f ca="1">IFERROR(__xludf.DUMMYFUNCTION("GOOGLETRANSLATE('대전도시공사_청년임대주택 현황_20240630'!E641,""ko"",""en"")"),"48.862")</f>
        <v>48.862</v>
      </c>
      <c r="F641" s="1" t="str">
        <f ca="1">IFERROR(__xludf.DUMMYFUNCTION("GOOGLETRANSLATE('대전도시공사_청년임대주택 현황_20240630'!F641,""ko"",""en"")"),"18.887")</f>
        <v>18.887</v>
      </c>
      <c r="G641" s="1" t="str">
        <f ca="1">IFERROR(__xludf.DUMMYFUNCTION("GOOGLETRANSLATE('대전도시공사_청년임대주택 현황_20240630'!G641,""ko"",""en"")"),"27.974")</f>
        <v>27.974</v>
      </c>
      <c r="H641" s="1" t="str">
        <f ca="1">IFERROR(__xludf.DUMMYFUNCTION("GOOGLETRANSLATE('대전도시공사_청년임대주택 현황_20240630'!H641,""ko"",""en"")"),"Youth Rent 1st Place")</f>
        <v>Youth Rent 1st Place</v>
      </c>
      <c r="I641" s="1" t="str">
        <f ca="1">IFERROR(__xludf.DUMMYFUNCTION("GOOGLETRANSLATE('대전도시공사_청년임대주택 현황_20240630'!I641,""ko"",""en"")"),"1000000")</f>
        <v>1000000</v>
      </c>
      <c r="J641" s="1" t="str">
        <f ca="1">IFERROR(__xludf.DUMMYFUNCTION("GOOGLETRANSLATE('대전도시공사_청년임대주택 현황_20240630'!J641,""ko"",""en"")"),"219200")</f>
        <v>219200</v>
      </c>
    </row>
    <row r="642" spans="1:10" ht="12.5" x14ac:dyDescent="0.25">
      <c r="A642" s="1" t="str">
        <f ca="1">IFERROR(__xludf.DUMMYFUNCTION("GOOGLETRANSLATE('대전도시공사_청년임대주택 현황_20240630'!A642,""ko"",""en"")"),"540-8 Bongmyeong-dong (Haenarae 2, youth rental)")</f>
        <v>540-8 Bongmyeong-dong (Haenarae 2, youth rental)</v>
      </c>
      <c r="B642" s="1" t="str">
        <f ca="1">IFERROR(__xludf.DUMMYFUNCTION("GOOGLETRANSLATE('대전도시공사_청년임대주택 현황_20240630'!B642,""ko"",""en"")"),"176")</f>
        <v>176</v>
      </c>
      <c r="C642" s="1" t="str">
        <f ca="1">IFERROR(__xludf.DUMMYFUNCTION("GOOGLETRANSLATE('대전도시공사_청년임대주택 현황_20240630'!C642,""ko"",""en"")"),"1")</f>
        <v>1</v>
      </c>
      <c r="D642" s="1" t="str">
        <f ca="1">IFERROR(__xludf.DUMMYFUNCTION("GOOGLETRANSLATE('대전도시공사_청년임대주택 현황_20240630'!D642,""ko"",""en"")"),"1301")</f>
        <v>1301</v>
      </c>
      <c r="E642" s="1" t="str">
        <f ca="1">IFERROR(__xludf.DUMMYFUNCTION("GOOGLETRANSLATE('대전도시공사_청년임대주택 현황_20240630'!E642,""ko"",""en"")"),"48.862")</f>
        <v>48.862</v>
      </c>
      <c r="F642" s="1" t="str">
        <f ca="1">IFERROR(__xludf.DUMMYFUNCTION("GOOGLETRANSLATE('대전도시공사_청년임대주택 현황_20240630'!F642,""ko"",""en"")"),"18.887")</f>
        <v>18.887</v>
      </c>
      <c r="G642" s="1" t="str">
        <f ca="1">IFERROR(__xludf.DUMMYFUNCTION("GOOGLETRANSLATE('대전도시공사_청년임대주택 현황_20240630'!G642,""ko"",""en"")"),"27.974")</f>
        <v>27.974</v>
      </c>
      <c r="H642" s="1" t="str">
        <f ca="1">IFERROR(__xludf.DUMMYFUNCTION("GOOGLETRANSLATE('대전도시공사_청년임대주택 현황_20240630'!H642,""ko"",""en"")"),"Youth Rental 2nd Place")</f>
        <v>Youth Rental 2nd Place</v>
      </c>
      <c r="I642" s="1" t="str">
        <f ca="1">IFERROR(__xludf.DUMMYFUNCTION("GOOGLETRANSLATE('대전도시공사_청년임대주택 현황_20240630'!I642,""ko"",""en"")"),"2000000")</f>
        <v>2000000</v>
      </c>
      <c r="J642" s="1" t="str">
        <f ca="1">IFERROR(__xludf.DUMMYFUNCTION("GOOGLETRANSLATE('대전도시공사_청년임대주택 현황_20240630'!J642,""ko"",""en"")"),"269900")</f>
        <v>269900</v>
      </c>
    </row>
    <row r="643" spans="1:10" ht="12.5" x14ac:dyDescent="0.25">
      <c r="A643" s="1" t="str">
        <f ca="1">IFERROR(__xludf.DUMMYFUNCTION("GOOGLETRANSLATE('대전도시공사_청년임대주택 현황_20240630'!A643,""ko"",""en"")"),"540-8 Bongmyeong-dong (Haenarae 2, youth rental)")</f>
        <v>540-8 Bongmyeong-dong (Haenarae 2, youth rental)</v>
      </c>
      <c r="B643" s="1" t="str">
        <f ca="1">IFERROR(__xludf.DUMMYFUNCTION("GOOGLETRANSLATE('대전도시공사_청년임대주택 현황_20240630'!B643,""ko"",""en"")"),"177")</f>
        <v>177</v>
      </c>
      <c r="C643" s="1" t="str">
        <f ca="1">IFERROR(__xludf.DUMMYFUNCTION("GOOGLETRANSLATE('대전도시공사_청년임대주택 현황_20240630'!C643,""ko"",""en"")"),"1")</f>
        <v>1</v>
      </c>
      <c r="D643" s="1" t="str">
        <f ca="1">IFERROR(__xludf.DUMMYFUNCTION("GOOGLETRANSLATE('대전도시공사_청년임대주택 현황_20240630'!D643,""ko"",""en"")"),"1301")</f>
        <v>1301</v>
      </c>
      <c r="E643" s="1" t="str">
        <f ca="1">IFERROR(__xludf.DUMMYFUNCTION("GOOGLETRANSLATE('대전도시공사_청년임대주택 현황_20240630'!E643,""ko"",""en"")"),"48.862")</f>
        <v>48.862</v>
      </c>
      <c r="F643" s="1" t="str">
        <f ca="1">IFERROR(__xludf.DUMMYFUNCTION("GOOGLETRANSLATE('대전도시공사_청년임대주택 현황_20240630'!F643,""ko"",""en"")"),"18.887")</f>
        <v>18.887</v>
      </c>
      <c r="G643" s="1" t="str">
        <f ca="1">IFERROR(__xludf.DUMMYFUNCTION("GOOGLETRANSLATE('대전도시공사_청년임대주택 현황_20240630'!G643,""ko"",""en"")"),"27.974")</f>
        <v>27.974</v>
      </c>
      <c r="H643" s="1" t="str">
        <f ca="1">IFERROR(__xludf.DUMMYFUNCTION("GOOGLETRANSLATE('대전도시공사_청년임대주택 현황_20240630'!H643,""ko"",""en"")"),"3rd place for youth rental")</f>
        <v>3rd place for youth rental</v>
      </c>
      <c r="I643" s="1" t="str">
        <f ca="1">IFERROR(__xludf.DUMMYFUNCTION("GOOGLETRANSLATE('대전도시공사_청년임대주택 현황_20240630'!I643,""ko"",""en"")"),"2000000")</f>
        <v>2000000</v>
      </c>
      <c r="J643" s="1" t="str">
        <f ca="1">IFERROR(__xludf.DUMMYFUNCTION("GOOGLETRANSLATE('대전도시공사_청년임대주택 현황_20240630'!J643,""ko"",""en"")"),"269900")</f>
        <v>269900</v>
      </c>
    </row>
    <row r="644" spans="1:10" ht="12.5" x14ac:dyDescent="0.25">
      <c r="A644" s="1" t="str">
        <f ca="1">IFERROR(__xludf.DUMMYFUNCTION("GOOGLETRANSLATE('대전도시공사_청년임대주택 현황_20240630'!A644,""ko"",""en"")"),"540-8 Bongmyeong-dong (Haenarae 2, youth rental)")</f>
        <v>540-8 Bongmyeong-dong (Haenarae 2, youth rental)</v>
      </c>
      <c r="B644" s="1" t="str">
        <f ca="1">IFERROR(__xludf.DUMMYFUNCTION("GOOGLETRANSLATE('대전도시공사_청년임대주택 현황_20240630'!B644,""ko"",""en"")"),"181")</f>
        <v>181</v>
      </c>
      <c r="C644" s="1" t="str">
        <f ca="1">IFERROR(__xludf.DUMMYFUNCTION("GOOGLETRANSLATE('대전도시공사_청년임대주택 현황_20240630'!C644,""ko"",""en"")"),"1")</f>
        <v>1</v>
      </c>
      <c r="D644" s="1" t="str">
        <f ca="1">IFERROR(__xludf.DUMMYFUNCTION("GOOGLETRANSLATE('대전도시공사_청년임대주택 현황_20240630'!D644,""ko"",""en"")"),"1305")</f>
        <v>1305</v>
      </c>
      <c r="E644" s="1" t="str">
        <f ca="1">IFERROR(__xludf.DUMMYFUNCTION("GOOGLETRANSLATE('대전도시공사_청년임대주택 현황_20240630'!E644,""ko"",""en"")"),"48.862")</f>
        <v>48.862</v>
      </c>
      <c r="F644" s="1" t="str">
        <f ca="1">IFERROR(__xludf.DUMMYFUNCTION("GOOGLETRANSLATE('대전도시공사_청년임대주택 현황_20240630'!F644,""ko"",""en"")"),"18.887")</f>
        <v>18.887</v>
      </c>
      <c r="G644" s="1" t="str">
        <f ca="1">IFERROR(__xludf.DUMMYFUNCTION("GOOGLETRANSLATE('대전도시공사_청년임대주택 현황_20240630'!G644,""ko"",""en"")"),"27.974")</f>
        <v>27.974</v>
      </c>
      <c r="H644" s="1" t="str">
        <f ca="1">IFERROR(__xludf.DUMMYFUNCTION("GOOGLETRANSLATE('대전도시공사_청년임대주택 현황_20240630'!H644,""ko"",""en"")"),"Beneficiary")</f>
        <v>Beneficiary</v>
      </c>
      <c r="I644" s="1" t="str">
        <f ca="1">IFERROR(__xludf.DUMMYFUNCTION("GOOGLETRANSLATE('대전도시공사_청년임대주택 현황_20240630'!I644,""ko"",""en"")"),"1000000")</f>
        <v>1000000</v>
      </c>
      <c r="J644" s="1" t="str">
        <f ca="1">IFERROR(__xludf.DUMMYFUNCTION("GOOGLETRANSLATE('대전도시공사_청년임대주택 현황_20240630'!J644,""ko"",""en"")"),"219200")</f>
        <v>219200</v>
      </c>
    </row>
    <row r="645" spans="1:10" ht="12.5" x14ac:dyDescent="0.25">
      <c r="A645" s="1" t="str">
        <f ca="1">IFERROR(__xludf.DUMMYFUNCTION("GOOGLETRANSLATE('대전도시공사_청년임대주택 현황_20240630'!A645,""ko"",""en"")"),"540-8 Bongmyeong-dong (Haenarae 2, youth rental)")</f>
        <v>540-8 Bongmyeong-dong (Haenarae 2, youth rental)</v>
      </c>
      <c r="B645" s="1" t="str">
        <f ca="1">IFERROR(__xludf.DUMMYFUNCTION("GOOGLETRANSLATE('대전도시공사_청년임대주택 현황_20240630'!B645,""ko"",""en"")"),"182")</f>
        <v>182</v>
      </c>
      <c r="C645" s="1" t="str">
        <f ca="1">IFERROR(__xludf.DUMMYFUNCTION("GOOGLETRANSLATE('대전도시공사_청년임대주택 현황_20240630'!C645,""ko"",""en"")"),"1")</f>
        <v>1</v>
      </c>
      <c r="D645" s="1" t="str">
        <f ca="1">IFERROR(__xludf.DUMMYFUNCTION("GOOGLETRANSLATE('대전도시공사_청년임대주택 현황_20240630'!D645,""ko"",""en"")"),"1305")</f>
        <v>1305</v>
      </c>
      <c r="E645" s="1" t="str">
        <f ca="1">IFERROR(__xludf.DUMMYFUNCTION("GOOGLETRANSLATE('대전도시공사_청년임대주택 현황_20240630'!E645,""ko"",""en"")"),"48.862")</f>
        <v>48.862</v>
      </c>
      <c r="F645" s="1" t="str">
        <f ca="1">IFERROR(__xludf.DUMMYFUNCTION("GOOGLETRANSLATE('대전도시공사_청년임대주택 현황_20240630'!F645,""ko"",""en"")"),"18.887")</f>
        <v>18.887</v>
      </c>
      <c r="G645" s="1" t="str">
        <f ca="1">IFERROR(__xludf.DUMMYFUNCTION("GOOGLETRANSLATE('대전도시공사_청년임대주택 현황_20240630'!G645,""ko"",""en"")"),"27.974")</f>
        <v>27.974</v>
      </c>
      <c r="H645" s="1" t="str">
        <f ca="1">IFERROR(__xludf.DUMMYFUNCTION("GOOGLETRANSLATE('대전도시공사_청년임대주택 현황_20240630'!H645,""ko"",""en"")"),"Youth Rental 2nd Place")</f>
        <v>Youth Rental 2nd Place</v>
      </c>
      <c r="I645" s="1" t="str">
        <f ca="1">IFERROR(__xludf.DUMMYFUNCTION("GOOGLETRANSLATE('대전도시공사_청년임대주택 현황_20240630'!I645,""ko"",""en"")"),"2000000")</f>
        <v>2000000</v>
      </c>
      <c r="J645" s="1" t="str">
        <f ca="1">IFERROR(__xludf.DUMMYFUNCTION("GOOGLETRANSLATE('대전도시공사_청년임대주택 현황_20240630'!J645,""ko"",""en"")"),"269900")</f>
        <v>269900</v>
      </c>
    </row>
    <row r="646" spans="1:10" ht="12.5" x14ac:dyDescent="0.25">
      <c r="A646" s="1" t="str">
        <f ca="1">IFERROR(__xludf.DUMMYFUNCTION("GOOGLETRANSLATE('대전도시공사_청년임대주택 현황_20240630'!A646,""ko"",""en"")"),"540-8 Bongmyeong-dong (Haenarae 2, youth rental)")</f>
        <v>540-8 Bongmyeong-dong (Haenarae 2, youth rental)</v>
      </c>
      <c r="B646" s="1" t="str">
        <f ca="1">IFERROR(__xludf.DUMMYFUNCTION("GOOGLETRANSLATE('대전도시공사_청년임대주택 현황_20240630'!B646,""ko"",""en"")"),"183")</f>
        <v>183</v>
      </c>
      <c r="C646" s="1" t="str">
        <f ca="1">IFERROR(__xludf.DUMMYFUNCTION("GOOGLETRANSLATE('대전도시공사_청년임대주택 현황_20240630'!C646,""ko"",""en"")"),"1")</f>
        <v>1</v>
      </c>
      <c r="D646" s="1" t="str">
        <f ca="1">IFERROR(__xludf.DUMMYFUNCTION("GOOGLETRANSLATE('대전도시공사_청년임대주택 현황_20240630'!D646,""ko"",""en"")"),"1305")</f>
        <v>1305</v>
      </c>
      <c r="E646" s="1" t="str">
        <f ca="1">IFERROR(__xludf.DUMMYFUNCTION("GOOGLETRANSLATE('대전도시공사_청년임대주택 현황_20240630'!E646,""ko"",""en"")"),"48.862")</f>
        <v>48.862</v>
      </c>
      <c r="F646" s="1" t="str">
        <f ca="1">IFERROR(__xludf.DUMMYFUNCTION("GOOGLETRANSLATE('대전도시공사_청년임대주택 현황_20240630'!F646,""ko"",""en"")"),"18.887")</f>
        <v>18.887</v>
      </c>
      <c r="G646" s="1" t="str">
        <f ca="1">IFERROR(__xludf.DUMMYFUNCTION("GOOGLETRANSLATE('대전도시공사_청년임대주택 현황_20240630'!G646,""ko"",""en"")"),"27.974")</f>
        <v>27.974</v>
      </c>
      <c r="H646" s="1" t="str">
        <f ca="1">IFERROR(__xludf.DUMMYFUNCTION("GOOGLETRANSLATE('대전도시공사_청년임대주택 현황_20240630'!H646,""ko"",""en"")"),"3rd place for youth rental")</f>
        <v>3rd place for youth rental</v>
      </c>
      <c r="I646" s="1" t="str">
        <f ca="1">IFERROR(__xludf.DUMMYFUNCTION("GOOGLETRANSLATE('대전도시공사_청년임대주택 현황_20240630'!I646,""ko"",""en"")"),"2000000")</f>
        <v>2000000</v>
      </c>
      <c r="J646" s="1" t="str">
        <f ca="1">IFERROR(__xludf.DUMMYFUNCTION("GOOGLETRANSLATE('대전도시공사_청년임대주택 현황_20240630'!J646,""ko"",""en"")"),"269900")</f>
        <v>269900</v>
      </c>
    </row>
    <row r="647" spans="1:10" ht="12.5" x14ac:dyDescent="0.25">
      <c r="A647" s="1" t="str">
        <f ca="1">IFERROR(__xludf.DUMMYFUNCTION("GOOGLETRANSLATE('대전도시공사_청년임대주택 현황_20240630'!A647,""ko"",""en"")"),"540-8 Bongmyeong-dong (Haenarae 2, youth rental)")</f>
        <v>540-8 Bongmyeong-dong (Haenarae 2, youth rental)</v>
      </c>
      <c r="B647" s="1" t="str">
        <f ca="1">IFERROR(__xludf.DUMMYFUNCTION("GOOGLETRANSLATE('대전도시공사_청년임대주택 현황_20240630'!B647,""ko"",""en"")"),"184")</f>
        <v>184</v>
      </c>
      <c r="C647" s="1" t="str">
        <f ca="1">IFERROR(__xludf.DUMMYFUNCTION("GOOGLETRANSLATE('대전도시공사_청년임대주택 현황_20240630'!C647,""ko"",""en"")"),"1")</f>
        <v>1</v>
      </c>
      <c r="D647" s="1" t="str">
        <f ca="1">IFERROR(__xludf.DUMMYFUNCTION("GOOGLETRANSLATE('대전도시공사_청년임대주택 현황_20240630'!D647,""ko"",""en"")"),"1306")</f>
        <v>1306</v>
      </c>
      <c r="E647" s="1" t="str">
        <f ca="1">IFERROR(__xludf.DUMMYFUNCTION("GOOGLETRANSLATE('대전도시공사_청년임대주택 현황_20240630'!E647,""ko"",""en"")"),"58.813")</f>
        <v>58.813</v>
      </c>
      <c r="F647" s="1" t="str">
        <f ca="1">IFERROR(__xludf.DUMMYFUNCTION("GOOGLETRANSLATE('대전도시공사_청년임대주택 현황_20240630'!F647,""ko"",""en"")"),"24.017")</f>
        <v>24.017</v>
      </c>
      <c r="G647" s="1" t="str">
        <f ca="1">IFERROR(__xludf.DUMMYFUNCTION("GOOGLETRANSLATE('대전도시공사_청년임대주택 현황_20240630'!G647,""ko"",""en"")"),"34.795")</f>
        <v>34.795</v>
      </c>
      <c r="H647" s="1" t="str">
        <f ca="1">IFERROR(__xludf.DUMMYFUNCTION("GOOGLETRANSLATE('대전도시공사_청년임대주택 현황_20240630'!H647,""ko"",""en"")"),"Beneficiary")</f>
        <v>Beneficiary</v>
      </c>
      <c r="I647" s="1" t="str">
        <f ca="1">IFERROR(__xludf.DUMMYFUNCTION("GOOGLETRANSLATE('대전도시공사_청년임대주택 현황_20240630'!I647,""ko"",""en"")"),"1000000")</f>
        <v>1000000</v>
      </c>
      <c r="J647" s="1" t="str">
        <f ca="1">IFERROR(__xludf.DUMMYFUNCTION("GOOGLETRANSLATE('대전도시공사_청년임대주택 현황_20240630'!J647,""ko"",""en"")"),"220000")</f>
        <v>220000</v>
      </c>
    </row>
    <row r="648" spans="1:10" ht="12.5" x14ac:dyDescent="0.25">
      <c r="A648" s="1" t="str">
        <f ca="1">IFERROR(__xludf.DUMMYFUNCTION("GOOGLETRANSLATE('대전도시공사_청년임대주택 현황_20240630'!A648,""ko"",""en"")"),"540-8 Bongmyeong-dong (Haenarae 2, youth rental)")</f>
        <v>540-8 Bongmyeong-dong (Haenarae 2, youth rental)</v>
      </c>
      <c r="B648" s="1" t="str">
        <f ca="1">IFERROR(__xludf.DUMMYFUNCTION("GOOGLETRANSLATE('대전도시공사_청년임대주택 현황_20240630'!B648,""ko"",""en"")"),"185")</f>
        <v>185</v>
      </c>
      <c r="C648" s="1" t="str">
        <f ca="1">IFERROR(__xludf.DUMMYFUNCTION("GOOGLETRANSLATE('대전도시공사_청년임대주택 현황_20240630'!C648,""ko"",""en"")"),"1")</f>
        <v>1</v>
      </c>
      <c r="D648" s="1" t="str">
        <f ca="1">IFERROR(__xludf.DUMMYFUNCTION("GOOGLETRANSLATE('대전도시공사_청년임대주택 현황_20240630'!D648,""ko"",""en"")"),"1306")</f>
        <v>1306</v>
      </c>
      <c r="E648" s="1" t="str">
        <f ca="1">IFERROR(__xludf.DUMMYFUNCTION("GOOGLETRANSLATE('대전도시공사_청년임대주택 현황_20240630'!E648,""ko"",""en"")"),"58.813")</f>
        <v>58.813</v>
      </c>
      <c r="F648" s="1" t="str">
        <f ca="1">IFERROR(__xludf.DUMMYFUNCTION("GOOGLETRANSLATE('대전도시공사_청년임대주택 현황_20240630'!F648,""ko"",""en"")"),"24.017")</f>
        <v>24.017</v>
      </c>
      <c r="G648" s="1" t="str">
        <f ca="1">IFERROR(__xludf.DUMMYFUNCTION("GOOGLETRANSLATE('대전도시공사_청년임대주택 현황_20240630'!G648,""ko"",""en"")"),"34.795")</f>
        <v>34.795</v>
      </c>
      <c r="H648" s="1" t="str">
        <f ca="1">IFERROR(__xludf.DUMMYFUNCTION("GOOGLETRANSLATE('대전도시공사_청년임대주택 현황_20240630'!H648,""ko"",""en"")"),"Youth Rental 2nd Place")</f>
        <v>Youth Rental 2nd Place</v>
      </c>
      <c r="I648" s="1" t="str">
        <f ca="1">IFERROR(__xludf.DUMMYFUNCTION("GOOGLETRANSLATE('대전도시공사_청년임대주택 현황_20240630'!I648,""ko"",""en"")"),"2000000")</f>
        <v>2000000</v>
      </c>
      <c r="J648" s="1" t="str">
        <f ca="1">IFERROR(__xludf.DUMMYFUNCTION("GOOGLETRANSLATE('대전도시공사_청년임대주택 현황_20240630'!J648,""ko"",""en"")"),"270900")</f>
        <v>270900</v>
      </c>
    </row>
    <row r="649" spans="1:10" ht="12.5" x14ac:dyDescent="0.25">
      <c r="A649" s="1" t="str">
        <f ca="1">IFERROR(__xludf.DUMMYFUNCTION("GOOGLETRANSLATE('대전도시공사_청년임대주택 현황_20240630'!A649,""ko"",""en"")"),"540-8 Bongmyeong-dong (Haenarae 2, youth rental)")</f>
        <v>540-8 Bongmyeong-dong (Haenarae 2, youth rental)</v>
      </c>
      <c r="B649" s="1" t="str">
        <f ca="1">IFERROR(__xludf.DUMMYFUNCTION("GOOGLETRANSLATE('대전도시공사_청년임대주택 현황_20240630'!B649,""ko"",""en"")"),"186")</f>
        <v>186</v>
      </c>
      <c r="C649" s="1" t="str">
        <f ca="1">IFERROR(__xludf.DUMMYFUNCTION("GOOGLETRANSLATE('대전도시공사_청년임대주택 현황_20240630'!C649,""ko"",""en"")"),"1")</f>
        <v>1</v>
      </c>
      <c r="D649" s="1" t="str">
        <f ca="1">IFERROR(__xludf.DUMMYFUNCTION("GOOGLETRANSLATE('대전도시공사_청년임대주택 현황_20240630'!D649,""ko"",""en"")"),"1306")</f>
        <v>1306</v>
      </c>
      <c r="E649" s="1" t="str">
        <f ca="1">IFERROR(__xludf.DUMMYFUNCTION("GOOGLETRANSLATE('대전도시공사_청년임대주택 현황_20240630'!E649,""ko"",""en"")"),"58.813")</f>
        <v>58.813</v>
      </c>
      <c r="F649" s="1" t="str">
        <f ca="1">IFERROR(__xludf.DUMMYFUNCTION("GOOGLETRANSLATE('대전도시공사_청년임대주택 현황_20240630'!F649,""ko"",""en"")"),"24.017")</f>
        <v>24.017</v>
      </c>
      <c r="G649" s="1" t="str">
        <f ca="1">IFERROR(__xludf.DUMMYFUNCTION("GOOGLETRANSLATE('대전도시공사_청년임대주택 현황_20240630'!G649,""ko"",""en"")"),"34.795")</f>
        <v>34.795</v>
      </c>
      <c r="H649" s="1" t="str">
        <f ca="1">IFERROR(__xludf.DUMMYFUNCTION("GOOGLETRANSLATE('대전도시공사_청년임대주택 현황_20240630'!H649,""ko"",""en"")"),"3rd place for youth rental")</f>
        <v>3rd place for youth rental</v>
      </c>
      <c r="I649" s="1" t="str">
        <f ca="1">IFERROR(__xludf.DUMMYFUNCTION("GOOGLETRANSLATE('대전도시공사_청년임대주택 현황_20240630'!I649,""ko"",""en"")"),"2000000")</f>
        <v>2000000</v>
      </c>
      <c r="J649" s="1" t="str">
        <f ca="1">IFERROR(__xludf.DUMMYFUNCTION("GOOGLETRANSLATE('대전도시공사_청년임대주택 현황_20240630'!J649,""ko"",""en"")"),"270900")</f>
        <v>270900</v>
      </c>
    </row>
    <row r="650" spans="1:10" ht="12.5" x14ac:dyDescent="0.25">
      <c r="A650" s="1" t="str">
        <f ca="1">IFERROR(__xludf.DUMMYFUNCTION("GOOGLETRANSLATE('대전도시공사_청년임대주택 현황_20240630'!A650,""ko"",""en"")"),"540-8 Bongmyeong-dong (Haenarae 2, youth rental)")</f>
        <v>540-8 Bongmyeong-dong (Haenarae 2, youth rental)</v>
      </c>
      <c r="B650" s="1" t="str">
        <f ca="1">IFERROR(__xludf.DUMMYFUNCTION("GOOGLETRANSLATE('대전도시공사_청년임대주택 현황_20240630'!B650,""ko"",""en"")"),"187")</f>
        <v>187</v>
      </c>
      <c r="C650" s="1" t="str">
        <f ca="1">IFERROR(__xludf.DUMMYFUNCTION("GOOGLETRANSLATE('대전도시공사_청년임대주택 현황_20240630'!C650,""ko"",""en"")"),"1")</f>
        <v>1</v>
      </c>
      <c r="D650" s="1" t="str">
        <f ca="1">IFERROR(__xludf.DUMMYFUNCTION("GOOGLETRANSLATE('대전도시공사_청년임대주택 현황_20240630'!D650,""ko"",""en"")"),"1307")</f>
        <v>1307</v>
      </c>
      <c r="E650" s="1" t="str">
        <f ca="1">IFERROR(__xludf.DUMMYFUNCTION("GOOGLETRANSLATE('대전도시공사_청년임대주택 현황_20240630'!E650,""ko"",""en"")"),"58.798")</f>
        <v>58.798</v>
      </c>
      <c r="F650" s="1" t="str">
        <f ca="1">IFERROR(__xludf.DUMMYFUNCTION("GOOGLETRANSLATE('대전도시공사_청년임대주택 현황_20240630'!F650,""ko"",""en"")"),"24.279")</f>
        <v>24.279</v>
      </c>
      <c r="G650" s="1" t="str">
        <f ca="1">IFERROR(__xludf.DUMMYFUNCTION("GOOGLETRANSLATE('대전도시공사_청년임대주택 현황_20240630'!G650,""ko"",""en"")"),"34.519")</f>
        <v>34.519</v>
      </c>
      <c r="H650" s="1" t="str">
        <f ca="1">IFERROR(__xludf.DUMMYFUNCTION("GOOGLETRANSLATE('대전도시공사_청년임대주택 현황_20240630'!H650,""ko"",""en"")"),"Beneficiary")</f>
        <v>Beneficiary</v>
      </c>
      <c r="I650" s="1" t="str">
        <f ca="1">IFERROR(__xludf.DUMMYFUNCTION("GOOGLETRANSLATE('대전도시공사_청년임대주택 현황_20240630'!I650,""ko"",""en"")"),"1000000")</f>
        <v>1000000</v>
      </c>
      <c r="J650" s="1" t="str">
        <f ca="1">IFERROR(__xludf.DUMMYFUNCTION("GOOGLETRANSLATE('대전도시공사_청년임대주택 현황_20240630'!J650,""ko"",""en"")"),"222500")</f>
        <v>222500</v>
      </c>
    </row>
    <row r="651" spans="1:10" ht="12.5" x14ac:dyDescent="0.25">
      <c r="A651" s="1" t="str">
        <f ca="1">IFERROR(__xludf.DUMMYFUNCTION("GOOGLETRANSLATE('대전도시공사_청년임대주택 현황_20240630'!A651,""ko"",""en"")"),"540-8 Bongmyeong-dong (Haenarae 2, youth rental)")</f>
        <v>540-8 Bongmyeong-dong (Haenarae 2, youth rental)</v>
      </c>
      <c r="B651" s="1" t="str">
        <f ca="1">IFERROR(__xludf.DUMMYFUNCTION("GOOGLETRANSLATE('대전도시공사_청년임대주택 현황_20240630'!B651,""ko"",""en"")"),"188")</f>
        <v>188</v>
      </c>
      <c r="C651" s="1" t="str">
        <f ca="1">IFERROR(__xludf.DUMMYFUNCTION("GOOGLETRANSLATE('대전도시공사_청년임대주택 현황_20240630'!C651,""ko"",""en"")"),"1")</f>
        <v>1</v>
      </c>
      <c r="D651" s="1" t="str">
        <f ca="1">IFERROR(__xludf.DUMMYFUNCTION("GOOGLETRANSLATE('대전도시공사_청년임대주택 현황_20240630'!D651,""ko"",""en"")"),"1307")</f>
        <v>1307</v>
      </c>
      <c r="E651" s="1" t="str">
        <f ca="1">IFERROR(__xludf.DUMMYFUNCTION("GOOGLETRANSLATE('대전도시공사_청년임대주택 현황_20240630'!E651,""ko"",""en"")"),"58.798")</f>
        <v>58.798</v>
      </c>
      <c r="F651" s="1" t="str">
        <f ca="1">IFERROR(__xludf.DUMMYFUNCTION("GOOGLETRANSLATE('대전도시공사_청년임대주택 현황_20240630'!F651,""ko"",""en"")"),"24.279")</f>
        <v>24.279</v>
      </c>
      <c r="G651" s="1" t="str">
        <f ca="1">IFERROR(__xludf.DUMMYFUNCTION("GOOGLETRANSLATE('대전도시공사_청년임대주택 현황_20240630'!G651,""ko"",""en"")"),"34.519")</f>
        <v>34.519</v>
      </c>
      <c r="H651" s="1" t="str">
        <f ca="1">IFERROR(__xludf.DUMMYFUNCTION("GOOGLETRANSLATE('대전도시공사_청년임대주택 현황_20240630'!H651,""ko"",""en"")"),"Youth Rental 2nd Place")</f>
        <v>Youth Rental 2nd Place</v>
      </c>
      <c r="I651" s="1" t="str">
        <f ca="1">IFERROR(__xludf.DUMMYFUNCTION("GOOGLETRANSLATE('대전도시공사_청년임대주택 현황_20240630'!I651,""ko"",""en"")"),"2000000")</f>
        <v>2000000</v>
      </c>
      <c r="J651" s="1" t="str">
        <f ca="1">IFERROR(__xludf.DUMMYFUNCTION("GOOGLETRANSLATE('대전도시공사_청년임대주택 현황_20240630'!J651,""ko"",""en"")"),"274000")</f>
        <v>274000</v>
      </c>
    </row>
    <row r="652" spans="1:10" ht="12.5" x14ac:dyDescent="0.25">
      <c r="A652" s="1" t="str">
        <f ca="1">IFERROR(__xludf.DUMMYFUNCTION("GOOGLETRANSLATE('대전도시공사_청년임대주택 현황_20240630'!A652,""ko"",""en"")"),"540-8 Bongmyeong-dong (Haenarae 2, youth rental)")</f>
        <v>540-8 Bongmyeong-dong (Haenarae 2, youth rental)</v>
      </c>
      <c r="B652" s="1" t="str">
        <f ca="1">IFERROR(__xludf.DUMMYFUNCTION("GOOGLETRANSLATE('대전도시공사_청년임대주택 현황_20240630'!B652,""ko"",""en"")"),"189")</f>
        <v>189</v>
      </c>
      <c r="C652" s="1" t="str">
        <f ca="1">IFERROR(__xludf.DUMMYFUNCTION("GOOGLETRANSLATE('대전도시공사_청년임대주택 현황_20240630'!C652,""ko"",""en"")"),"1")</f>
        <v>1</v>
      </c>
      <c r="D652" s="1" t="str">
        <f ca="1">IFERROR(__xludf.DUMMYFUNCTION("GOOGLETRANSLATE('대전도시공사_청년임대주택 현황_20240630'!D652,""ko"",""en"")"),"1307")</f>
        <v>1307</v>
      </c>
      <c r="E652" s="1" t="str">
        <f ca="1">IFERROR(__xludf.DUMMYFUNCTION("GOOGLETRANSLATE('대전도시공사_청년임대주택 현황_20240630'!E652,""ko"",""en"")"),"58.798")</f>
        <v>58.798</v>
      </c>
      <c r="F652" s="1" t="str">
        <f ca="1">IFERROR(__xludf.DUMMYFUNCTION("GOOGLETRANSLATE('대전도시공사_청년임대주택 현황_20240630'!F652,""ko"",""en"")"),"24.279")</f>
        <v>24.279</v>
      </c>
      <c r="G652" s="1" t="str">
        <f ca="1">IFERROR(__xludf.DUMMYFUNCTION("GOOGLETRANSLATE('대전도시공사_청년임대주택 현황_20240630'!G652,""ko"",""en"")"),"34.519")</f>
        <v>34.519</v>
      </c>
      <c r="H652" s="1" t="str">
        <f ca="1">IFERROR(__xludf.DUMMYFUNCTION("GOOGLETRANSLATE('대전도시공사_청년임대주택 현황_20240630'!H652,""ko"",""en"")"),"3rd place for youth rental")</f>
        <v>3rd place for youth rental</v>
      </c>
      <c r="I652" s="1" t="str">
        <f ca="1">IFERROR(__xludf.DUMMYFUNCTION("GOOGLETRANSLATE('대전도시공사_청년임대주택 현황_20240630'!I652,""ko"",""en"")"),"2000000")</f>
        <v>2000000</v>
      </c>
      <c r="J652" s="1" t="str">
        <f ca="1">IFERROR(__xludf.DUMMYFUNCTION("GOOGLETRANSLATE('대전도시공사_청년임대주택 현황_20240630'!J652,""ko"",""en"")"),"274000")</f>
        <v>274000</v>
      </c>
    </row>
    <row r="653" spans="1:10" ht="12.5" x14ac:dyDescent="0.25">
      <c r="A653" s="1" t="str">
        <f ca="1">IFERROR(__xludf.DUMMYFUNCTION("GOOGLETRANSLATE('대전도시공사_청년임대주택 현황_20240630'!A653,""ko"",""en"")"),"540-8 Bongmyeong-dong (Haenarae 2, youth rental)")</f>
        <v>540-8 Bongmyeong-dong (Haenarae 2, youth rental)</v>
      </c>
      <c r="B653" s="1" t="str">
        <f ca="1">IFERROR(__xludf.DUMMYFUNCTION("GOOGLETRANSLATE('대전도시공사_청년임대주택 현황_20240630'!B653,""ko"",""en"")"),"193")</f>
        <v>193</v>
      </c>
      <c r="C653" s="1" t="str">
        <f ca="1">IFERROR(__xludf.DUMMYFUNCTION("GOOGLETRANSLATE('대전도시공사_청년임대주택 현황_20240630'!C653,""ko"",""en"")"),"1")</f>
        <v>1</v>
      </c>
      <c r="D653" s="1" t="str">
        <f ca="1">IFERROR(__xludf.DUMMYFUNCTION("GOOGLETRANSLATE('대전도시공사_청년임대주택 현황_20240630'!D653,""ko"",""en"")"),"1315")</f>
        <v>1315</v>
      </c>
      <c r="E653" s="1" t="str">
        <f ca="1">IFERROR(__xludf.DUMMYFUNCTION("GOOGLETRANSLATE('대전도시공사_청년임대주택 현황_20240630'!E653,""ko"",""en"")"),"46.296")</f>
        <v>46.296</v>
      </c>
      <c r="F653" s="1" t="str">
        <f ca="1">IFERROR(__xludf.DUMMYFUNCTION("GOOGLETRANSLATE('대전도시공사_청년임대주택 현황_20240630'!F653,""ko"",""en"")"),"18.459")</f>
        <v>18.459</v>
      </c>
      <c r="G653" s="1" t="str">
        <f ca="1">IFERROR(__xludf.DUMMYFUNCTION("GOOGLETRANSLATE('대전도시공사_청년임대주택 현황_20240630'!G653,""ko"",""en"")"),"27.837")</f>
        <v>27.837</v>
      </c>
      <c r="H653" s="1" t="str">
        <f ca="1">IFERROR(__xludf.DUMMYFUNCTION("GOOGLETRANSLATE('대전도시공사_청년임대주택 현황_20240630'!H653,""ko"",""en"")"),"Beneficiary")</f>
        <v>Beneficiary</v>
      </c>
      <c r="I653" s="1" t="str">
        <f ca="1">IFERROR(__xludf.DUMMYFUNCTION("GOOGLETRANSLATE('대전도시공사_청년임대주택 현황_20240630'!I653,""ko"",""en"")"),"1000000")</f>
        <v>1000000</v>
      </c>
      <c r="J653" s="1" t="str">
        <f ca="1">IFERROR(__xludf.DUMMYFUNCTION("GOOGLETRANSLATE('대전도시공사_청년임대주택 현황_20240630'!J653,""ko"",""en"")"),"214100")</f>
        <v>214100</v>
      </c>
    </row>
    <row r="654" spans="1:10" ht="12.5" x14ac:dyDescent="0.25">
      <c r="A654" s="1" t="str">
        <f ca="1">IFERROR(__xludf.DUMMYFUNCTION("GOOGLETRANSLATE('대전도시공사_청년임대주택 현황_20240630'!A654,""ko"",""en"")"),"540-8 Bongmyeong-dong (Haenarae 2, youth rental)")</f>
        <v>540-8 Bongmyeong-dong (Haenarae 2, youth rental)</v>
      </c>
      <c r="B654" s="1" t="str">
        <f ca="1">IFERROR(__xludf.DUMMYFUNCTION("GOOGLETRANSLATE('대전도시공사_청년임대주택 현황_20240630'!B654,""ko"",""en"")"),"194")</f>
        <v>194</v>
      </c>
      <c r="C654" s="1" t="str">
        <f ca="1">IFERROR(__xludf.DUMMYFUNCTION("GOOGLETRANSLATE('대전도시공사_청년임대주택 현황_20240630'!C654,""ko"",""en"")"),"1")</f>
        <v>1</v>
      </c>
      <c r="D654" s="1" t="str">
        <f ca="1">IFERROR(__xludf.DUMMYFUNCTION("GOOGLETRANSLATE('대전도시공사_청년임대주택 현황_20240630'!D654,""ko"",""en"")"),"1315")</f>
        <v>1315</v>
      </c>
      <c r="E654" s="1" t="str">
        <f ca="1">IFERROR(__xludf.DUMMYFUNCTION("GOOGLETRANSLATE('대전도시공사_청년임대주택 현황_20240630'!E654,""ko"",""en"")"),"46.296")</f>
        <v>46.296</v>
      </c>
      <c r="F654" s="1" t="str">
        <f ca="1">IFERROR(__xludf.DUMMYFUNCTION("GOOGLETRANSLATE('대전도시공사_청년임대주택 현황_20240630'!F654,""ko"",""en"")"),"18.459")</f>
        <v>18.459</v>
      </c>
      <c r="G654" s="1" t="str">
        <f ca="1">IFERROR(__xludf.DUMMYFUNCTION("GOOGLETRANSLATE('대전도시공사_청년임대주택 현황_20240630'!G654,""ko"",""en"")"),"27.837")</f>
        <v>27.837</v>
      </c>
      <c r="H654" s="1" t="str">
        <f ca="1">IFERROR(__xludf.DUMMYFUNCTION("GOOGLETRANSLATE('대전도시공사_청년임대주택 현황_20240630'!H654,""ko"",""en"")"),"Youth Rental 2nd Place")</f>
        <v>Youth Rental 2nd Place</v>
      </c>
      <c r="I654" s="1" t="str">
        <f ca="1">IFERROR(__xludf.DUMMYFUNCTION("GOOGLETRANSLATE('대전도시공사_청년임대주택 현황_20240630'!I654,""ko"",""en"")"),"2000000")</f>
        <v>2000000</v>
      </c>
      <c r="J654" s="1" t="str">
        <f ca="1">IFERROR(__xludf.DUMMYFUNCTION("GOOGLETRANSLATE('대전도시공사_청년임대주택 현황_20240630'!J654,""ko"",""en"")"),"263500")</f>
        <v>263500</v>
      </c>
    </row>
    <row r="655" spans="1:10" ht="12.5" x14ac:dyDescent="0.25">
      <c r="A655" s="1" t="str">
        <f ca="1">IFERROR(__xludf.DUMMYFUNCTION("GOOGLETRANSLATE('대전도시공사_청년임대주택 현황_20240630'!A655,""ko"",""en"")"),"540-8 Bongmyeong-dong (Haenarae 2, youth rental)")</f>
        <v>540-8 Bongmyeong-dong (Haenarae 2, youth rental)</v>
      </c>
      <c r="B655" s="1" t="str">
        <f ca="1">IFERROR(__xludf.DUMMYFUNCTION("GOOGLETRANSLATE('대전도시공사_청년임대주택 현황_20240630'!B655,""ko"",""en"")"),"195")</f>
        <v>195</v>
      </c>
      <c r="C655" s="1" t="str">
        <f ca="1">IFERROR(__xludf.DUMMYFUNCTION("GOOGLETRANSLATE('대전도시공사_청년임대주택 현황_20240630'!C655,""ko"",""en"")"),"1")</f>
        <v>1</v>
      </c>
      <c r="D655" s="1" t="str">
        <f ca="1">IFERROR(__xludf.DUMMYFUNCTION("GOOGLETRANSLATE('대전도시공사_청년임대주택 현황_20240630'!D655,""ko"",""en"")"),"1315")</f>
        <v>1315</v>
      </c>
      <c r="E655" s="1" t="str">
        <f ca="1">IFERROR(__xludf.DUMMYFUNCTION("GOOGLETRANSLATE('대전도시공사_청년임대주택 현황_20240630'!E655,""ko"",""en"")"),"46.296")</f>
        <v>46.296</v>
      </c>
      <c r="F655" s="1" t="str">
        <f ca="1">IFERROR(__xludf.DUMMYFUNCTION("GOOGLETRANSLATE('대전도시공사_청년임대주택 현황_20240630'!F655,""ko"",""en"")"),"18.459")</f>
        <v>18.459</v>
      </c>
      <c r="G655" s="1" t="str">
        <f ca="1">IFERROR(__xludf.DUMMYFUNCTION("GOOGLETRANSLATE('대전도시공사_청년임대주택 현황_20240630'!G655,""ko"",""en"")"),"27.837")</f>
        <v>27.837</v>
      </c>
      <c r="H655" s="1" t="str">
        <f ca="1">IFERROR(__xludf.DUMMYFUNCTION("GOOGLETRANSLATE('대전도시공사_청년임대주택 현황_20240630'!H655,""ko"",""en"")"),"3rd place for youth rental")</f>
        <v>3rd place for youth rental</v>
      </c>
      <c r="I655" s="1" t="str">
        <f ca="1">IFERROR(__xludf.DUMMYFUNCTION("GOOGLETRANSLATE('대전도시공사_청년임대주택 현황_20240630'!I655,""ko"",""en"")"),"2000000")</f>
        <v>2000000</v>
      </c>
      <c r="J655" s="1" t="str">
        <f ca="1">IFERROR(__xludf.DUMMYFUNCTION("GOOGLETRANSLATE('대전도시공사_청년임대주택 현황_20240630'!J655,""ko"",""en"")"),"263500")</f>
        <v>263500</v>
      </c>
    </row>
    <row r="656" spans="1:10" ht="12.5" x14ac:dyDescent="0.25">
      <c r="A656" s="1" t="str">
        <f ca="1">IFERROR(__xludf.DUMMYFUNCTION("GOOGLETRANSLATE('대전도시공사_청년임대주택 현황_20240630'!A656,""ko"",""en"")"),"540-8 Bongmyeong-dong (Haenarae 2, youth rental)")</f>
        <v>540-8 Bongmyeong-dong (Haenarae 2, youth rental)</v>
      </c>
      <c r="B656" s="1" t="str">
        <f ca="1">IFERROR(__xludf.DUMMYFUNCTION("GOOGLETRANSLATE('대전도시공사_청년임대주택 현황_20240630'!B656,""ko"",""en"")"),"196")</f>
        <v>196</v>
      </c>
      <c r="C656" s="1" t="str">
        <f ca="1">IFERROR(__xludf.DUMMYFUNCTION("GOOGLETRANSLATE('대전도시공사_청년임대주택 현황_20240630'!C656,""ko"",""en"")"),"1")</f>
        <v>1</v>
      </c>
      <c r="D656" s="1" t="str">
        <f ca="1">IFERROR(__xludf.DUMMYFUNCTION("GOOGLETRANSLATE('대전도시공사_청년임대주택 현황_20240630'!D656,""ko"",""en"")"),"1403")</f>
        <v>1403</v>
      </c>
      <c r="E656" s="1" t="str">
        <f ca="1">IFERROR(__xludf.DUMMYFUNCTION("GOOGLETRANSLATE('대전도시공사_청년임대주택 현황_20240630'!E656,""ko"",""en"")"),"58.798")</f>
        <v>58.798</v>
      </c>
      <c r="F656" s="1" t="str">
        <f ca="1">IFERROR(__xludf.DUMMYFUNCTION("GOOGLETRANSLATE('대전도시공사_청년임대주택 현황_20240630'!F656,""ko"",""en"")"),"24.279")</f>
        <v>24.279</v>
      </c>
      <c r="G656" s="1" t="str">
        <f ca="1">IFERROR(__xludf.DUMMYFUNCTION("GOOGLETRANSLATE('대전도시공사_청년임대주택 현황_20240630'!G656,""ko"",""en"")"),"34.519")</f>
        <v>34.519</v>
      </c>
      <c r="H656" s="1" t="str">
        <f ca="1">IFERROR(__xludf.DUMMYFUNCTION("GOOGLETRANSLATE('대전도시공사_청년임대주택 현황_20240630'!H656,""ko"",""en"")"),"Beneficiary")</f>
        <v>Beneficiary</v>
      </c>
      <c r="I656" s="1" t="str">
        <f ca="1">IFERROR(__xludf.DUMMYFUNCTION("GOOGLETRANSLATE('대전도시공사_청년임대주택 현황_20240630'!I656,""ko"",""en"")"),"1000000")</f>
        <v>1000000</v>
      </c>
      <c r="J656" s="1" t="str">
        <f ca="1">IFERROR(__xludf.DUMMYFUNCTION("GOOGLETRANSLATE('대전도시공사_청년임대주택 현황_20240630'!J656,""ko"",""en"")"),"220400")</f>
        <v>220400</v>
      </c>
    </row>
    <row r="657" spans="1:10" ht="12.5" x14ac:dyDescent="0.25">
      <c r="A657" s="1" t="str">
        <f ca="1">IFERROR(__xludf.DUMMYFUNCTION("GOOGLETRANSLATE('대전도시공사_청년임대주택 현황_20240630'!A657,""ko"",""en"")"),"540-8 Bongmyeong-dong (Haenarae 2, youth rental)")</f>
        <v>540-8 Bongmyeong-dong (Haenarae 2, youth rental)</v>
      </c>
      <c r="B657" s="1" t="str">
        <f ca="1">IFERROR(__xludf.DUMMYFUNCTION("GOOGLETRANSLATE('대전도시공사_청년임대주택 현황_20240630'!B657,""ko"",""en"")"),"197")</f>
        <v>197</v>
      </c>
      <c r="C657" s="1" t="str">
        <f ca="1">IFERROR(__xludf.DUMMYFUNCTION("GOOGLETRANSLATE('대전도시공사_청년임대주택 현황_20240630'!C657,""ko"",""en"")"),"1")</f>
        <v>1</v>
      </c>
      <c r="D657" s="1" t="str">
        <f ca="1">IFERROR(__xludf.DUMMYFUNCTION("GOOGLETRANSLATE('대전도시공사_청년임대주택 현황_20240630'!D657,""ko"",""en"")"),"1403")</f>
        <v>1403</v>
      </c>
      <c r="E657" s="1" t="str">
        <f ca="1">IFERROR(__xludf.DUMMYFUNCTION("GOOGLETRANSLATE('대전도시공사_청년임대주택 현황_20240630'!E657,""ko"",""en"")"),"58.798")</f>
        <v>58.798</v>
      </c>
      <c r="F657" s="1" t="str">
        <f ca="1">IFERROR(__xludf.DUMMYFUNCTION("GOOGLETRANSLATE('대전도시공사_청년임대주택 현황_20240630'!F657,""ko"",""en"")"),"24.279")</f>
        <v>24.279</v>
      </c>
      <c r="G657" s="1" t="str">
        <f ca="1">IFERROR(__xludf.DUMMYFUNCTION("GOOGLETRANSLATE('대전도시공사_청년임대주택 현황_20240630'!G657,""ko"",""en"")"),"34.519")</f>
        <v>34.519</v>
      </c>
      <c r="H657" s="1" t="str">
        <f ca="1">IFERROR(__xludf.DUMMYFUNCTION("GOOGLETRANSLATE('대전도시공사_청년임대주택 현황_20240630'!H657,""ko"",""en"")"),"Youth Rental 2nd Place")</f>
        <v>Youth Rental 2nd Place</v>
      </c>
      <c r="I657" s="1" t="str">
        <f ca="1">IFERROR(__xludf.DUMMYFUNCTION("GOOGLETRANSLATE('대전도시공사_청년임대주택 현황_20240630'!I657,""ko"",""en"")"),"2000000")</f>
        <v>2000000</v>
      </c>
      <c r="J657" s="1" t="str">
        <f ca="1">IFERROR(__xludf.DUMMYFUNCTION("GOOGLETRANSLATE('대전도시공사_청년임대주택 현황_20240630'!J657,""ko"",""en"")"),"271400")</f>
        <v>271400</v>
      </c>
    </row>
    <row r="658" spans="1:10" ht="12.5" x14ac:dyDescent="0.25">
      <c r="A658" s="1" t="str">
        <f ca="1">IFERROR(__xludf.DUMMYFUNCTION("GOOGLETRANSLATE('대전도시공사_청년임대주택 현황_20240630'!A658,""ko"",""en"")"),"540-8 Bongmyeong-dong (Haenarae 2, youth rental)")</f>
        <v>540-8 Bongmyeong-dong (Haenarae 2, youth rental)</v>
      </c>
      <c r="B658" s="1" t="str">
        <f ca="1">IFERROR(__xludf.DUMMYFUNCTION("GOOGLETRANSLATE('대전도시공사_청년임대주택 현황_20240630'!B658,""ko"",""en"")"),"198")</f>
        <v>198</v>
      </c>
      <c r="C658" s="1" t="str">
        <f ca="1">IFERROR(__xludf.DUMMYFUNCTION("GOOGLETRANSLATE('대전도시공사_청년임대주택 현황_20240630'!C658,""ko"",""en"")"),"1")</f>
        <v>1</v>
      </c>
      <c r="D658" s="1" t="str">
        <f ca="1">IFERROR(__xludf.DUMMYFUNCTION("GOOGLETRANSLATE('대전도시공사_청년임대주택 현황_20240630'!D658,""ko"",""en"")"),"1403")</f>
        <v>1403</v>
      </c>
      <c r="E658" s="1" t="str">
        <f ca="1">IFERROR(__xludf.DUMMYFUNCTION("GOOGLETRANSLATE('대전도시공사_청년임대주택 현황_20240630'!E658,""ko"",""en"")"),"58.798")</f>
        <v>58.798</v>
      </c>
      <c r="F658" s="1" t="str">
        <f ca="1">IFERROR(__xludf.DUMMYFUNCTION("GOOGLETRANSLATE('대전도시공사_청년임대주택 현황_20240630'!F658,""ko"",""en"")"),"24.279")</f>
        <v>24.279</v>
      </c>
      <c r="G658" s="1" t="str">
        <f ca="1">IFERROR(__xludf.DUMMYFUNCTION("GOOGLETRANSLATE('대전도시공사_청년임대주택 현황_20240630'!G658,""ko"",""en"")"),"34.519")</f>
        <v>34.519</v>
      </c>
      <c r="H658" s="1" t="str">
        <f ca="1">IFERROR(__xludf.DUMMYFUNCTION("GOOGLETRANSLATE('대전도시공사_청년임대주택 현황_20240630'!H658,""ko"",""en"")"),"3rd place for youth rental")</f>
        <v>3rd place for youth rental</v>
      </c>
      <c r="I658" s="1" t="str">
        <f ca="1">IFERROR(__xludf.DUMMYFUNCTION("GOOGLETRANSLATE('대전도시공사_청년임대주택 현황_20240630'!I658,""ko"",""en"")"),"2000000")</f>
        <v>2000000</v>
      </c>
      <c r="J658" s="1" t="str">
        <f ca="1">IFERROR(__xludf.DUMMYFUNCTION("GOOGLETRANSLATE('대전도시공사_청년임대주택 현황_20240630'!J658,""ko"",""en"")"),"271400")</f>
        <v>271400</v>
      </c>
    </row>
    <row r="659" spans="1:10" ht="12.5" x14ac:dyDescent="0.25">
      <c r="A659" s="1" t="str">
        <f ca="1">IFERROR(__xludf.DUMMYFUNCTION("GOOGLETRANSLATE('대전도시공사_청년임대주택 현황_20240630'!A659,""ko"",""en"")"),"540-8 Bongmyeong-dong (Haenarae 2, youth rental)")</f>
        <v>540-8 Bongmyeong-dong (Haenarae 2, youth rental)</v>
      </c>
      <c r="B659" s="1" t="str">
        <f ca="1">IFERROR(__xludf.DUMMYFUNCTION("GOOGLETRANSLATE('대전도시공사_청년임대주택 현황_20240630'!B659,""ko"",""en"")"),"208")</f>
        <v>208</v>
      </c>
      <c r="C659" s="1" t="str">
        <f ca="1">IFERROR(__xludf.DUMMYFUNCTION("GOOGLETRANSLATE('대전도시공사_청년임대주택 현황_20240630'!C659,""ko"",""en"")"),"1")</f>
        <v>1</v>
      </c>
      <c r="D659" s="1" t="str">
        <f ca="1">IFERROR(__xludf.DUMMYFUNCTION("GOOGLETRANSLATE('대전도시공사_청년임대주택 현황_20240630'!D659,""ko"",""en"")"),"1408")</f>
        <v>1408</v>
      </c>
      <c r="E659" s="1" t="str">
        <f ca="1">IFERROR(__xludf.DUMMYFUNCTION("GOOGLETRANSLATE('대전도시공사_청년임대주택 현황_20240630'!E659,""ko"",""en"")"),"58.14")</f>
        <v>58.14</v>
      </c>
      <c r="F659" s="1" t="str">
        <f ca="1">IFERROR(__xludf.DUMMYFUNCTION("GOOGLETRANSLATE('대전도시공사_청년임대주택 현황_20240630'!F659,""ko"",""en"")"),"23.78")</f>
        <v>23.78</v>
      </c>
      <c r="G659" s="1" t="str">
        <f ca="1">IFERROR(__xludf.DUMMYFUNCTION("GOOGLETRANSLATE('대전도시공사_청년임대주택 현황_20240630'!G659,""ko"",""en"")"),"34.36")</f>
        <v>34.36</v>
      </c>
      <c r="H659" s="1" t="str">
        <f ca="1">IFERROR(__xludf.DUMMYFUNCTION("GOOGLETRANSLATE('대전도시공사_청년임대주택 현황_20240630'!H659,""ko"",""en"")"),"Beneficiary")</f>
        <v>Beneficiary</v>
      </c>
      <c r="I659" s="1" t="str">
        <f ca="1">IFERROR(__xludf.DUMMYFUNCTION("GOOGLETRANSLATE('대전도시공사_청년임대주택 현황_20240630'!I659,""ko"",""en"")"),"1000000")</f>
        <v>1000000</v>
      </c>
      <c r="J659" s="1" t="str">
        <f ca="1">IFERROR(__xludf.DUMMYFUNCTION("GOOGLETRANSLATE('대전도시공사_청년임대주택 현황_20240630'!J659,""ko"",""en"")"),"217800")</f>
        <v>217800</v>
      </c>
    </row>
    <row r="660" spans="1:10" ht="12.5" x14ac:dyDescent="0.25">
      <c r="A660" s="1" t="str">
        <f ca="1">IFERROR(__xludf.DUMMYFUNCTION("GOOGLETRANSLATE('대전도시공사_청년임대주택 현황_20240630'!A660,""ko"",""en"")"),"540-8 Bongmyeong-dong (Haenarae 2, youth rental)")</f>
        <v>540-8 Bongmyeong-dong (Haenarae 2, youth rental)</v>
      </c>
      <c r="B660" s="1" t="str">
        <f ca="1">IFERROR(__xludf.DUMMYFUNCTION("GOOGLETRANSLATE('대전도시공사_청년임대주택 현황_20240630'!B660,""ko"",""en"")"),"209")</f>
        <v>209</v>
      </c>
      <c r="C660" s="1" t="str">
        <f ca="1">IFERROR(__xludf.DUMMYFUNCTION("GOOGLETRANSLATE('대전도시공사_청년임대주택 현황_20240630'!C660,""ko"",""en"")"),"1")</f>
        <v>1</v>
      </c>
      <c r="D660" s="1" t="str">
        <f ca="1">IFERROR(__xludf.DUMMYFUNCTION("GOOGLETRANSLATE('대전도시공사_청년임대주택 현황_20240630'!D660,""ko"",""en"")"),"1408")</f>
        <v>1408</v>
      </c>
      <c r="E660" s="1" t="str">
        <f ca="1">IFERROR(__xludf.DUMMYFUNCTION("GOOGLETRANSLATE('대전도시공사_청년임대주택 현황_20240630'!E660,""ko"",""en"")"),"58.14")</f>
        <v>58.14</v>
      </c>
      <c r="F660" s="1" t="str">
        <f ca="1">IFERROR(__xludf.DUMMYFUNCTION("GOOGLETRANSLATE('대전도시공사_청년임대주택 현황_20240630'!F660,""ko"",""en"")"),"23.78")</f>
        <v>23.78</v>
      </c>
      <c r="G660" s="1" t="str">
        <f ca="1">IFERROR(__xludf.DUMMYFUNCTION("GOOGLETRANSLATE('대전도시공사_청년임대주택 현황_20240630'!G660,""ko"",""en"")"),"34.36")</f>
        <v>34.36</v>
      </c>
      <c r="H660" s="1" t="str">
        <f ca="1">IFERROR(__xludf.DUMMYFUNCTION("GOOGLETRANSLATE('대전도시공사_청년임대주택 현황_20240630'!H660,""ko"",""en"")"),"Youth Rental 2nd Place")</f>
        <v>Youth Rental 2nd Place</v>
      </c>
      <c r="I660" s="1" t="str">
        <f ca="1">IFERROR(__xludf.DUMMYFUNCTION("GOOGLETRANSLATE('대전도시공사_청년임대주택 현황_20240630'!I660,""ko"",""en"")"),"2000000")</f>
        <v>2000000</v>
      </c>
      <c r="J660" s="1" t="str">
        <f ca="1">IFERROR(__xludf.DUMMYFUNCTION("GOOGLETRANSLATE('대전도시공사_청년임대주택 현황_20240630'!J660,""ko"",""en"")"),"268100")</f>
        <v>268100</v>
      </c>
    </row>
    <row r="661" spans="1:10" ht="12.5" x14ac:dyDescent="0.25">
      <c r="A661" s="1" t="str">
        <f ca="1">IFERROR(__xludf.DUMMYFUNCTION("GOOGLETRANSLATE('대전도시공사_청년임대주택 현황_20240630'!A661,""ko"",""en"")"),"540-8 Bongmyeong-dong (Haenarae 2, youth rental)")</f>
        <v>540-8 Bongmyeong-dong (Haenarae 2, youth rental)</v>
      </c>
      <c r="B661" s="1" t="str">
        <f ca="1">IFERROR(__xludf.DUMMYFUNCTION("GOOGLETRANSLATE('대전도시공사_청년임대주택 현황_20240630'!B661,""ko"",""en"")"),"210")</f>
        <v>210</v>
      </c>
      <c r="C661" s="1" t="str">
        <f ca="1">IFERROR(__xludf.DUMMYFUNCTION("GOOGLETRANSLATE('대전도시공사_청년임대주택 현황_20240630'!C661,""ko"",""en"")"),"1")</f>
        <v>1</v>
      </c>
      <c r="D661" s="1" t="str">
        <f ca="1">IFERROR(__xludf.DUMMYFUNCTION("GOOGLETRANSLATE('대전도시공사_청년임대주택 현황_20240630'!D661,""ko"",""en"")"),"1408")</f>
        <v>1408</v>
      </c>
      <c r="E661" s="1" t="str">
        <f ca="1">IFERROR(__xludf.DUMMYFUNCTION("GOOGLETRANSLATE('대전도시공사_청년임대주택 현황_20240630'!E661,""ko"",""en"")"),"58.14")</f>
        <v>58.14</v>
      </c>
      <c r="F661" s="1" t="str">
        <f ca="1">IFERROR(__xludf.DUMMYFUNCTION("GOOGLETRANSLATE('대전도시공사_청년임대주택 현황_20240630'!F661,""ko"",""en"")"),"23.78")</f>
        <v>23.78</v>
      </c>
      <c r="G661" s="1" t="str">
        <f ca="1">IFERROR(__xludf.DUMMYFUNCTION("GOOGLETRANSLATE('대전도시공사_청년임대주택 현황_20240630'!G661,""ko"",""en"")"),"34.36")</f>
        <v>34.36</v>
      </c>
      <c r="H661" s="1" t="str">
        <f ca="1">IFERROR(__xludf.DUMMYFUNCTION("GOOGLETRANSLATE('대전도시공사_청년임대주택 현황_20240630'!H661,""ko"",""en"")"),"3rd place for youth rental")</f>
        <v>3rd place for youth rental</v>
      </c>
      <c r="I661" s="1" t="str">
        <f ca="1">IFERROR(__xludf.DUMMYFUNCTION("GOOGLETRANSLATE('대전도시공사_청년임대주택 현황_20240630'!I661,""ko"",""en"")"),"2000000")</f>
        <v>2000000</v>
      </c>
      <c r="J661" s="1" t="str">
        <f ca="1">IFERROR(__xludf.DUMMYFUNCTION("GOOGLETRANSLATE('대전도시공사_청년임대주택 현황_20240630'!J661,""ko"",""en"")"),"268100")</f>
        <v>268100</v>
      </c>
    </row>
    <row r="662" spans="1:10" ht="12.5" x14ac:dyDescent="0.25">
      <c r="A662" s="1" t="str">
        <f ca="1">IFERROR(__xludf.DUMMYFUNCTION("GOOGLETRANSLATE('대전도시공사_청년임대주택 현황_20240630'!A662,""ko"",""en"")"),"540-8 Bongmyeong-dong (Haenarae 2, youth rental)")</f>
        <v>540-8 Bongmyeong-dong (Haenarae 2, youth rental)</v>
      </c>
      <c r="B662" s="1" t="str">
        <f ca="1">IFERROR(__xludf.DUMMYFUNCTION("GOOGLETRANSLATE('대전도시공사_청년임대주택 현황_20240630'!B662,""ko"",""en"")"),"211")</f>
        <v>211</v>
      </c>
      <c r="C662" s="1" t="str">
        <f ca="1">IFERROR(__xludf.DUMMYFUNCTION("GOOGLETRANSLATE('대전도시공사_청년임대주택 현황_20240630'!C662,""ko"",""en"")"),"1")</f>
        <v>1</v>
      </c>
      <c r="D662" s="1" t="str">
        <f ca="1">IFERROR(__xludf.DUMMYFUNCTION("GOOGLETRANSLATE('대전도시공사_청년임대주택 현황_20240630'!D662,""ko"",""en"")"),"1415")</f>
        <v>1415</v>
      </c>
      <c r="E662" s="1" t="str">
        <f ca="1">IFERROR(__xludf.DUMMYFUNCTION("GOOGLETRANSLATE('대전도시공사_청년임대주택 현황_20240630'!E662,""ko"",""en"")"),"46.296")</f>
        <v>46.296</v>
      </c>
      <c r="F662" s="1" t="str">
        <f ca="1">IFERROR(__xludf.DUMMYFUNCTION("GOOGLETRANSLATE('대전도시공사_청년임대주택 현황_20240630'!F662,""ko"",""en"")"),"18.459")</f>
        <v>18.459</v>
      </c>
      <c r="G662" s="1" t="str">
        <f ca="1">IFERROR(__xludf.DUMMYFUNCTION("GOOGLETRANSLATE('대전도시공사_청년임대주택 현황_20240630'!G662,""ko"",""en"")"),"27.837")</f>
        <v>27.837</v>
      </c>
      <c r="H662" s="1" t="str">
        <f ca="1">IFERROR(__xludf.DUMMYFUNCTION("GOOGLETRANSLATE('대전도시공사_청년임대주택 현황_20240630'!H662,""ko"",""en"")"),"Beneficiary")</f>
        <v>Beneficiary</v>
      </c>
      <c r="I662" s="1" t="str">
        <f ca="1">IFERROR(__xludf.DUMMYFUNCTION("GOOGLETRANSLATE('대전도시공사_청년임대주택 현황_20240630'!I662,""ko"",""en"")"),"1000000")</f>
        <v>1000000</v>
      </c>
      <c r="J662" s="1" t="str">
        <f ca="1">IFERROR(__xludf.DUMMYFUNCTION("GOOGLETRANSLATE('대전도시공사_청년임대주택 현황_20240630'!J662,""ko"",""en"")"),"214100")</f>
        <v>214100</v>
      </c>
    </row>
    <row r="663" spans="1:10" ht="12.5" x14ac:dyDescent="0.25">
      <c r="A663" s="1" t="str">
        <f ca="1">IFERROR(__xludf.DUMMYFUNCTION("GOOGLETRANSLATE('대전도시공사_청년임대주택 현황_20240630'!A663,""ko"",""en"")"),"540-8 Bongmyeong-dong (Haenarae 2, youth rental)")</f>
        <v>540-8 Bongmyeong-dong (Haenarae 2, youth rental)</v>
      </c>
      <c r="B663" s="1" t="str">
        <f ca="1">IFERROR(__xludf.DUMMYFUNCTION("GOOGLETRANSLATE('대전도시공사_청년임대주택 현황_20240630'!B663,""ko"",""en"")"),"212")</f>
        <v>212</v>
      </c>
      <c r="C663" s="1" t="str">
        <f ca="1">IFERROR(__xludf.DUMMYFUNCTION("GOOGLETRANSLATE('대전도시공사_청년임대주택 현황_20240630'!C663,""ko"",""en"")"),"1")</f>
        <v>1</v>
      </c>
      <c r="D663" s="1" t="str">
        <f ca="1">IFERROR(__xludf.DUMMYFUNCTION("GOOGLETRANSLATE('대전도시공사_청년임대주택 현황_20240630'!D663,""ko"",""en"")"),"1415")</f>
        <v>1415</v>
      </c>
      <c r="E663" s="1" t="str">
        <f ca="1">IFERROR(__xludf.DUMMYFUNCTION("GOOGLETRANSLATE('대전도시공사_청년임대주택 현황_20240630'!E663,""ko"",""en"")"),"46.296")</f>
        <v>46.296</v>
      </c>
      <c r="F663" s="1" t="str">
        <f ca="1">IFERROR(__xludf.DUMMYFUNCTION("GOOGLETRANSLATE('대전도시공사_청년임대주택 현황_20240630'!F663,""ko"",""en"")"),"18.459")</f>
        <v>18.459</v>
      </c>
      <c r="G663" s="1" t="str">
        <f ca="1">IFERROR(__xludf.DUMMYFUNCTION("GOOGLETRANSLATE('대전도시공사_청년임대주택 현황_20240630'!G663,""ko"",""en"")"),"27.837")</f>
        <v>27.837</v>
      </c>
      <c r="H663" s="1" t="str">
        <f ca="1">IFERROR(__xludf.DUMMYFUNCTION("GOOGLETRANSLATE('대전도시공사_청년임대주택 현황_20240630'!H663,""ko"",""en"")"),"Youth Rental 2nd Place")</f>
        <v>Youth Rental 2nd Place</v>
      </c>
      <c r="I663" s="1" t="str">
        <f ca="1">IFERROR(__xludf.DUMMYFUNCTION("GOOGLETRANSLATE('대전도시공사_청년임대주택 현황_20240630'!I663,""ko"",""en"")"),"2000000")</f>
        <v>2000000</v>
      </c>
      <c r="J663" s="1" t="str">
        <f ca="1">IFERROR(__xludf.DUMMYFUNCTION("GOOGLETRANSLATE('대전도시공사_청년임대주택 현황_20240630'!J663,""ko"",""en"")"),"263500")</f>
        <v>263500</v>
      </c>
    </row>
    <row r="664" spans="1:10" ht="12.5" x14ac:dyDescent="0.25">
      <c r="A664" s="1" t="str">
        <f ca="1">IFERROR(__xludf.DUMMYFUNCTION("GOOGLETRANSLATE('대전도시공사_청년임대주택 현황_20240630'!A664,""ko"",""en"")"),"540-8 Bongmyeong-dong (Haenarae 2, youth rental)")</f>
        <v>540-8 Bongmyeong-dong (Haenarae 2, youth rental)</v>
      </c>
      <c r="B664" s="1" t="str">
        <f ca="1">IFERROR(__xludf.DUMMYFUNCTION("GOOGLETRANSLATE('대전도시공사_청년임대주택 현황_20240630'!B664,""ko"",""en"")"),"213")</f>
        <v>213</v>
      </c>
      <c r="C664" s="1" t="str">
        <f ca="1">IFERROR(__xludf.DUMMYFUNCTION("GOOGLETRANSLATE('대전도시공사_청년임대주택 현황_20240630'!C664,""ko"",""en"")"),"1")</f>
        <v>1</v>
      </c>
      <c r="D664" s="1" t="str">
        <f ca="1">IFERROR(__xludf.DUMMYFUNCTION("GOOGLETRANSLATE('대전도시공사_청년임대주택 현황_20240630'!D664,""ko"",""en"")"),"1415")</f>
        <v>1415</v>
      </c>
      <c r="E664" s="1" t="str">
        <f ca="1">IFERROR(__xludf.DUMMYFUNCTION("GOOGLETRANSLATE('대전도시공사_청년임대주택 현황_20240630'!E664,""ko"",""en"")"),"46.296")</f>
        <v>46.296</v>
      </c>
      <c r="F664" s="1" t="str">
        <f ca="1">IFERROR(__xludf.DUMMYFUNCTION("GOOGLETRANSLATE('대전도시공사_청년임대주택 현황_20240630'!F664,""ko"",""en"")"),"18.459")</f>
        <v>18.459</v>
      </c>
      <c r="G664" s="1" t="str">
        <f ca="1">IFERROR(__xludf.DUMMYFUNCTION("GOOGLETRANSLATE('대전도시공사_청년임대주택 현황_20240630'!G664,""ko"",""en"")"),"27.837")</f>
        <v>27.837</v>
      </c>
      <c r="H664" s="1" t="str">
        <f ca="1">IFERROR(__xludf.DUMMYFUNCTION("GOOGLETRANSLATE('대전도시공사_청년임대주택 현황_20240630'!H664,""ko"",""en"")"),"3rd place for youth rental")</f>
        <v>3rd place for youth rental</v>
      </c>
      <c r="I664" s="1" t="str">
        <f ca="1">IFERROR(__xludf.DUMMYFUNCTION("GOOGLETRANSLATE('대전도시공사_청년임대주택 현황_20240630'!I664,""ko"",""en"")"),"2000000")</f>
        <v>2000000</v>
      </c>
      <c r="J664" s="1" t="str">
        <f ca="1">IFERROR(__xludf.DUMMYFUNCTION("GOOGLETRANSLATE('대전도시공사_청년임대주택 현황_20240630'!J664,""ko"",""en"")"),"263500")</f>
        <v>263500</v>
      </c>
    </row>
    <row r="665" spans="1:10" ht="12.5" x14ac:dyDescent="0.25">
      <c r="A665" s="1" t="str">
        <f ca="1">IFERROR(__xludf.DUMMYFUNCTION("GOOGLETRANSLATE('대전도시공사_청년임대주택 현황_20240630'!A665,""ko"",""en"")"),"540-8 Bongmyeong-dong (Haenarae 2, youth rental)")</f>
        <v>540-8 Bongmyeong-dong (Haenarae 2, youth rental)</v>
      </c>
      <c r="B665" s="1" t="str">
        <f ca="1">IFERROR(__xludf.DUMMYFUNCTION("GOOGLETRANSLATE('대전도시공사_청년임대주택 현황_20240630'!B665,""ko"",""en"")"),"214")</f>
        <v>214</v>
      </c>
      <c r="C665" s="1" t="str">
        <f ca="1">IFERROR(__xludf.DUMMYFUNCTION("GOOGLETRANSLATE('대전도시공사_청년임대주택 현황_20240630'!C665,""ko"",""en"")"),"1")</f>
        <v>1</v>
      </c>
      <c r="D665" s="1" t="str">
        <f ca="1">IFERROR(__xludf.DUMMYFUNCTION("GOOGLETRANSLATE('대전도시공사_청년임대주택 현황_20240630'!D665,""ko"",""en"")"),"1505")</f>
        <v>1505</v>
      </c>
      <c r="E665" s="1" t="str">
        <f ca="1">IFERROR(__xludf.DUMMYFUNCTION("GOOGLETRANSLATE('대전도시공사_청년임대주택 현황_20240630'!E665,""ko"",""en"")"),"58.14")</f>
        <v>58.14</v>
      </c>
      <c r="F665" s="1" t="str">
        <f ca="1">IFERROR(__xludf.DUMMYFUNCTION("GOOGLETRANSLATE('대전도시공사_청년임대주택 현황_20240630'!F665,""ko"",""en"")"),"23.78")</f>
        <v>23.78</v>
      </c>
      <c r="G665" s="1" t="str">
        <f ca="1">IFERROR(__xludf.DUMMYFUNCTION("GOOGLETRANSLATE('대전도시공사_청년임대주택 현황_20240630'!G665,""ko"",""en"")"),"34.36")</f>
        <v>34.36</v>
      </c>
      <c r="H665" s="1" t="str">
        <f ca="1">IFERROR(__xludf.DUMMYFUNCTION("GOOGLETRANSLATE('대전도시공사_청년임대주택 현황_20240630'!H665,""ko"",""en"")"),"Beneficiary")</f>
        <v>Beneficiary</v>
      </c>
      <c r="I665" s="1" t="str">
        <f ca="1">IFERROR(__xludf.DUMMYFUNCTION("GOOGLETRANSLATE('대전도시공사_청년임대주택 현황_20240630'!I665,""ko"",""en"")"),"1000000")</f>
        <v>1000000</v>
      </c>
      <c r="J665" s="1" t="str">
        <f ca="1">IFERROR(__xludf.DUMMYFUNCTION("GOOGLETRANSLATE('대전도시공사_청년임대주택 현황_20240630'!J665,""ko"",""en"")"),"217800")</f>
        <v>217800</v>
      </c>
    </row>
    <row r="666" spans="1:10" ht="12.5" x14ac:dyDescent="0.25">
      <c r="A666" s="1" t="str">
        <f ca="1">IFERROR(__xludf.DUMMYFUNCTION("GOOGLETRANSLATE('대전도시공사_청년임대주택 현황_20240630'!A666,""ko"",""en"")"),"540-8 Bongmyeong-dong (Haenarae 2, youth rental)")</f>
        <v>540-8 Bongmyeong-dong (Haenarae 2, youth rental)</v>
      </c>
      <c r="B666" s="1" t="str">
        <f ca="1">IFERROR(__xludf.DUMMYFUNCTION("GOOGLETRANSLATE('대전도시공사_청년임대주택 현황_20240630'!B666,""ko"",""en"")"),"215")</f>
        <v>215</v>
      </c>
      <c r="C666" s="1" t="str">
        <f ca="1">IFERROR(__xludf.DUMMYFUNCTION("GOOGLETRANSLATE('대전도시공사_청년임대주택 현황_20240630'!C666,""ko"",""en"")"),"1")</f>
        <v>1</v>
      </c>
      <c r="D666" s="1" t="str">
        <f ca="1">IFERROR(__xludf.DUMMYFUNCTION("GOOGLETRANSLATE('대전도시공사_청년임대주택 현황_20240630'!D666,""ko"",""en"")"),"1505")</f>
        <v>1505</v>
      </c>
      <c r="E666" s="1" t="str">
        <f ca="1">IFERROR(__xludf.DUMMYFUNCTION("GOOGLETRANSLATE('대전도시공사_청년임대주택 현황_20240630'!E666,""ko"",""en"")"),"58.14")</f>
        <v>58.14</v>
      </c>
      <c r="F666" s="1" t="str">
        <f ca="1">IFERROR(__xludf.DUMMYFUNCTION("GOOGLETRANSLATE('대전도시공사_청년임대주택 현황_20240630'!F666,""ko"",""en"")"),"23.78")</f>
        <v>23.78</v>
      </c>
      <c r="G666" s="1" t="str">
        <f ca="1">IFERROR(__xludf.DUMMYFUNCTION("GOOGLETRANSLATE('대전도시공사_청년임대주택 현황_20240630'!G666,""ko"",""en"")"),"34.36")</f>
        <v>34.36</v>
      </c>
      <c r="H666" s="1" t="str">
        <f ca="1">IFERROR(__xludf.DUMMYFUNCTION("GOOGLETRANSLATE('대전도시공사_청년임대주택 현황_20240630'!H666,""ko"",""en"")"),"Youth Rental 2nd Place")</f>
        <v>Youth Rental 2nd Place</v>
      </c>
      <c r="I666" s="1" t="str">
        <f ca="1">IFERROR(__xludf.DUMMYFUNCTION("GOOGLETRANSLATE('대전도시공사_청년임대주택 현황_20240630'!I666,""ko"",""en"")"),"2000000")</f>
        <v>2000000</v>
      </c>
      <c r="J666" s="1" t="str">
        <f ca="1">IFERROR(__xludf.DUMMYFUNCTION("GOOGLETRANSLATE('대전도시공사_청년임대주택 현황_20240630'!J666,""ko"",""en"")"),"268100")</f>
        <v>268100</v>
      </c>
    </row>
    <row r="667" spans="1:10" ht="12.5" x14ac:dyDescent="0.25">
      <c r="A667" s="1" t="str">
        <f ca="1">IFERROR(__xludf.DUMMYFUNCTION("GOOGLETRANSLATE('대전도시공사_청년임대주택 현황_20240630'!A667,""ko"",""en"")"),"540-8 Bongmyeong-dong (Haenarae 2, youth rental)")</f>
        <v>540-8 Bongmyeong-dong (Haenarae 2, youth rental)</v>
      </c>
      <c r="B667" s="1" t="str">
        <f ca="1">IFERROR(__xludf.DUMMYFUNCTION("GOOGLETRANSLATE('대전도시공사_청년임대주택 현황_20240630'!B667,""ko"",""en"")"),"216")</f>
        <v>216</v>
      </c>
      <c r="C667" s="1" t="str">
        <f ca="1">IFERROR(__xludf.DUMMYFUNCTION("GOOGLETRANSLATE('대전도시공사_청년임대주택 현황_20240630'!C667,""ko"",""en"")"),"1")</f>
        <v>1</v>
      </c>
      <c r="D667" s="1" t="str">
        <f ca="1">IFERROR(__xludf.DUMMYFUNCTION("GOOGLETRANSLATE('대전도시공사_청년임대주택 현황_20240630'!D667,""ko"",""en"")"),"1505")</f>
        <v>1505</v>
      </c>
      <c r="E667" s="1" t="str">
        <f ca="1">IFERROR(__xludf.DUMMYFUNCTION("GOOGLETRANSLATE('대전도시공사_청년임대주택 현황_20240630'!E667,""ko"",""en"")"),"58.14")</f>
        <v>58.14</v>
      </c>
      <c r="F667" s="1" t="str">
        <f ca="1">IFERROR(__xludf.DUMMYFUNCTION("GOOGLETRANSLATE('대전도시공사_청년임대주택 현황_20240630'!F667,""ko"",""en"")"),"23.78")</f>
        <v>23.78</v>
      </c>
      <c r="G667" s="1" t="str">
        <f ca="1">IFERROR(__xludf.DUMMYFUNCTION("GOOGLETRANSLATE('대전도시공사_청년임대주택 현황_20240630'!G667,""ko"",""en"")"),"34.36")</f>
        <v>34.36</v>
      </c>
      <c r="H667" s="1" t="str">
        <f ca="1">IFERROR(__xludf.DUMMYFUNCTION("GOOGLETRANSLATE('대전도시공사_청년임대주택 현황_20240630'!H667,""ko"",""en"")"),"3rd place for youth rental")</f>
        <v>3rd place for youth rental</v>
      </c>
      <c r="I667" s="1" t="str">
        <f ca="1">IFERROR(__xludf.DUMMYFUNCTION("GOOGLETRANSLATE('대전도시공사_청년임대주택 현황_20240630'!I667,""ko"",""en"")"),"2000000")</f>
        <v>2000000</v>
      </c>
      <c r="J667" s="1" t="str">
        <f ca="1">IFERROR(__xludf.DUMMYFUNCTION("GOOGLETRANSLATE('대전도시공사_청년임대주택 현황_20240630'!J667,""ko"",""en"")"),"268100")</f>
        <v>268100</v>
      </c>
    </row>
    <row r="668" spans="1:10" ht="12.5" x14ac:dyDescent="0.25">
      <c r="A668" s="1" t="str">
        <f ca="1">IFERROR(__xludf.DUMMYFUNCTION("GOOGLETRANSLATE('대전도시공사_청년임대주택 현황_20240630'!A668,""ko"",""en"")"),"Goejeong-dong 3-18 (Samyoung Building, youth rental)")</f>
        <v>Goejeong-dong 3-18 (Samyoung Building, youth rental)</v>
      </c>
      <c r="B668" s="1" t="str">
        <f ca="1">IFERROR(__xludf.DUMMYFUNCTION("GOOGLETRANSLATE('대전도시공사_청년임대주택 현황_20240630'!B668,""ko"",""en"")"),"1")</f>
        <v>1</v>
      </c>
      <c r="C668" s="1" t="str">
        <f ca="1">IFERROR(__xludf.DUMMYFUNCTION("GOOGLETRANSLATE('대전도시공사_청년임대주택 현황_20240630'!C668,""ko"",""en"")"),"1")</f>
        <v>1</v>
      </c>
      <c r="D668" s="1" t="str">
        <f ca="1">IFERROR(__xludf.DUMMYFUNCTION("GOOGLETRANSLATE('대전도시공사_청년임대주택 현황_20240630'!D668,""ko"",""en"")"),"701")</f>
        <v>701</v>
      </c>
      <c r="E668" s="1" t="str">
        <f ca="1">IFERROR(__xludf.DUMMYFUNCTION("GOOGLETRANSLATE('대전도시공사_청년임대주택 현황_20240630'!E668,""ko"",""en"")"),"97.512")</f>
        <v>97.512</v>
      </c>
      <c r="F668" s="1" t="str">
        <f ca="1">IFERROR(__xludf.DUMMYFUNCTION("GOOGLETRANSLATE('대전도시공사_청년임대주택 현황_20240630'!F668,""ko"",""en"")"),"33.695")</f>
        <v>33.695</v>
      </c>
      <c r="G668" s="1" t="str">
        <f ca="1">IFERROR(__xludf.DUMMYFUNCTION("GOOGLETRANSLATE('대전도시공사_청년임대주택 현황_20240630'!G668,""ko"",""en"")"),"63.816")</f>
        <v>63.816</v>
      </c>
      <c r="H668" s="1" t="str">
        <f ca="1">IFERROR(__xludf.DUMMYFUNCTION("GOOGLETRANSLATE('대전도시공사_청년임대주택 현황_20240630'!H668,""ko"",""en"")"),"Youth Rent 1st Place")</f>
        <v>Youth Rent 1st Place</v>
      </c>
      <c r="I668" s="1" t="str">
        <f ca="1">IFERROR(__xludf.DUMMYFUNCTION("GOOGLETRANSLATE('대전도시공사_청년임대주택 현황_20240630'!I668,""ko"",""en"")"),"1000000")</f>
        <v>1000000</v>
      </c>
      <c r="J668" s="1" t="str">
        <f ca="1">IFERROR(__xludf.DUMMYFUNCTION("GOOGLETRANSLATE('대전도시공사_청년임대주택 현황_20240630'!J668,""ko"",""en"")"),"342000")</f>
        <v>342000</v>
      </c>
    </row>
    <row r="669" spans="1:10" ht="12.5" x14ac:dyDescent="0.25">
      <c r="A669" s="1" t="str">
        <f ca="1">IFERROR(__xludf.DUMMYFUNCTION("GOOGLETRANSLATE('대전도시공사_청년임대주택 현황_20240630'!A669,""ko"",""en"")"),"Goejeong-dong 3-18 (Samyoung Building, youth rental)")</f>
        <v>Goejeong-dong 3-18 (Samyoung Building, youth rental)</v>
      </c>
      <c r="B669" s="1" t="str">
        <f ca="1">IFERROR(__xludf.DUMMYFUNCTION("GOOGLETRANSLATE('대전도시공사_청년임대주택 현황_20240630'!B669,""ko"",""en"")"),"2")</f>
        <v>2</v>
      </c>
      <c r="C669" s="1" t="str">
        <f ca="1">IFERROR(__xludf.DUMMYFUNCTION("GOOGLETRANSLATE('대전도시공사_청년임대주택 현황_20240630'!C669,""ko"",""en"")"),"1")</f>
        <v>1</v>
      </c>
      <c r="D669" s="1" t="str">
        <f ca="1">IFERROR(__xludf.DUMMYFUNCTION("GOOGLETRANSLATE('대전도시공사_청년임대주택 현황_20240630'!D669,""ko"",""en"")"),"701")</f>
        <v>701</v>
      </c>
      <c r="E669" s="1" t="str">
        <f ca="1">IFERROR(__xludf.DUMMYFUNCTION("GOOGLETRANSLATE('대전도시공사_청년임대주택 현황_20240630'!E669,""ko"",""en"")"),"97.512")</f>
        <v>97.512</v>
      </c>
      <c r="F669" s="1" t="str">
        <f ca="1">IFERROR(__xludf.DUMMYFUNCTION("GOOGLETRANSLATE('대전도시공사_청년임대주택 현황_20240630'!F669,""ko"",""en"")"),"33.695")</f>
        <v>33.695</v>
      </c>
      <c r="G669" s="1" t="str">
        <f ca="1">IFERROR(__xludf.DUMMYFUNCTION("GOOGLETRANSLATE('대전도시공사_청년임대주택 현황_20240630'!G669,""ko"",""en"")"),"63.816")</f>
        <v>63.816</v>
      </c>
      <c r="H669" s="1" t="str">
        <f ca="1">IFERROR(__xludf.DUMMYFUNCTION("GOOGLETRANSLATE('대전도시공사_청년임대주택 현황_20240630'!H669,""ko"",""en"")"),"Youth Rental 2nd Place")</f>
        <v>Youth Rental 2nd Place</v>
      </c>
      <c r="I669" s="1" t="str">
        <f ca="1">IFERROR(__xludf.DUMMYFUNCTION("GOOGLETRANSLATE('대전도시공사_청년임대주택 현황_20240630'!I669,""ko"",""en"")"),"2000000")</f>
        <v>2000000</v>
      </c>
      <c r="J669" s="1" t="str">
        <f ca="1">IFERROR(__xludf.DUMMYFUNCTION("GOOGLETRANSLATE('대전도시공사_청년임대주택 현황_20240630'!J669,""ko"",""en"")"),"423200")</f>
        <v>423200</v>
      </c>
    </row>
    <row r="670" spans="1:10" ht="12.5" x14ac:dyDescent="0.25">
      <c r="A670" s="1" t="str">
        <f ca="1">IFERROR(__xludf.DUMMYFUNCTION("GOOGLETRANSLATE('대전도시공사_청년임대주택 현황_20240630'!A670,""ko"",""en"")"),"Goejeong-dong 3-18 (Samyoung Building, youth rental)")</f>
        <v>Goejeong-dong 3-18 (Samyoung Building, youth rental)</v>
      </c>
      <c r="B670" s="1" t="str">
        <f ca="1">IFERROR(__xludf.DUMMYFUNCTION("GOOGLETRANSLATE('대전도시공사_청년임대주택 현황_20240630'!B670,""ko"",""en"")"),"3")</f>
        <v>3</v>
      </c>
      <c r="C670" s="1" t="str">
        <f ca="1">IFERROR(__xludf.DUMMYFUNCTION("GOOGLETRANSLATE('대전도시공사_청년임대주택 현황_20240630'!C670,""ko"",""en"")"),"1")</f>
        <v>1</v>
      </c>
      <c r="D670" s="1" t="str">
        <f ca="1">IFERROR(__xludf.DUMMYFUNCTION("GOOGLETRANSLATE('대전도시공사_청년임대주택 현황_20240630'!D670,""ko"",""en"")"),"701")</f>
        <v>701</v>
      </c>
      <c r="E670" s="1" t="str">
        <f ca="1">IFERROR(__xludf.DUMMYFUNCTION("GOOGLETRANSLATE('대전도시공사_청년임대주택 현황_20240630'!E670,""ko"",""en"")"),"97.512")</f>
        <v>97.512</v>
      </c>
      <c r="F670" s="1" t="str">
        <f ca="1">IFERROR(__xludf.DUMMYFUNCTION("GOOGLETRANSLATE('대전도시공사_청년임대주택 현황_20240630'!F670,""ko"",""en"")"),"33.695")</f>
        <v>33.695</v>
      </c>
      <c r="G670" s="1" t="str">
        <f ca="1">IFERROR(__xludf.DUMMYFUNCTION("GOOGLETRANSLATE('대전도시공사_청년임대주택 현황_20240630'!G670,""ko"",""en"")"),"63.816")</f>
        <v>63.816</v>
      </c>
      <c r="H670" s="1" t="str">
        <f ca="1">IFERROR(__xludf.DUMMYFUNCTION("GOOGLETRANSLATE('대전도시공사_청년임대주택 현황_20240630'!H670,""ko"",""en"")"),"3rd place for youth rental")</f>
        <v>3rd place for youth rental</v>
      </c>
      <c r="I670" s="1" t="str">
        <f ca="1">IFERROR(__xludf.DUMMYFUNCTION("GOOGLETRANSLATE('대전도시공사_청년임대주택 현황_20240630'!I670,""ko"",""en"")"),"2000000")</f>
        <v>2000000</v>
      </c>
      <c r="J670" s="1" t="str">
        <f ca="1">IFERROR(__xludf.DUMMYFUNCTION("GOOGLETRANSLATE('대전도시공사_청년임대주택 현황_20240630'!J670,""ko"",""en"")"),"423200")</f>
        <v>423200</v>
      </c>
    </row>
    <row r="671" spans="1:10" ht="12.5" x14ac:dyDescent="0.25">
      <c r="A671" s="1" t="str">
        <f ca="1">IFERROR(__xludf.DUMMYFUNCTION("GOOGLETRANSLATE('대전도시공사_청년임대주택 현황_20240630'!A671,""ko"",""en"")"),"Goejeong-dong 3-18 (Samyoung Building, youth rental)")</f>
        <v>Goejeong-dong 3-18 (Samyoung Building, youth rental)</v>
      </c>
      <c r="B671" s="1" t="str">
        <f ca="1">IFERROR(__xludf.DUMMYFUNCTION("GOOGLETRANSLATE('대전도시공사_청년임대주택 현황_20240630'!B671,""ko"",""en"")"),"52")</f>
        <v>52</v>
      </c>
      <c r="C671" s="1" t="str">
        <f ca="1">IFERROR(__xludf.DUMMYFUNCTION("GOOGLETRANSLATE('대전도시공사_청년임대주택 현황_20240630'!C671,""ko"",""en"")"),"1")</f>
        <v>1</v>
      </c>
      <c r="D671" s="1" t="str">
        <f ca="1">IFERROR(__xludf.DUMMYFUNCTION("GOOGLETRANSLATE('대전도시공사_청년임대주택 현황_20240630'!D671,""ko"",""en"")"),"718")</f>
        <v>718</v>
      </c>
      <c r="E671" s="1" t="str">
        <f ca="1">IFERROR(__xludf.DUMMYFUNCTION("GOOGLETRANSLATE('대전도시공사_청년임대주택 현황_20240630'!E671,""ko"",""en"")"),"97.512")</f>
        <v>97.512</v>
      </c>
      <c r="F671" s="1" t="str">
        <f ca="1">IFERROR(__xludf.DUMMYFUNCTION("GOOGLETRANSLATE('대전도시공사_청년임대주택 현황_20240630'!F671,""ko"",""en"")"),"33.695")</f>
        <v>33.695</v>
      </c>
      <c r="G671" s="1" t="str">
        <f ca="1">IFERROR(__xludf.DUMMYFUNCTION("GOOGLETRANSLATE('대전도시공사_청년임대주택 현황_20240630'!G671,""ko"",""en"")"),"63.816")</f>
        <v>63.816</v>
      </c>
      <c r="H671" s="1" t="str">
        <f ca="1">IFERROR(__xludf.DUMMYFUNCTION("GOOGLETRANSLATE('대전도시공사_청년임대주택 현황_20240630'!H671,""ko"",""en"")"),"Youth Rent 1st Place")</f>
        <v>Youth Rent 1st Place</v>
      </c>
      <c r="I671" s="1" t="str">
        <f ca="1">IFERROR(__xludf.DUMMYFUNCTION("GOOGLETRANSLATE('대전도시공사_청년임대주택 현황_20240630'!I671,""ko"",""en"")"),"1000000")</f>
        <v>1000000</v>
      </c>
      <c r="J671" s="1" t="str">
        <f ca="1">IFERROR(__xludf.DUMMYFUNCTION("GOOGLETRANSLATE('대전도시공사_청년임대주택 현황_20240630'!J671,""ko"",""en"")"),"348900")</f>
        <v>348900</v>
      </c>
    </row>
    <row r="672" spans="1:10" ht="12.5" x14ac:dyDescent="0.25">
      <c r="A672" s="1" t="str">
        <f ca="1">IFERROR(__xludf.DUMMYFUNCTION("GOOGLETRANSLATE('대전도시공사_청년임대주택 현황_20240630'!A672,""ko"",""en"")"),"Goejeong-dong 3-18 (Samyoung Building, youth rental)")</f>
        <v>Goejeong-dong 3-18 (Samyoung Building, youth rental)</v>
      </c>
      <c r="B672" s="1" t="str">
        <f ca="1">IFERROR(__xludf.DUMMYFUNCTION("GOOGLETRANSLATE('대전도시공사_청년임대주택 현황_20240630'!B672,""ko"",""en"")"),"53")</f>
        <v>53</v>
      </c>
      <c r="C672" s="1" t="str">
        <f ca="1">IFERROR(__xludf.DUMMYFUNCTION("GOOGLETRANSLATE('대전도시공사_청년임대주택 현황_20240630'!C672,""ko"",""en"")"),"1")</f>
        <v>1</v>
      </c>
      <c r="D672" s="1" t="str">
        <f ca="1">IFERROR(__xludf.DUMMYFUNCTION("GOOGLETRANSLATE('대전도시공사_청년임대주택 현황_20240630'!D672,""ko"",""en"")"),"718")</f>
        <v>718</v>
      </c>
      <c r="E672" s="1" t="str">
        <f ca="1">IFERROR(__xludf.DUMMYFUNCTION("GOOGLETRANSLATE('대전도시공사_청년임대주택 현황_20240630'!E672,""ko"",""en"")"),"97.512")</f>
        <v>97.512</v>
      </c>
      <c r="F672" s="1" t="str">
        <f ca="1">IFERROR(__xludf.DUMMYFUNCTION("GOOGLETRANSLATE('대전도시공사_청년임대주택 현황_20240630'!F672,""ko"",""en"")"),"33.695")</f>
        <v>33.695</v>
      </c>
      <c r="G672" s="1" t="str">
        <f ca="1">IFERROR(__xludf.DUMMYFUNCTION("GOOGLETRANSLATE('대전도시공사_청년임대주택 현황_20240630'!G672,""ko"",""en"")"),"63.816")</f>
        <v>63.816</v>
      </c>
      <c r="H672" s="1" t="str">
        <f ca="1">IFERROR(__xludf.DUMMYFUNCTION("GOOGLETRANSLATE('대전도시공사_청년임대주택 현황_20240630'!H672,""ko"",""en"")"),"Youth Rental 2nd Place")</f>
        <v>Youth Rental 2nd Place</v>
      </c>
      <c r="I672" s="1" t="str">
        <f ca="1">IFERROR(__xludf.DUMMYFUNCTION("GOOGLETRANSLATE('대전도시공사_청년임대주택 현황_20240630'!I672,""ko"",""en"")"),"2000000")</f>
        <v>2000000</v>
      </c>
      <c r="J672" s="1" t="str">
        <f ca="1">IFERROR(__xludf.DUMMYFUNCTION("GOOGLETRANSLATE('대전도시공사_청년임대주택 현황_20240630'!J672,""ko"",""en"")"),"431900")</f>
        <v>431900</v>
      </c>
    </row>
    <row r="673" spans="1:10" ht="12.5" x14ac:dyDescent="0.25">
      <c r="A673" s="1" t="str">
        <f ca="1">IFERROR(__xludf.DUMMYFUNCTION("GOOGLETRANSLATE('대전도시공사_청년임대주택 현황_20240630'!A673,""ko"",""en"")"),"Goejeong-dong 3-18 (Samyoung Building, youth rental)")</f>
        <v>Goejeong-dong 3-18 (Samyoung Building, youth rental)</v>
      </c>
      <c r="B673" s="1" t="str">
        <f ca="1">IFERROR(__xludf.DUMMYFUNCTION("GOOGLETRANSLATE('대전도시공사_청년임대주택 현황_20240630'!B673,""ko"",""en"")"),"54")</f>
        <v>54</v>
      </c>
      <c r="C673" s="1" t="str">
        <f ca="1">IFERROR(__xludf.DUMMYFUNCTION("GOOGLETRANSLATE('대전도시공사_청년임대주택 현황_20240630'!C673,""ko"",""en"")"),"1")</f>
        <v>1</v>
      </c>
      <c r="D673" s="1" t="str">
        <f ca="1">IFERROR(__xludf.DUMMYFUNCTION("GOOGLETRANSLATE('대전도시공사_청년임대주택 현황_20240630'!D673,""ko"",""en"")"),"718")</f>
        <v>718</v>
      </c>
      <c r="E673" s="1" t="str">
        <f ca="1">IFERROR(__xludf.DUMMYFUNCTION("GOOGLETRANSLATE('대전도시공사_청년임대주택 현황_20240630'!E673,""ko"",""en"")"),"97.512")</f>
        <v>97.512</v>
      </c>
      <c r="F673" s="1" t="str">
        <f ca="1">IFERROR(__xludf.DUMMYFUNCTION("GOOGLETRANSLATE('대전도시공사_청년임대주택 현황_20240630'!F673,""ko"",""en"")"),"33.695")</f>
        <v>33.695</v>
      </c>
      <c r="G673" s="1" t="str">
        <f ca="1">IFERROR(__xludf.DUMMYFUNCTION("GOOGLETRANSLATE('대전도시공사_청년임대주택 현황_20240630'!G673,""ko"",""en"")"),"63.816")</f>
        <v>63.816</v>
      </c>
      <c r="H673" s="1" t="str">
        <f ca="1">IFERROR(__xludf.DUMMYFUNCTION("GOOGLETRANSLATE('대전도시공사_청년임대주택 현황_20240630'!H673,""ko"",""en"")"),"3rd place for youth rental")</f>
        <v>3rd place for youth rental</v>
      </c>
      <c r="I673" s="1" t="str">
        <f ca="1">IFERROR(__xludf.DUMMYFUNCTION("GOOGLETRANSLATE('대전도시공사_청년임대주택 현황_20240630'!I673,""ko"",""en"")"),"2000000")</f>
        <v>2000000</v>
      </c>
      <c r="J673" s="1" t="str">
        <f ca="1">IFERROR(__xludf.DUMMYFUNCTION("GOOGLETRANSLATE('대전도시공사_청년임대주택 현황_20240630'!J673,""ko"",""en"")"),"431900")</f>
        <v>431900</v>
      </c>
    </row>
    <row r="674" spans="1:10" ht="12.5" x14ac:dyDescent="0.25">
      <c r="A674" s="1" t="str">
        <f ca="1">IFERROR(__xludf.DUMMYFUNCTION("GOOGLETRANSLATE('대전도시공사_청년임대주택 현황_20240630'!A674,""ko"",""en"")"),"Goejeong-dong 3-18 (Samyoung Building, youth rental)")</f>
        <v>Goejeong-dong 3-18 (Samyoung Building, youth rental)</v>
      </c>
      <c r="B674" s="1" t="str">
        <f ca="1">IFERROR(__xludf.DUMMYFUNCTION("GOOGLETRANSLATE('대전도시공사_청년임대주택 현황_20240630'!B674,""ko"",""en"")"),"112")</f>
        <v>112</v>
      </c>
      <c r="C674" s="1" t="str">
        <f ca="1">IFERROR(__xludf.DUMMYFUNCTION("GOOGLETRANSLATE('대전도시공사_청년임대주택 현황_20240630'!C674,""ko"",""en"")"),"1")</f>
        <v>1</v>
      </c>
      <c r="D674" s="1" t="str">
        <f ca="1">IFERROR(__xludf.DUMMYFUNCTION("GOOGLETRANSLATE('대전도시공사_청년임대주택 현황_20240630'!D674,""ko"",""en"")"),"902")</f>
        <v>902</v>
      </c>
      <c r="E674" s="1" t="str">
        <f ca="1">IFERROR(__xludf.DUMMYFUNCTION("GOOGLETRANSLATE('대전도시공사_청년임대주택 현황_20240630'!E674,""ko"",""en"")"),"64.993")</f>
        <v>64.993</v>
      </c>
      <c r="F674" s="1" t="str">
        <f ca="1">IFERROR(__xludf.DUMMYFUNCTION("GOOGLETRANSLATE('대전도시공사_청년임대주택 현황_20240630'!F674,""ko"",""en"")"),"22.438")</f>
        <v>22.438</v>
      </c>
      <c r="G674" s="1" t="str">
        <f ca="1">IFERROR(__xludf.DUMMYFUNCTION("GOOGLETRANSLATE('대전도시공사_청년임대주택 현황_20240630'!G674,""ko"",""en"")"),"42.554")</f>
        <v>42.554</v>
      </c>
      <c r="H674" s="1" t="str">
        <f ca="1">IFERROR(__xludf.DUMMYFUNCTION("GOOGLETRANSLATE('대전도시공사_청년임대주택 현황_20240630'!H674,""ko"",""en"")"),"Youth Rent 1st Place")</f>
        <v>Youth Rent 1st Place</v>
      </c>
      <c r="I674" s="1" t="str">
        <f ca="1">IFERROR(__xludf.DUMMYFUNCTION("GOOGLETRANSLATE('대전도시공사_청년임대주택 현황_20240630'!I674,""ko"",""en"")"),"1000000")</f>
        <v>1000000</v>
      </c>
      <c r="J674" s="1" t="str">
        <f ca="1">IFERROR(__xludf.DUMMYFUNCTION("GOOGLETRANSLATE('대전도시공사_청년임대주택 현황_20240630'!J674,""ko"",""en"")"),"243300")</f>
        <v>243300</v>
      </c>
    </row>
    <row r="675" spans="1:10" ht="12.5" x14ac:dyDescent="0.25">
      <c r="A675" s="1" t="str">
        <f ca="1">IFERROR(__xludf.DUMMYFUNCTION("GOOGLETRANSLATE('대전도시공사_청년임대주택 현황_20240630'!A675,""ko"",""en"")"),"Goejeong-dong 3-18 (Samyoung Building, youth rental)")</f>
        <v>Goejeong-dong 3-18 (Samyoung Building, youth rental)</v>
      </c>
      <c r="B675" s="1" t="str">
        <f ca="1">IFERROR(__xludf.DUMMYFUNCTION("GOOGLETRANSLATE('대전도시공사_청년임대주택 현황_20240630'!B675,""ko"",""en"")"),"113")</f>
        <v>113</v>
      </c>
      <c r="C675" s="1" t="str">
        <f ca="1">IFERROR(__xludf.DUMMYFUNCTION("GOOGLETRANSLATE('대전도시공사_청년임대주택 현황_20240630'!C675,""ko"",""en"")"),"1")</f>
        <v>1</v>
      </c>
      <c r="D675" s="1" t="str">
        <f ca="1">IFERROR(__xludf.DUMMYFUNCTION("GOOGLETRANSLATE('대전도시공사_청년임대주택 현황_20240630'!D675,""ko"",""en"")"),"902")</f>
        <v>902</v>
      </c>
      <c r="E675" s="1" t="str">
        <f ca="1">IFERROR(__xludf.DUMMYFUNCTION("GOOGLETRANSLATE('대전도시공사_청년임대주택 현황_20240630'!E675,""ko"",""en"")"),"64.993")</f>
        <v>64.993</v>
      </c>
      <c r="F675" s="1" t="str">
        <f ca="1">IFERROR(__xludf.DUMMYFUNCTION("GOOGLETRANSLATE('대전도시공사_청년임대주택 현황_20240630'!F675,""ko"",""en"")"),"22.438")</f>
        <v>22.438</v>
      </c>
      <c r="G675" s="1" t="str">
        <f ca="1">IFERROR(__xludf.DUMMYFUNCTION("GOOGLETRANSLATE('대전도시공사_청년임대주택 현황_20240630'!G675,""ko"",""en"")"),"42.554")</f>
        <v>42.554</v>
      </c>
      <c r="H675" s="1" t="str">
        <f ca="1">IFERROR(__xludf.DUMMYFUNCTION("GOOGLETRANSLATE('대전도시공사_청년임대주택 현황_20240630'!H675,""ko"",""en"")"),"Youth Rental 2nd Place")</f>
        <v>Youth Rental 2nd Place</v>
      </c>
      <c r="I675" s="1" t="str">
        <f ca="1">IFERROR(__xludf.DUMMYFUNCTION("GOOGLETRANSLATE('대전도시공사_청년임대주택 현황_20240630'!I675,""ko"",""en"")"),"2000000")</f>
        <v>2000000</v>
      </c>
      <c r="J675" s="1" t="str">
        <f ca="1">IFERROR(__xludf.DUMMYFUNCTION("GOOGLETRANSLATE('대전도시공사_청년임대주택 현황_20240630'!J675,""ko"",""en"")"),"299900")</f>
        <v>299900</v>
      </c>
    </row>
    <row r="676" spans="1:10" ht="12.5" x14ac:dyDescent="0.25">
      <c r="A676" s="1" t="str">
        <f ca="1">IFERROR(__xludf.DUMMYFUNCTION("GOOGLETRANSLATE('대전도시공사_청년임대주택 현황_20240630'!A676,""ko"",""en"")"),"Goejeong-dong 3-18 (Samyoung Building, youth rental)")</f>
        <v>Goejeong-dong 3-18 (Samyoung Building, youth rental)</v>
      </c>
      <c r="B676" s="1" t="str">
        <f ca="1">IFERROR(__xludf.DUMMYFUNCTION("GOOGLETRANSLATE('대전도시공사_청년임대주택 현황_20240630'!B676,""ko"",""en"")"),"114")</f>
        <v>114</v>
      </c>
      <c r="C676" s="1" t="str">
        <f ca="1">IFERROR(__xludf.DUMMYFUNCTION("GOOGLETRANSLATE('대전도시공사_청년임대주택 현황_20240630'!C676,""ko"",""en"")"),"1")</f>
        <v>1</v>
      </c>
      <c r="D676" s="1" t="str">
        <f ca="1">IFERROR(__xludf.DUMMYFUNCTION("GOOGLETRANSLATE('대전도시공사_청년임대주택 현황_20240630'!D676,""ko"",""en"")"),"902")</f>
        <v>902</v>
      </c>
      <c r="E676" s="1" t="str">
        <f ca="1">IFERROR(__xludf.DUMMYFUNCTION("GOOGLETRANSLATE('대전도시공사_청년임대주택 현황_20240630'!E676,""ko"",""en"")"),"64.993")</f>
        <v>64.993</v>
      </c>
      <c r="F676" s="1" t="str">
        <f ca="1">IFERROR(__xludf.DUMMYFUNCTION("GOOGLETRANSLATE('대전도시공사_청년임대주택 현황_20240630'!F676,""ko"",""en"")"),"22.438")</f>
        <v>22.438</v>
      </c>
      <c r="G676" s="1" t="str">
        <f ca="1">IFERROR(__xludf.DUMMYFUNCTION("GOOGLETRANSLATE('대전도시공사_청년임대주택 현황_20240630'!G676,""ko"",""en"")"),"42.554")</f>
        <v>42.554</v>
      </c>
      <c r="H676" s="1" t="str">
        <f ca="1">IFERROR(__xludf.DUMMYFUNCTION("GOOGLETRANSLATE('대전도시공사_청년임대주택 현황_20240630'!H676,""ko"",""en"")"),"3rd place for youth rental")</f>
        <v>3rd place for youth rental</v>
      </c>
      <c r="I676" s="1" t="str">
        <f ca="1">IFERROR(__xludf.DUMMYFUNCTION("GOOGLETRANSLATE('대전도시공사_청년임대주택 현황_20240630'!I676,""ko"",""en"")"),"2000000")</f>
        <v>2000000</v>
      </c>
      <c r="J676" s="1" t="str">
        <f ca="1">IFERROR(__xludf.DUMMYFUNCTION("GOOGLETRANSLATE('대전도시공사_청년임대주택 현황_20240630'!J676,""ko"",""en"")"),"299900")</f>
        <v>299900</v>
      </c>
    </row>
    <row r="677" spans="1:10" ht="12.5" x14ac:dyDescent="0.25">
      <c r="A677" s="1" t="str">
        <f ca="1">IFERROR(__xludf.DUMMYFUNCTION("GOOGLETRANSLATE('대전도시공사_청년임대주택 현황_20240630'!A677,""ko"",""en"")"),"Goejeong-dong 3-18 (Samyoung Building, youth rental)")</f>
        <v>Goejeong-dong 3-18 (Samyoung Building, youth rental)</v>
      </c>
      <c r="B677" s="1" t="str">
        <f ca="1">IFERROR(__xludf.DUMMYFUNCTION("GOOGLETRANSLATE('대전도시공사_청년임대주택 현황_20240630'!B677,""ko"",""en"")"),"115")</f>
        <v>115</v>
      </c>
      <c r="C677" s="1" t="str">
        <f ca="1">IFERROR(__xludf.DUMMYFUNCTION("GOOGLETRANSLATE('대전도시공사_청년임대주택 현황_20240630'!C677,""ko"",""en"")"),"1")</f>
        <v>1</v>
      </c>
      <c r="D677" s="1" t="str">
        <f ca="1">IFERROR(__xludf.DUMMYFUNCTION("GOOGLETRANSLATE('대전도시공사_청년임대주택 현황_20240630'!D677,""ko"",""en"")"),"903")</f>
        <v>903</v>
      </c>
      <c r="E677" s="1" t="str">
        <f ca="1">IFERROR(__xludf.DUMMYFUNCTION("GOOGLETRANSLATE('대전도시공사_청년임대주택 현황_20240630'!E677,""ko"",""en"")"),"64.993")</f>
        <v>64.993</v>
      </c>
      <c r="F677" s="1" t="str">
        <f ca="1">IFERROR(__xludf.DUMMYFUNCTION("GOOGLETRANSLATE('대전도시공사_청년임대주택 현황_20240630'!F677,""ko"",""en"")"),"22.438")</f>
        <v>22.438</v>
      </c>
      <c r="G677" s="1" t="str">
        <f ca="1">IFERROR(__xludf.DUMMYFUNCTION("GOOGLETRANSLATE('대전도시공사_청년임대주택 현황_20240630'!G677,""ko"",""en"")"),"42.554")</f>
        <v>42.554</v>
      </c>
      <c r="H677" s="1" t="str">
        <f ca="1">IFERROR(__xludf.DUMMYFUNCTION("GOOGLETRANSLATE('대전도시공사_청년임대주택 현황_20240630'!H677,""ko"",""en"")"),"Youth Rent 1st Place")</f>
        <v>Youth Rent 1st Place</v>
      </c>
      <c r="I677" s="1" t="str">
        <f ca="1">IFERROR(__xludf.DUMMYFUNCTION("GOOGLETRANSLATE('대전도시공사_청년임대주택 현황_20240630'!I677,""ko"",""en"")"),"1000000")</f>
        <v>1000000</v>
      </c>
      <c r="J677" s="1" t="str">
        <f ca="1">IFERROR(__xludf.DUMMYFUNCTION("GOOGLETRANSLATE('대전도시공사_청년임대주택 현황_20240630'!J677,""ko"",""en"")"),"243300")</f>
        <v>243300</v>
      </c>
    </row>
    <row r="678" spans="1:10" ht="12.5" x14ac:dyDescent="0.25">
      <c r="A678" s="1" t="str">
        <f ca="1">IFERROR(__xludf.DUMMYFUNCTION("GOOGLETRANSLATE('대전도시공사_청년임대주택 현황_20240630'!A678,""ko"",""en"")"),"Goejeong-dong 3-18 (Samyoung Building, youth rental)")</f>
        <v>Goejeong-dong 3-18 (Samyoung Building, youth rental)</v>
      </c>
      <c r="B678" s="1" t="str">
        <f ca="1">IFERROR(__xludf.DUMMYFUNCTION("GOOGLETRANSLATE('대전도시공사_청년임대주택 현황_20240630'!B678,""ko"",""en"")"),"116")</f>
        <v>116</v>
      </c>
      <c r="C678" s="1" t="str">
        <f ca="1">IFERROR(__xludf.DUMMYFUNCTION("GOOGLETRANSLATE('대전도시공사_청년임대주택 현황_20240630'!C678,""ko"",""en"")"),"1")</f>
        <v>1</v>
      </c>
      <c r="D678" s="1" t="str">
        <f ca="1">IFERROR(__xludf.DUMMYFUNCTION("GOOGLETRANSLATE('대전도시공사_청년임대주택 현황_20240630'!D678,""ko"",""en"")"),"903")</f>
        <v>903</v>
      </c>
      <c r="E678" s="1" t="str">
        <f ca="1">IFERROR(__xludf.DUMMYFUNCTION("GOOGLETRANSLATE('대전도시공사_청년임대주택 현황_20240630'!E678,""ko"",""en"")"),"64.993")</f>
        <v>64.993</v>
      </c>
      <c r="F678" s="1" t="str">
        <f ca="1">IFERROR(__xludf.DUMMYFUNCTION("GOOGLETRANSLATE('대전도시공사_청년임대주택 현황_20240630'!F678,""ko"",""en"")"),"22.438")</f>
        <v>22.438</v>
      </c>
      <c r="G678" s="1" t="str">
        <f ca="1">IFERROR(__xludf.DUMMYFUNCTION("GOOGLETRANSLATE('대전도시공사_청년임대주택 현황_20240630'!G678,""ko"",""en"")"),"42.554")</f>
        <v>42.554</v>
      </c>
      <c r="H678" s="1" t="str">
        <f ca="1">IFERROR(__xludf.DUMMYFUNCTION("GOOGLETRANSLATE('대전도시공사_청년임대주택 현황_20240630'!H678,""ko"",""en"")"),"Youth Rental 2nd Place")</f>
        <v>Youth Rental 2nd Place</v>
      </c>
      <c r="I678" s="1" t="str">
        <f ca="1">IFERROR(__xludf.DUMMYFUNCTION("GOOGLETRANSLATE('대전도시공사_청년임대주택 현황_20240630'!I678,""ko"",""en"")"),"2000000")</f>
        <v>2000000</v>
      </c>
      <c r="J678" s="1" t="str">
        <f ca="1">IFERROR(__xludf.DUMMYFUNCTION("GOOGLETRANSLATE('대전도시공사_청년임대주택 현황_20240630'!J678,""ko"",""en"")"),"299900")</f>
        <v>299900</v>
      </c>
    </row>
    <row r="679" spans="1:10" ht="12.5" x14ac:dyDescent="0.25">
      <c r="A679" s="1" t="str">
        <f ca="1">IFERROR(__xludf.DUMMYFUNCTION("GOOGLETRANSLATE('대전도시공사_청년임대주택 현황_20240630'!A679,""ko"",""en"")"),"Goejeong-dong 3-18 (Samyoung Building, youth rental)")</f>
        <v>Goejeong-dong 3-18 (Samyoung Building, youth rental)</v>
      </c>
      <c r="B679" s="1" t="str">
        <f ca="1">IFERROR(__xludf.DUMMYFUNCTION("GOOGLETRANSLATE('대전도시공사_청년임대주택 현황_20240630'!B679,""ko"",""en"")"),"117")</f>
        <v>117</v>
      </c>
      <c r="C679" s="1" t="str">
        <f ca="1">IFERROR(__xludf.DUMMYFUNCTION("GOOGLETRANSLATE('대전도시공사_청년임대주택 현황_20240630'!C679,""ko"",""en"")"),"1")</f>
        <v>1</v>
      </c>
      <c r="D679" s="1" t="str">
        <f ca="1">IFERROR(__xludf.DUMMYFUNCTION("GOOGLETRANSLATE('대전도시공사_청년임대주택 현황_20240630'!D679,""ko"",""en"")"),"903")</f>
        <v>903</v>
      </c>
      <c r="E679" s="1" t="str">
        <f ca="1">IFERROR(__xludf.DUMMYFUNCTION("GOOGLETRANSLATE('대전도시공사_청년임대주택 현황_20240630'!E679,""ko"",""en"")"),"64.993")</f>
        <v>64.993</v>
      </c>
      <c r="F679" s="1" t="str">
        <f ca="1">IFERROR(__xludf.DUMMYFUNCTION("GOOGLETRANSLATE('대전도시공사_청년임대주택 현황_20240630'!F679,""ko"",""en"")"),"22.438")</f>
        <v>22.438</v>
      </c>
      <c r="G679" s="1" t="str">
        <f ca="1">IFERROR(__xludf.DUMMYFUNCTION("GOOGLETRANSLATE('대전도시공사_청년임대주택 현황_20240630'!G679,""ko"",""en"")"),"42.554")</f>
        <v>42.554</v>
      </c>
      <c r="H679" s="1" t="str">
        <f ca="1">IFERROR(__xludf.DUMMYFUNCTION("GOOGLETRANSLATE('대전도시공사_청년임대주택 현황_20240630'!H679,""ko"",""en"")"),"3rd place for youth rental")</f>
        <v>3rd place for youth rental</v>
      </c>
      <c r="I679" s="1" t="str">
        <f ca="1">IFERROR(__xludf.DUMMYFUNCTION("GOOGLETRANSLATE('대전도시공사_청년임대주택 현황_20240630'!I679,""ko"",""en"")"),"2000000")</f>
        <v>2000000</v>
      </c>
      <c r="J679" s="1" t="str">
        <f ca="1">IFERROR(__xludf.DUMMYFUNCTION("GOOGLETRANSLATE('대전도시공사_청년임대주택 현황_20240630'!J679,""ko"",""en"")"),"299900")</f>
        <v>299900</v>
      </c>
    </row>
    <row r="680" spans="1:10" ht="12.5" x14ac:dyDescent="0.25">
      <c r="A680" s="1" t="str">
        <f ca="1">IFERROR(__xludf.DUMMYFUNCTION("GOOGLETRANSLATE('대전도시공사_청년임대주택 현황_20240630'!A680,""ko"",""en"")"),"Goejeong-dong 3-18 (Samyoung Building, youth rental)")</f>
        <v>Goejeong-dong 3-18 (Samyoung Building, youth rental)</v>
      </c>
      <c r="B680" s="1" t="str">
        <f ca="1">IFERROR(__xludf.DUMMYFUNCTION("GOOGLETRANSLATE('대전도시공사_청년임대주택 현황_20240630'!B680,""ko"",""en"")"),"118")</f>
        <v>118</v>
      </c>
      <c r="C680" s="1" t="str">
        <f ca="1">IFERROR(__xludf.DUMMYFUNCTION("GOOGLETRANSLATE('대전도시공사_청년임대주택 현황_20240630'!C680,""ko"",""en"")"),"1")</f>
        <v>1</v>
      </c>
      <c r="D680" s="1" t="str">
        <f ca="1">IFERROR(__xludf.DUMMYFUNCTION("GOOGLETRANSLATE('대전도시공사_청년임대주택 현황_20240630'!D680,""ko"",""en"")"),"904")</f>
        <v>904</v>
      </c>
      <c r="E680" s="1" t="str">
        <f ca="1">IFERROR(__xludf.DUMMYFUNCTION("GOOGLETRANSLATE('대전도시공사_청년임대주택 현황_20240630'!E680,""ko"",""en"")"),"64.993")</f>
        <v>64.993</v>
      </c>
      <c r="F680" s="1" t="str">
        <f ca="1">IFERROR(__xludf.DUMMYFUNCTION("GOOGLETRANSLATE('대전도시공사_청년임대주택 현황_20240630'!F680,""ko"",""en"")"),"22.438")</f>
        <v>22.438</v>
      </c>
      <c r="G680" s="1" t="str">
        <f ca="1">IFERROR(__xludf.DUMMYFUNCTION("GOOGLETRANSLATE('대전도시공사_청년임대주택 현황_20240630'!G680,""ko"",""en"")"),"42.554")</f>
        <v>42.554</v>
      </c>
      <c r="H680" s="1" t="str">
        <f ca="1">IFERROR(__xludf.DUMMYFUNCTION("GOOGLETRANSLATE('대전도시공사_청년임대주택 현황_20240630'!H680,""ko"",""en"")"),"Youth Rent 1st Place")</f>
        <v>Youth Rent 1st Place</v>
      </c>
      <c r="I680" s="1" t="str">
        <f ca="1">IFERROR(__xludf.DUMMYFUNCTION("GOOGLETRANSLATE('대전도시공사_청년임대주택 현황_20240630'!I680,""ko"",""en"")"),"1000000")</f>
        <v>1000000</v>
      </c>
      <c r="J680" s="1" t="str">
        <f ca="1">IFERROR(__xludf.DUMMYFUNCTION("GOOGLETRANSLATE('대전도시공사_청년임대주택 현황_20240630'!J680,""ko"",""en"")"),"243300")</f>
        <v>243300</v>
      </c>
    </row>
    <row r="681" spans="1:10" ht="12.5" x14ac:dyDescent="0.25">
      <c r="A681" s="1" t="str">
        <f ca="1">IFERROR(__xludf.DUMMYFUNCTION("GOOGLETRANSLATE('대전도시공사_청년임대주택 현황_20240630'!A681,""ko"",""en"")"),"Goejeong-dong 3-18 (Samyoung Building, youth rental)")</f>
        <v>Goejeong-dong 3-18 (Samyoung Building, youth rental)</v>
      </c>
      <c r="B681" s="1" t="str">
        <f ca="1">IFERROR(__xludf.DUMMYFUNCTION("GOOGLETRANSLATE('대전도시공사_청년임대주택 현황_20240630'!B681,""ko"",""en"")"),"119")</f>
        <v>119</v>
      </c>
      <c r="C681" s="1" t="str">
        <f ca="1">IFERROR(__xludf.DUMMYFUNCTION("GOOGLETRANSLATE('대전도시공사_청년임대주택 현황_20240630'!C681,""ko"",""en"")"),"1")</f>
        <v>1</v>
      </c>
      <c r="D681" s="1" t="str">
        <f ca="1">IFERROR(__xludf.DUMMYFUNCTION("GOOGLETRANSLATE('대전도시공사_청년임대주택 현황_20240630'!D681,""ko"",""en"")"),"904")</f>
        <v>904</v>
      </c>
      <c r="E681" s="1" t="str">
        <f ca="1">IFERROR(__xludf.DUMMYFUNCTION("GOOGLETRANSLATE('대전도시공사_청년임대주택 현황_20240630'!E681,""ko"",""en"")"),"64.993")</f>
        <v>64.993</v>
      </c>
      <c r="F681" s="1" t="str">
        <f ca="1">IFERROR(__xludf.DUMMYFUNCTION("GOOGLETRANSLATE('대전도시공사_청년임대주택 현황_20240630'!F681,""ko"",""en"")"),"22.438")</f>
        <v>22.438</v>
      </c>
      <c r="G681" s="1" t="str">
        <f ca="1">IFERROR(__xludf.DUMMYFUNCTION("GOOGLETRANSLATE('대전도시공사_청년임대주택 현황_20240630'!G681,""ko"",""en"")"),"42.554")</f>
        <v>42.554</v>
      </c>
      <c r="H681" s="1" t="str">
        <f ca="1">IFERROR(__xludf.DUMMYFUNCTION("GOOGLETRANSLATE('대전도시공사_청년임대주택 현황_20240630'!H681,""ko"",""en"")"),"Youth Rental 2nd Place")</f>
        <v>Youth Rental 2nd Place</v>
      </c>
      <c r="I681" s="1" t="str">
        <f ca="1">IFERROR(__xludf.DUMMYFUNCTION("GOOGLETRANSLATE('대전도시공사_청년임대주택 현황_20240630'!I681,""ko"",""en"")"),"2000000")</f>
        <v>2000000</v>
      </c>
      <c r="J681" s="1" t="str">
        <f ca="1">IFERROR(__xludf.DUMMYFUNCTION("GOOGLETRANSLATE('대전도시공사_청년임대주택 현황_20240630'!J681,""ko"",""en"")"),"299900")</f>
        <v>299900</v>
      </c>
    </row>
    <row r="682" spans="1:10" ht="12.5" x14ac:dyDescent="0.25">
      <c r="A682" s="1" t="str">
        <f ca="1">IFERROR(__xludf.DUMMYFUNCTION("GOOGLETRANSLATE('대전도시공사_청년임대주택 현황_20240630'!A682,""ko"",""en"")"),"Goejeong-dong 3-18 (Samyoung Building, youth rental)")</f>
        <v>Goejeong-dong 3-18 (Samyoung Building, youth rental)</v>
      </c>
      <c r="B682" s="1" t="str">
        <f ca="1">IFERROR(__xludf.DUMMYFUNCTION("GOOGLETRANSLATE('대전도시공사_청년임대주택 현황_20240630'!B682,""ko"",""en"")"),"120")</f>
        <v>120</v>
      </c>
      <c r="C682" s="1" t="str">
        <f ca="1">IFERROR(__xludf.DUMMYFUNCTION("GOOGLETRANSLATE('대전도시공사_청년임대주택 현황_20240630'!C682,""ko"",""en"")"),"1")</f>
        <v>1</v>
      </c>
      <c r="D682" s="1" t="str">
        <f ca="1">IFERROR(__xludf.DUMMYFUNCTION("GOOGLETRANSLATE('대전도시공사_청년임대주택 현황_20240630'!D682,""ko"",""en"")"),"904")</f>
        <v>904</v>
      </c>
      <c r="E682" s="1" t="str">
        <f ca="1">IFERROR(__xludf.DUMMYFUNCTION("GOOGLETRANSLATE('대전도시공사_청년임대주택 현황_20240630'!E682,""ko"",""en"")"),"64.993")</f>
        <v>64.993</v>
      </c>
      <c r="F682" s="1" t="str">
        <f ca="1">IFERROR(__xludf.DUMMYFUNCTION("GOOGLETRANSLATE('대전도시공사_청년임대주택 현황_20240630'!F682,""ko"",""en"")"),"22.438")</f>
        <v>22.438</v>
      </c>
      <c r="G682" s="1" t="str">
        <f ca="1">IFERROR(__xludf.DUMMYFUNCTION("GOOGLETRANSLATE('대전도시공사_청년임대주택 현황_20240630'!G682,""ko"",""en"")"),"42.554")</f>
        <v>42.554</v>
      </c>
      <c r="H682" s="1" t="str">
        <f ca="1">IFERROR(__xludf.DUMMYFUNCTION("GOOGLETRANSLATE('대전도시공사_청년임대주택 현황_20240630'!H682,""ko"",""en"")"),"3rd place for youth rental")</f>
        <v>3rd place for youth rental</v>
      </c>
      <c r="I682" s="1" t="str">
        <f ca="1">IFERROR(__xludf.DUMMYFUNCTION("GOOGLETRANSLATE('대전도시공사_청년임대주택 현황_20240630'!I682,""ko"",""en"")"),"2000000")</f>
        <v>2000000</v>
      </c>
      <c r="J682" s="1" t="str">
        <f ca="1">IFERROR(__xludf.DUMMYFUNCTION("GOOGLETRANSLATE('대전도시공사_청년임대주택 현황_20240630'!J682,""ko"",""en"")"),"299900")</f>
        <v>299900</v>
      </c>
    </row>
    <row r="683" spans="1:10" ht="12.5" x14ac:dyDescent="0.25">
      <c r="A683" s="1" t="str">
        <f ca="1">IFERROR(__xludf.DUMMYFUNCTION("GOOGLETRANSLATE('대전도시공사_청년임대주택 현황_20240630'!A683,""ko"",""en"")"),"Goejeong-dong 3-18 (Samyoung Building, youth rental)")</f>
        <v>Goejeong-dong 3-18 (Samyoung Building, youth rental)</v>
      </c>
      <c r="B683" s="1" t="str">
        <f ca="1">IFERROR(__xludf.DUMMYFUNCTION("GOOGLETRANSLATE('대전도시공사_청년임대주택 현황_20240630'!B683,""ko"",""en"")"),"121")</f>
        <v>121</v>
      </c>
      <c r="C683" s="1" t="str">
        <f ca="1">IFERROR(__xludf.DUMMYFUNCTION("GOOGLETRANSLATE('대전도시공사_청년임대주택 현황_20240630'!C683,""ko"",""en"")"),"1")</f>
        <v>1</v>
      </c>
      <c r="D683" s="1" t="str">
        <f ca="1">IFERROR(__xludf.DUMMYFUNCTION("GOOGLETRANSLATE('대전도시공사_청년임대주택 현황_20240630'!D683,""ko"",""en"")"),"905")</f>
        <v>905</v>
      </c>
      <c r="E683" s="1" t="str">
        <f ca="1">IFERROR(__xludf.DUMMYFUNCTION("GOOGLETRANSLATE('대전도시공사_청년임대주택 현황_20240630'!E683,""ko"",""en"")"),"64.993")</f>
        <v>64.993</v>
      </c>
      <c r="F683" s="1" t="str">
        <f ca="1">IFERROR(__xludf.DUMMYFUNCTION("GOOGLETRANSLATE('대전도시공사_청년임대주택 현황_20240630'!F683,""ko"",""en"")"),"22.438")</f>
        <v>22.438</v>
      </c>
      <c r="G683" s="1" t="str">
        <f ca="1">IFERROR(__xludf.DUMMYFUNCTION("GOOGLETRANSLATE('대전도시공사_청년임대주택 현황_20240630'!G683,""ko"",""en"")"),"42.554")</f>
        <v>42.554</v>
      </c>
      <c r="H683" s="1" t="str">
        <f ca="1">IFERROR(__xludf.DUMMYFUNCTION("GOOGLETRANSLATE('대전도시공사_청년임대주택 현황_20240630'!H683,""ko"",""en"")"),"Youth Rent 1st Place")</f>
        <v>Youth Rent 1st Place</v>
      </c>
      <c r="I683" s="1" t="str">
        <f ca="1">IFERROR(__xludf.DUMMYFUNCTION("GOOGLETRANSLATE('대전도시공사_청년임대주택 현황_20240630'!I683,""ko"",""en"")"),"1000000")</f>
        <v>1000000</v>
      </c>
      <c r="J683" s="1" t="str">
        <f ca="1">IFERROR(__xludf.DUMMYFUNCTION("GOOGLETRANSLATE('대전도시공사_청년임대주택 현황_20240630'!J683,""ko"",""en"")"),"243300")</f>
        <v>243300</v>
      </c>
    </row>
    <row r="684" spans="1:10" ht="12.5" x14ac:dyDescent="0.25">
      <c r="A684" s="1" t="str">
        <f ca="1">IFERROR(__xludf.DUMMYFUNCTION("GOOGLETRANSLATE('대전도시공사_청년임대주택 현황_20240630'!A684,""ko"",""en"")"),"Goejeong-dong 3-18 (Samyoung Building, youth rental)")</f>
        <v>Goejeong-dong 3-18 (Samyoung Building, youth rental)</v>
      </c>
      <c r="B684" s="1" t="str">
        <f ca="1">IFERROR(__xludf.DUMMYFUNCTION("GOOGLETRANSLATE('대전도시공사_청년임대주택 현황_20240630'!B684,""ko"",""en"")"),"122")</f>
        <v>122</v>
      </c>
      <c r="C684" s="1" t="str">
        <f ca="1">IFERROR(__xludf.DUMMYFUNCTION("GOOGLETRANSLATE('대전도시공사_청년임대주택 현황_20240630'!C684,""ko"",""en"")"),"1")</f>
        <v>1</v>
      </c>
      <c r="D684" s="1" t="str">
        <f ca="1">IFERROR(__xludf.DUMMYFUNCTION("GOOGLETRANSLATE('대전도시공사_청년임대주택 현황_20240630'!D684,""ko"",""en"")"),"905")</f>
        <v>905</v>
      </c>
      <c r="E684" s="1" t="str">
        <f ca="1">IFERROR(__xludf.DUMMYFUNCTION("GOOGLETRANSLATE('대전도시공사_청년임대주택 현황_20240630'!E684,""ko"",""en"")"),"64.993")</f>
        <v>64.993</v>
      </c>
      <c r="F684" s="1" t="str">
        <f ca="1">IFERROR(__xludf.DUMMYFUNCTION("GOOGLETRANSLATE('대전도시공사_청년임대주택 현황_20240630'!F684,""ko"",""en"")"),"22.438")</f>
        <v>22.438</v>
      </c>
      <c r="G684" s="1" t="str">
        <f ca="1">IFERROR(__xludf.DUMMYFUNCTION("GOOGLETRANSLATE('대전도시공사_청년임대주택 현황_20240630'!G684,""ko"",""en"")"),"42.554")</f>
        <v>42.554</v>
      </c>
      <c r="H684" s="1" t="str">
        <f ca="1">IFERROR(__xludf.DUMMYFUNCTION("GOOGLETRANSLATE('대전도시공사_청년임대주택 현황_20240630'!H684,""ko"",""en"")"),"Youth Rental 2nd Place")</f>
        <v>Youth Rental 2nd Place</v>
      </c>
      <c r="I684" s="1" t="str">
        <f ca="1">IFERROR(__xludf.DUMMYFUNCTION("GOOGLETRANSLATE('대전도시공사_청년임대주택 현황_20240630'!I684,""ko"",""en"")"),"2000000")</f>
        <v>2000000</v>
      </c>
      <c r="J684" s="1" t="str">
        <f ca="1">IFERROR(__xludf.DUMMYFUNCTION("GOOGLETRANSLATE('대전도시공사_청년임대주택 현황_20240630'!J684,""ko"",""en"")"),"299900")</f>
        <v>299900</v>
      </c>
    </row>
    <row r="685" spans="1:10" ht="12.5" x14ac:dyDescent="0.25">
      <c r="A685" s="1" t="str">
        <f ca="1">IFERROR(__xludf.DUMMYFUNCTION("GOOGLETRANSLATE('대전도시공사_청년임대주택 현황_20240630'!A685,""ko"",""en"")"),"Goejeong-dong 3-18 (Samyoung Building, youth rental)")</f>
        <v>Goejeong-dong 3-18 (Samyoung Building, youth rental)</v>
      </c>
      <c r="B685" s="1" t="str">
        <f ca="1">IFERROR(__xludf.DUMMYFUNCTION("GOOGLETRANSLATE('대전도시공사_청년임대주택 현황_20240630'!B685,""ko"",""en"")"),"123")</f>
        <v>123</v>
      </c>
      <c r="C685" s="1" t="str">
        <f ca="1">IFERROR(__xludf.DUMMYFUNCTION("GOOGLETRANSLATE('대전도시공사_청년임대주택 현황_20240630'!C685,""ko"",""en"")"),"1")</f>
        <v>1</v>
      </c>
      <c r="D685" s="1" t="str">
        <f ca="1">IFERROR(__xludf.DUMMYFUNCTION("GOOGLETRANSLATE('대전도시공사_청년임대주택 현황_20240630'!D685,""ko"",""en"")"),"905")</f>
        <v>905</v>
      </c>
      <c r="E685" s="1" t="str">
        <f ca="1">IFERROR(__xludf.DUMMYFUNCTION("GOOGLETRANSLATE('대전도시공사_청년임대주택 현황_20240630'!E685,""ko"",""en"")"),"64.993")</f>
        <v>64.993</v>
      </c>
      <c r="F685" s="1" t="str">
        <f ca="1">IFERROR(__xludf.DUMMYFUNCTION("GOOGLETRANSLATE('대전도시공사_청년임대주택 현황_20240630'!F685,""ko"",""en"")"),"22.438")</f>
        <v>22.438</v>
      </c>
      <c r="G685" s="1" t="str">
        <f ca="1">IFERROR(__xludf.DUMMYFUNCTION("GOOGLETRANSLATE('대전도시공사_청년임대주택 현황_20240630'!G685,""ko"",""en"")"),"42.554")</f>
        <v>42.554</v>
      </c>
      <c r="H685" s="1" t="str">
        <f ca="1">IFERROR(__xludf.DUMMYFUNCTION("GOOGLETRANSLATE('대전도시공사_청년임대주택 현황_20240630'!H685,""ko"",""en"")"),"3rd place for youth rental")</f>
        <v>3rd place for youth rental</v>
      </c>
      <c r="I685" s="1" t="str">
        <f ca="1">IFERROR(__xludf.DUMMYFUNCTION("GOOGLETRANSLATE('대전도시공사_청년임대주택 현황_20240630'!I685,""ko"",""en"")"),"2000000")</f>
        <v>2000000</v>
      </c>
      <c r="J685" s="1" t="str">
        <f ca="1">IFERROR(__xludf.DUMMYFUNCTION("GOOGLETRANSLATE('대전도시공사_청년임대주택 현황_20240630'!J685,""ko"",""en"")"),"299900")</f>
        <v>299900</v>
      </c>
    </row>
    <row r="686" spans="1:10" ht="12.5" x14ac:dyDescent="0.25">
      <c r="A686" s="1" t="str">
        <f ca="1">IFERROR(__xludf.DUMMYFUNCTION("GOOGLETRANSLATE('대전도시공사_청년임대주택 현황_20240630'!A686,""ko"",""en"")"),"Goejeong-dong 3-18 (Samyoung Building, youth rental)")</f>
        <v>Goejeong-dong 3-18 (Samyoung Building, youth rental)</v>
      </c>
      <c r="B686" s="1" t="str">
        <f ca="1">IFERROR(__xludf.DUMMYFUNCTION("GOOGLETRANSLATE('대전도시공사_청년임대주택 현황_20240630'!B686,""ko"",""en"")"),"124")</f>
        <v>124</v>
      </c>
      <c r="C686" s="1" t="str">
        <f ca="1">IFERROR(__xludf.DUMMYFUNCTION("GOOGLETRANSLATE('대전도시공사_청년임대주택 현황_20240630'!C686,""ko"",""en"")"),"1")</f>
        <v>1</v>
      </c>
      <c r="D686" s="1" t="str">
        <f ca="1">IFERROR(__xludf.DUMMYFUNCTION("GOOGLETRANSLATE('대전도시공사_청년임대주택 현황_20240630'!D686,""ko"",""en"")"),"906")</f>
        <v>906</v>
      </c>
      <c r="E686" s="1" t="str">
        <f ca="1">IFERROR(__xludf.DUMMYFUNCTION("GOOGLETRANSLATE('대전도시공사_청년임대주택 현황_20240630'!E686,""ko"",""en"")"),"64.993")</f>
        <v>64.993</v>
      </c>
      <c r="F686" s="1" t="str">
        <f ca="1">IFERROR(__xludf.DUMMYFUNCTION("GOOGLETRANSLATE('대전도시공사_청년임대주택 현황_20240630'!F686,""ko"",""en"")"),"22.438")</f>
        <v>22.438</v>
      </c>
      <c r="G686" s="1" t="str">
        <f ca="1">IFERROR(__xludf.DUMMYFUNCTION("GOOGLETRANSLATE('대전도시공사_청년임대주택 현황_20240630'!G686,""ko"",""en"")"),"42.554")</f>
        <v>42.554</v>
      </c>
      <c r="H686" s="1" t="str">
        <f ca="1">IFERROR(__xludf.DUMMYFUNCTION("GOOGLETRANSLATE('대전도시공사_청년임대주택 현황_20240630'!H686,""ko"",""en"")"),"Youth Rent 1st Place")</f>
        <v>Youth Rent 1st Place</v>
      </c>
      <c r="I686" s="1" t="str">
        <f ca="1">IFERROR(__xludf.DUMMYFUNCTION("GOOGLETRANSLATE('대전도시공사_청년임대주택 현황_20240630'!I686,""ko"",""en"")"),"1000000")</f>
        <v>1000000</v>
      </c>
      <c r="J686" s="1" t="str">
        <f ca="1">IFERROR(__xludf.DUMMYFUNCTION("GOOGLETRANSLATE('대전도시공사_청년임대주택 현황_20240630'!J686,""ko"",""en"")"),"243300")</f>
        <v>243300</v>
      </c>
    </row>
    <row r="687" spans="1:10" ht="12.5" x14ac:dyDescent="0.25">
      <c r="A687" s="1" t="str">
        <f ca="1">IFERROR(__xludf.DUMMYFUNCTION("GOOGLETRANSLATE('대전도시공사_청년임대주택 현황_20240630'!A687,""ko"",""en"")"),"Goejeong-dong 3-18 (Samyoung Building, youth rental)")</f>
        <v>Goejeong-dong 3-18 (Samyoung Building, youth rental)</v>
      </c>
      <c r="B687" s="1" t="str">
        <f ca="1">IFERROR(__xludf.DUMMYFUNCTION("GOOGLETRANSLATE('대전도시공사_청년임대주택 현황_20240630'!B687,""ko"",""en"")"),"125")</f>
        <v>125</v>
      </c>
      <c r="C687" s="1" t="str">
        <f ca="1">IFERROR(__xludf.DUMMYFUNCTION("GOOGLETRANSLATE('대전도시공사_청년임대주택 현황_20240630'!C687,""ko"",""en"")"),"1")</f>
        <v>1</v>
      </c>
      <c r="D687" s="1" t="str">
        <f ca="1">IFERROR(__xludf.DUMMYFUNCTION("GOOGLETRANSLATE('대전도시공사_청년임대주택 현황_20240630'!D687,""ko"",""en"")"),"906")</f>
        <v>906</v>
      </c>
      <c r="E687" s="1" t="str">
        <f ca="1">IFERROR(__xludf.DUMMYFUNCTION("GOOGLETRANSLATE('대전도시공사_청년임대주택 현황_20240630'!E687,""ko"",""en"")"),"64.993")</f>
        <v>64.993</v>
      </c>
      <c r="F687" s="1" t="str">
        <f ca="1">IFERROR(__xludf.DUMMYFUNCTION("GOOGLETRANSLATE('대전도시공사_청년임대주택 현황_20240630'!F687,""ko"",""en"")"),"22.438")</f>
        <v>22.438</v>
      </c>
      <c r="G687" s="1" t="str">
        <f ca="1">IFERROR(__xludf.DUMMYFUNCTION("GOOGLETRANSLATE('대전도시공사_청년임대주택 현황_20240630'!G687,""ko"",""en"")"),"42.554")</f>
        <v>42.554</v>
      </c>
      <c r="H687" s="1" t="str">
        <f ca="1">IFERROR(__xludf.DUMMYFUNCTION("GOOGLETRANSLATE('대전도시공사_청년임대주택 현황_20240630'!H687,""ko"",""en"")"),"Youth Rental 2nd Place")</f>
        <v>Youth Rental 2nd Place</v>
      </c>
      <c r="I687" s="1" t="str">
        <f ca="1">IFERROR(__xludf.DUMMYFUNCTION("GOOGLETRANSLATE('대전도시공사_청년임대주택 현황_20240630'!I687,""ko"",""en"")"),"2000000")</f>
        <v>2000000</v>
      </c>
      <c r="J687" s="1" t="str">
        <f ca="1">IFERROR(__xludf.DUMMYFUNCTION("GOOGLETRANSLATE('대전도시공사_청년임대주택 현황_20240630'!J687,""ko"",""en"")"),"299900")</f>
        <v>299900</v>
      </c>
    </row>
    <row r="688" spans="1:10" ht="12.5" x14ac:dyDescent="0.25">
      <c r="A688" s="1" t="str">
        <f ca="1">IFERROR(__xludf.DUMMYFUNCTION("GOOGLETRANSLATE('대전도시공사_청년임대주택 현황_20240630'!A688,""ko"",""en"")"),"Goejeong-dong 3-18 (Samyoung Building, youth rental)")</f>
        <v>Goejeong-dong 3-18 (Samyoung Building, youth rental)</v>
      </c>
      <c r="B688" s="1" t="str">
        <f ca="1">IFERROR(__xludf.DUMMYFUNCTION("GOOGLETRANSLATE('대전도시공사_청년임대주택 현황_20240630'!B688,""ko"",""en"")"),"126")</f>
        <v>126</v>
      </c>
      <c r="C688" s="1" t="str">
        <f ca="1">IFERROR(__xludf.DUMMYFUNCTION("GOOGLETRANSLATE('대전도시공사_청년임대주택 현황_20240630'!C688,""ko"",""en"")"),"1")</f>
        <v>1</v>
      </c>
      <c r="D688" s="1" t="str">
        <f ca="1">IFERROR(__xludf.DUMMYFUNCTION("GOOGLETRANSLATE('대전도시공사_청년임대주택 현황_20240630'!D688,""ko"",""en"")"),"906")</f>
        <v>906</v>
      </c>
      <c r="E688" s="1" t="str">
        <f ca="1">IFERROR(__xludf.DUMMYFUNCTION("GOOGLETRANSLATE('대전도시공사_청년임대주택 현황_20240630'!E688,""ko"",""en"")"),"64.993")</f>
        <v>64.993</v>
      </c>
      <c r="F688" s="1" t="str">
        <f ca="1">IFERROR(__xludf.DUMMYFUNCTION("GOOGLETRANSLATE('대전도시공사_청년임대주택 현황_20240630'!F688,""ko"",""en"")"),"22.438")</f>
        <v>22.438</v>
      </c>
      <c r="G688" s="1" t="str">
        <f ca="1">IFERROR(__xludf.DUMMYFUNCTION("GOOGLETRANSLATE('대전도시공사_청년임대주택 현황_20240630'!G688,""ko"",""en"")"),"42.554")</f>
        <v>42.554</v>
      </c>
      <c r="H688" s="1" t="str">
        <f ca="1">IFERROR(__xludf.DUMMYFUNCTION("GOOGLETRANSLATE('대전도시공사_청년임대주택 현황_20240630'!H688,""ko"",""en"")"),"3rd place for youth rental")</f>
        <v>3rd place for youth rental</v>
      </c>
      <c r="I688" s="1" t="str">
        <f ca="1">IFERROR(__xludf.DUMMYFUNCTION("GOOGLETRANSLATE('대전도시공사_청년임대주택 현황_20240630'!I688,""ko"",""en"")"),"2000000")</f>
        <v>2000000</v>
      </c>
      <c r="J688" s="1" t="str">
        <f ca="1">IFERROR(__xludf.DUMMYFUNCTION("GOOGLETRANSLATE('대전도시공사_청년임대주택 현황_20240630'!J688,""ko"",""en"")"),"299900")</f>
        <v>299900</v>
      </c>
    </row>
    <row r="689" spans="1:10" ht="12.5" x14ac:dyDescent="0.25">
      <c r="A689" s="1" t="str">
        <f ca="1">IFERROR(__xludf.DUMMYFUNCTION("GOOGLETRANSLATE('대전도시공사_청년임대주택 현황_20240630'!A689,""ko"",""en"")"),"Goejeong-dong 3-18 (Samyoung Building, youth rental)")</f>
        <v>Goejeong-dong 3-18 (Samyoung Building, youth rental)</v>
      </c>
      <c r="B689" s="1" t="str">
        <f ca="1">IFERROR(__xludf.DUMMYFUNCTION("GOOGLETRANSLATE('대전도시공사_청년임대주택 현황_20240630'!B689,""ko"",""en"")"),"127")</f>
        <v>127</v>
      </c>
      <c r="C689" s="1" t="str">
        <f ca="1">IFERROR(__xludf.DUMMYFUNCTION("GOOGLETRANSLATE('대전도시공사_청년임대주택 현황_20240630'!C689,""ko"",""en"")"),"1")</f>
        <v>1</v>
      </c>
      <c r="D689" s="1" t="str">
        <f ca="1">IFERROR(__xludf.DUMMYFUNCTION("GOOGLETRANSLATE('대전도시공사_청년임대주택 현황_20240630'!D689,""ko"",""en"")"),"907")</f>
        <v>907</v>
      </c>
      <c r="E689" s="1" t="str">
        <f ca="1">IFERROR(__xludf.DUMMYFUNCTION("GOOGLETRANSLATE('대전도시공사_청년임대주택 현황_20240630'!E689,""ko"",""en"")"),"64.993")</f>
        <v>64.993</v>
      </c>
      <c r="F689" s="1" t="str">
        <f ca="1">IFERROR(__xludf.DUMMYFUNCTION("GOOGLETRANSLATE('대전도시공사_청년임대주택 현황_20240630'!F689,""ko"",""en"")"),"22.438")</f>
        <v>22.438</v>
      </c>
      <c r="G689" s="1" t="str">
        <f ca="1">IFERROR(__xludf.DUMMYFUNCTION("GOOGLETRANSLATE('대전도시공사_청년임대주택 현황_20240630'!G689,""ko"",""en"")"),"42.554")</f>
        <v>42.554</v>
      </c>
      <c r="H689" s="1" t="str">
        <f ca="1">IFERROR(__xludf.DUMMYFUNCTION("GOOGLETRANSLATE('대전도시공사_청년임대주택 현황_20240630'!H689,""ko"",""en"")"),"Youth Rent 1st Place")</f>
        <v>Youth Rent 1st Place</v>
      </c>
      <c r="I689" s="1" t="str">
        <f ca="1">IFERROR(__xludf.DUMMYFUNCTION("GOOGLETRANSLATE('대전도시공사_청년임대주택 현황_20240630'!I689,""ko"",""en"")"),"1000000")</f>
        <v>1000000</v>
      </c>
      <c r="J689" s="1" t="str">
        <f ca="1">IFERROR(__xludf.DUMMYFUNCTION("GOOGLETRANSLATE('대전도시공사_청년임대주택 현황_20240630'!J689,""ko"",""en"")"),"243300")</f>
        <v>243300</v>
      </c>
    </row>
    <row r="690" spans="1:10" ht="12.5" x14ac:dyDescent="0.25">
      <c r="A690" s="1" t="str">
        <f ca="1">IFERROR(__xludf.DUMMYFUNCTION("GOOGLETRANSLATE('대전도시공사_청년임대주택 현황_20240630'!A690,""ko"",""en"")"),"Goejeong-dong 3-18 (Samyoung Building, youth rental)")</f>
        <v>Goejeong-dong 3-18 (Samyoung Building, youth rental)</v>
      </c>
      <c r="B690" s="1" t="str">
        <f ca="1">IFERROR(__xludf.DUMMYFUNCTION("GOOGLETRANSLATE('대전도시공사_청년임대주택 현황_20240630'!B690,""ko"",""en"")"),"128")</f>
        <v>128</v>
      </c>
      <c r="C690" s="1" t="str">
        <f ca="1">IFERROR(__xludf.DUMMYFUNCTION("GOOGLETRANSLATE('대전도시공사_청년임대주택 현황_20240630'!C690,""ko"",""en"")"),"1")</f>
        <v>1</v>
      </c>
      <c r="D690" s="1" t="str">
        <f ca="1">IFERROR(__xludf.DUMMYFUNCTION("GOOGLETRANSLATE('대전도시공사_청년임대주택 현황_20240630'!D690,""ko"",""en"")"),"907")</f>
        <v>907</v>
      </c>
      <c r="E690" s="1" t="str">
        <f ca="1">IFERROR(__xludf.DUMMYFUNCTION("GOOGLETRANSLATE('대전도시공사_청년임대주택 현황_20240630'!E690,""ko"",""en"")"),"64.993")</f>
        <v>64.993</v>
      </c>
      <c r="F690" s="1" t="str">
        <f ca="1">IFERROR(__xludf.DUMMYFUNCTION("GOOGLETRANSLATE('대전도시공사_청년임대주택 현황_20240630'!F690,""ko"",""en"")"),"22.438")</f>
        <v>22.438</v>
      </c>
      <c r="G690" s="1" t="str">
        <f ca="1">IFERROR(__xludf.DUMMYFUNCTION("GOOGLETRANSLATE('대전도시공사_청년임대주택 현황_20240630'!G690,""ko"",""en"")"),"42.554")</f>
        <v>42.554</v>
      </c>
      <c r="H690" s="1" t="str">
        <f ca="1">IFERROR(__xludf.DUMMYFUNCTION("GOOGLETRANSLATE('대전도시공사_청년임대주택 현황_20240630'!H690,""ko"",""en"")"),"Youth Rental 2nd Place")</f>
        <v>Youth Rental 2nd Place</v>
      </c>
      <c r="I690" s="1" t="str">
        <f ca="1">IFERROR(__xludf.DUMMYFUNCTION("GOOGLETRANSLATE('대전도시공사_청년임대주택 현황_20240630'!I690,""ko"",""en"")"),"2000000")</f>
        <v>2000000</v>
      </c>
      <c r="J690" s="1" t="str">
        <f ca="1">IFERROR(__xludf.DUMMYFUNCTION("GOOGLETRANSLATE('대전도시공사_청년임대주택 현황_20240630'!J690,""ko"",""en"")"),"299900")</f>
        <v>299900</v>
      </c>
    </row>
    <row r="691" spans="1:10" ht="12.5" x14ac:dyDescent="0.25">
      <c r="A691" s="1" t="str">
        <f ca="1">IFERROR(__xludf.DUMMYFUNCTION("GOOGLETRANSLATE('대전도시공사_청년임대주택 현황_20240630'!A691,""ko"",""en"")"),"Goejeong-dong 3-18 (Samyoung Building, youth rental)")</f>
        <v>Goejeong-dong 3-18 (Samyoung Building, youth rental)</v>
      </c>
      <c r="B691" s="1" t="str">
        <f ca="1">IFERROR(__xludf.DUMMYFUNCTION("GOOGLETRANSLATE('대전도시공사_청년임대주택 현황_20240630'!B691,""ko"",""en"")"),"129")</f>
        <v>129</v>
      </c>
      <c r="C691" s="1" t="str">
        <f ca="1">IFERROR(__xludf.DUMMYFUNCTION("GOOGLETRANSLATE('대전도시공사_청년임대주택 현황_20240630'!C691,""ko"",""en"")"),"1")</f>
        <v>1</v>
      </c>
      <c r="D691" s="1" t="str">
        <f ca="1">IFERROR(__xludf.DUMMYFUNCTION("GOOGLETRANSLATE('대전도시공사_청년임대주택 현황_20240630'!D691,""ko"",""en"")"),"907")</f>
        <v>907</v>
      </c>
      <c r="E691" s="1" t="str">
        <f ca="1">IFERROR(__xludf.DUMMYFUNCTION("GOOGLETRANSLATE('대전도시공사_청년임대주택 현황_20240630'!E691,""ko"",""en"")"),"64.993")</f>
        <v>64.993</v>
      </c>
      <c r="F691" s="1" t="str">
        <f ca="1">IFERROR(__xludf.DUMMYFUNCTION("GOOGLETRANSLATE('대전도시공사_청년임대주택 현황_20240630'!F691,""ko"",""en"")"),"22.438")</f>
        <v>22.438</v>
      </c>
      <c r="G691" s="1" t="str">
        <f ca="1">IFERROR(__xludf.DUMMYFUNCTION("GOOGLETRANSLATE('대전도시공사_청년임대주택 현황_20240630'!G691,""ko"",""en"")"),"42.554")</f>
        <v>42.554</v>
      </c>
      <c r="H691" s="1" t="str">
        <f ca="1">IFERROR(__xludf.DUMMYFUNCTION("GOOGLETRANSLATE('대전도시공사_청년임대주택 현황_20240630'!H691,""ko"",""en"")"),"3rd place for youth rental")</f>
        <v>3rd place for youth rental</v>
      </c>
      <c r="I691" s="1" t="str">
        <f ca="1">IFERROR(__xludf.DUMMYFUNCTION("GOOGLETRANSLATE('대전도시공사_청년임대주택 현황_20240630'!I691,""ko"",""en"")"),"2000000")</f>
        <v>2000000</v>
      </c>
      <c r="J691" s="1" t="str">
        <f ca="1">IFERROR(__xludf.DUMMYFUNCTION("GOOGLETRANSLATE('대전도시공사_청년임대주택 현황_20240630'!J691,""ko"",""en"")"),"299900")</f>
        <v>299900</v>
      </c>
    </row>
    <row r="692" spans="1:10" ht="12.5" x14ac:dyDescent="0.25">
      <c r="A692" s="1" t="str">
        <f ca="1">IFERROR(__xludf.DUMMYFUNCTION("GOOGLETRANSLATE('대전도시공사_청년임대주택 현황_20240630'!A692,""ko"",""en"")"),"Goejeong-dong 3-18 (Samyoung Building, youth rental)")</f>
        <v>Goejeong-dong 3-18 (Samyoung Building, youth rental)</v>
      </c>
      <c r="B692" s="1" t="str">
        <f ca="1">IFERROR(__xludf.DUMMYFUNCTION("GOOGLETRANSLATE('대전도시공사_청년임대주택 현황_20240630'!B692,""ko"",""en"")"),"130")</f>
        <v>130</v>
      </c>
      <c r="C692" s="1" t="str">
        <f ca="1">IFERROR(__xludf.DUMMYFUNCTION("GOOGLETRANSLATE('대전도시공사_청년임대주택 현황_20240630'!C692,""ko"",""en"")"),"1")</f>
        <v>1</v>
      </c>
      <c r="D692" s="1" t="str">
        <f ca="1">IFERROR(__xludf.DUMMYFUNCTION("GOOGLETRANSLATE('대전도시공사_청년임대주택 현황_20240630'!D692,""ko"",""en"")"),"908")</f>
        <v>908</v>
      </c>
      <c r="E692" s="1" t="str">
        <f ca="1">IFERROR(__xludf.DUMMYFUNCTION("GOOGLETRANSLATE('대전도시공사_청년임대주택 현황_20240630'!E692,""ko"",""en"")"),"64.993")</f>
        <v>64.993</v>
      </c>
      <c r="F692" s="1" t="str">
        <f ca="1">IFERROR(__xludf.DUMMYFUNCTION("GOOGLETRANSLATE('대전도시공사_청년임대주택 현황_20240630'!F692,""ko"",""en"")"),"22.438")</f>
        <v>22.438</v>
      </c>
      <c r="G692" s="1" t="str">
        <f ca="1">IFERROR(__xludf.DUMMYFUNCTION("GOOGLETRANSLATE('대전도시공사_청년임대주택 현황_20240630'!G692,""ko"",""en"")"),"42.554")</f>
        <v>42.554</v>
      </c>
      <c r="H692" s="1" t="str">
        <f ca="1">IFERROR(__xludf.DUMMYFUNCTION("GOOGLETRANSLATE('대전도시공사_청년임대주택 현황_20240630'!H692,""ko"",""en"")"),"Youth Rent 1st Place")</f>
        <v>Youth Rent 1st Place</v>
      </c>
      <c r="I692" s="1" t="str">
        <f ca="1">IFERROR(__xludf.DUMMYFUNCTION("GOOGLETRANSLATE('대전도시공사_청년임대주택 현황_20240630'!I692,""ko"",""en"")"),"1000000")</f>
        <v>1000000</v>
      </c>
      <c r="J692" s="1" t="str">
        <f ca="1">IFERROR(__xludf.DUMMYFUNCTION("GOOGLETRANSLATE('대전도시공사_청년임대주택 현황_20240630'!J692,""ko"",""en"")"),"243300")</f>
        <v>243300</v>
      </c>
    </row>
    <row r="693" spans="1:10" ht="12.5" x14ac:dyDescent="0.25">
      <c r="A693" s="1" t="str">
        <f ca="1">IFERROR(__xludf.DUMMYFUNCTION("GOOGLETRANSLATE('대전도시공사_청년임대주택 현황_20240630'!A693,""ko"",""en"")"),"Goejeong-dong 3-18 (Samyoung Building, youth rental)")</f>
        <v>Goejeong-dong 3-18 (Samyoung Building, youth rental)</v>
      </c>
      <c r="B693" s="1" t="str">
        <f ca="1">IFERROR(__xludf.DUMMYFUNCTION("GOOGLETRANSLATE('대전도시공사_청년임대주택 현황_20240630'!B693,""ko"",""en"")"),"131")</f>
        <v>131</v>
      </c>
      <c r="C693" s="1" t="str">
        <f ca="1">IFERROR(__xludf.DUMMYFUNCTION("GOOGLETRANSLATE('대전도시공사_청년임대주택 현황_20240630'!C693,""ko"",""en"")"),"1")</f>
        <v>1</v>
      </c>
      <c r="D693" s="1" t="str">
        <f ca="1">IFERROR(__xludf.DUMMYFUNCTION("GOOGLETRANSLATE('대전도시공사_청년임대주택 현황_20240630'!D693,""ko"",""en"")"),"908")</f>
        <v>908</v>
      </c>
      <c r="E693" s="1" t="str">
        <f ca="1">IFERROR(__xludf.DUMMYFUNCTION("GOOGLETRANSLATE('대전도시공사_청년임대주택 현황_20240630'!E693,""ko"",""en"")"),"64.993")</f>
        <v>64.993</v>
      </c>
      <c r="F693" s="1" t="str">
        <f ca="1">IFERROR(__xludf.DUMMYFUNCTION("GOOGLETRANSLATE('대전도시공사_청년임대주택 현황_20240630'!F693,""ko"",""en"")"),"22.438")</f>
        <v>22.438</v>
      </c>
      <c r="G693" s="1" t="str">
        <f ca="1">IFERROR(__xludf.DUMMYFUNCTION("GOOGLETRANSLATE('대전도시공사_청년임대주택 현황_20240630'!G693,""ko"",""en"")"),"42.554")</f>
        <v>42.554</v>
      </c>
      <c r="H693" s="1" t="str">
        <f ca="1">IFERROR(__xludf.DUMMYFUNCTION("GOOGLETRANSLATE('대전도시공사_청년임대주택 현황_20240630'!H693,""ko"",""en"")"),"Youth Rental 2nd Place")</f>
        <v>Youth Rental 2nd Place</v>
      </c>
      <c r="I693" s="1" t="str">
        <f ca="1">IFERROR(__xludf.DUMMYFUNCTION("GOOGLETRANSLATE('대전도시공사_청년임대주택 현황_20240630'!I693,""ko"",""en"")"),"2000000")</f>
        <v>2000000</v>
      </c>
      <c r="J693" s="1" t="str">
        <f ca="1">IFERROR(__xludf.DUMMYFUNCTION("GOOGLETRANSLATE('대전도시공사_청년임대주택 현황_20240630'!J693,""ko"",""en"")"),"299900")</f>
        <v>299900</v>
      </c>
    </row>
    <row r="694" spans="1:10" ht="12.5" x14ac:dyDescent="0.25">
      <c r="A694" s="1" t="str">
        <f ca="1">IFERROR(__xludf.DUMMYFUNCTION("GOOGLETRANSLATE('대전도시공사_청년임대주택 현황_20240630'!A694,""ko"",""en"")"),"Goejeong-dong 3-18 (Samyoung Building, youth rental)")</f>
        <v>Goejeong-dong 3-18 (Samyoung Building, youth rental)</v>
      </c>
      <c r="B694" s="1" t="str">
        <f ca="1">IFERROR(__xludf.DUMMYFUNCTION("GOOGLETRANSLATE('대전도시공사_청년임대주택 현황_20240630'!B694,""ko"",""en"")"),"132")</f>
        <v>132</v>
      </c>
      <c r="C694" s="1" t="str">
        <f ca="1">IFERROR(__xludf.DUMMYFUNCTION("GOOGLETRANSLATE('대전도시공사_청년임대주택 현황_20240630'!C694,""ko"",""en"")"),"1")</f>
        <v>1</v>
      </c>
      <c r="D694" s="1" t="str">
        <f ca="1">IFERROR(__xludf.DUMMYFUNCTION("GOOGLETRANSLATE('대전도시공사_청년임대주택 현황_20240630'!D694,""ko"",""en"")"),"908")</f>
        <v>908</v>
      </c>
      <c r="E694" s="1" t="str">
        <f ca="1">IFERROR(__xludf.DUMMYFUNCTION("GOOGLETRANSLATE('대전도시공사_청년임대주택 현황_20240630'!E694,""ko"",""en"")"),"64.993")</f>
        <v>64.993</v>
      </c>
      <c r="F694" s="1" t="str">
        <f ca="1">IFERROR(__xludf.DUMMYFUNCTION("GOOGLETRANSLATE('대전도시공사_청년임대주택 현황_20240630'!F694,""ko"",""en"")"),"22.438")</f>
        <v>22.438</v>
      </c>
      <c r="G694" s="1" t="str">
        <f ca="1">IFERROR(__xludf.DUMMYFUNCTION("GOOGLETRANSLATE('대전도시공사_청년임대주택 현황_20240630'!G694,""ko"",""en"")"),"42.554")</f>
        <v>42.554</v>
      </c>
      <c r="H694" s="1" t="str">
        <f ca="1">IFERROR(__xludf.DUMMYFUNCTION("GOOGLETRANSLATE('대전도시공사_청년임대주택 현황_20240630'!H694,""ko"",""en"")"),"3rd place for youth rental")</f>
        <v>3rd place for youth rental</v>
      </c>
      <c r="I694" s="1" t="str">
        <f ca="1">IFERROR(__xludf.DUMMYFUNCTION("GOOGLETRANSLATE('대전도시공사_청년임대주택 현황_20240630'!I694,""ko"",""en"")"),"2000000")</f>
        <v>2000000</v>
      </c>
      <c r="J694" s="1" t="str">
        <f ca="1">IFERROR(__xludf.DUMMYFUNCTION("GOOGLETRANSLATE('대전도시공사_청년임대주택 현황_20240630'!J694,""ko"",""en"")"),"299900")</f>
        <v>299900</v>
      </c>
    </row>
    <row r="695" spans="1:10" ht="12.5" x14ac:dyDescent="0.25">
      <c r="A695" s="1" t="str">
        <f ca="1">IFERROR(__xludf.DUMMYFUNCTION("GOOGLETRANSLATE('대전도시공사_청년임대주택 현황_20240630'!A695,""ko"",""en"")"),"Goejeong-dong 3-18 (Samyoung Building, youth rental)")</f>
        <v>Goejeong-dong 3-18 (Samyoung Building, youth rental)</v>
      </c>
      <c r="B695" s="1" t="str">
        <f ca="1">IFERROR(__xludf.DUMMYFUNCTION("GOOGLETRANSLATE('대전도시공사_청년임대주택 현황_20240630'!B695,""ko"",""en"")"),"148")</f>
        <v>148</v>
      </c>
      <c r="C695" s="1" t="str">
        <f ca="1">IFERROR(__xludf.DUMMYFUNCTION("GOOGLETRANSLATE('대전도시공사_청년임대주택 현황_20240630'!C695,""ko"",""en"")"),"1")</f>
        <v>1</v>
      </c>
      <c r="D695" s="1" t="str">
        <f ca="1">IFERROR(__xludf.DUMMYFUNCTION("GOOGLETRANSLATE('대전도시공사_청년임대주택 현황_20240630'!D695,""ko"",""en"")"),"1001")</f>
        <v>1001</v>
      </c>
      <c r="E695" s="1" t="str">
        <f ca="1">IFERROR(__xludf.DUMMYFUNCTION("GOOGLETRANSLATE('대전도시공사_청년임대주택 현황_20240630'!E695,""ko"",""en"")"),"97.512")</f>
        <v>97.512</v>
      </c>
      <c r="F695" s="1" t="str">
        <f ca="1">IFERROR(__xludf.DUMMYFUNCTION("GOOGLETRANSLATE('대전도시공사_청년임대주택 현황_20240630'!F695,""ko"",""en"")"),"33.695")</f>
        <v>33.695</v>
      </c>
      <c r="G695" s="1" t="str">
        <f ca="1">IFERROR(__xludf.DUMMYFUNCTION("GOOGLETRANSLATE('대전도시공사_청년임대주택 현황_20240630'!G695,""ko"",""en"")"),"63.816")</f>
        <v>63.816</v>
      </c>
      <c r="H695" s="1" t="str">
        <f ca="1">IFERROR(__xludf.DUMMYFUNCTION("GOOGLETRANSLATE('대전도시공사_청년임대주택 현황_20240630'!H695,""ko"",""en"")"),"Youth Rent 1st Place")</f>
        <v>Youth Rent 1st Place</v>
      </c>
      <c r="I695" s="1" t="str">
        <f ca="1">IFERROR(__xludf.DUMMYFUNCTION("GOOGLETRANSLATE('대전도시공사_청년임대주택 현황_20240630'!I695,""ko"",""en"")"),"1000000")</f>
        <v>1000000</v>
      </c>
      <c r="J695" s="1" t="str">
        <f ca="1">IFERROR(__xludf.DUMMYFUNCTION("GOOGLETRANSLATE('대전도시공사_청년임대주택 현황_20240630'!J695,""ko"",""en"")"),"350800")</f>
        <v>350800</v>
      </c>
    </row>
    <row r="696" spans="1:10" ht="12.5" x14ac:dyDescent="0.25">
      <c r="A696" s="1" t="str">
        <f ca="1">IFERROR(__xludf.DUMMYFUNCTION("GOOGLETRANSLATE('대전도시공사_청년임대주택 현황_20240630'!A696,""ko"",""en"")"),"Goejeong-dong 3-18 (Samyoung Building, youth rental)")</f>
        <v>Goejeong-dong 3-18 (Samyoung Building, youth rental)</v>
      </c>
      <c r="B696" s="1" t="str">
        <f ca="1">IFERROR(__xludf.DUMMYFUNCTION("GOOGLETRANSLATE('대전도시공사_청년임대주택 현황_20240630'!B696,""ko"",""en"")"),"149")</f>
        <v>149</v>
      </c>
      <c r="C696" s="1" t="str">
        <f ca="1">IFERROR(__xludf.DUMMYFUNCTION("GOOGLETRANSLATE('대전도시공사_청년임대주택 현황_20240630'!C696,""ko"",""en"")"),"1")</f>
        <v>1</v>
      </c>
      <c r="D696" s="1" t="str">
        <f ca="1">IFERROR(__xludf.DUMMYFUNCTION("GOOGLETRANSLATE('대전도시공사_청년임대주택 현황_20240630'!D696,""ko"",""en"")"),"1001")</f>
        <v>1001</v>
      </c>
      <c r="E696" s="1" t="str">
        <f ca="1">IFERROR(__xludf.DUMMYFUNCTION("GOOGLETRANSLATE('대전도시공사_청년임대주택 현황_20240630'!E696,""ko"",""en"")"),"97.512")</f>
        <v>97.512</v>
      </c>
      <c r="F696" s="1" t="str">
        <f ca="1">IFERROR(__xludf.DUMMYFUNCTION("GOOGLETRANSLATE('대전도시공사_청년임대주택 현황_20240630'!F696,""ko"",""en"")"),"33.695")</f>
        <v>33.695</v>
      </c>
      <c r="G696" s="1" t="str">
        <f ca="1">IFERROR(__xludf.DUMMYFUNCTION("GOOGLETRANSLATE('대전도시공사_청년임대주택 현황_20240630'!G696,""ko"",""en"")"),"63.816")</f>
        <v>63.816</v>
      </c>
      <c r="H696" s="1" t="str">
        <f ca="1">IFERROR(__xludf.DUMMYFUNCTION("GOOGLETRANSLATE('대전도시공사_청년임대주택 현황_20240630'!H696,""ko"",""en"")"),"Youth Rental 2nd Place")</f>
        <v>Youth Rental 2nd Place</v>
      </c>
      <c r="I696" s="1" t="str">
        <f ca="1">IFERROR(__xludf.DUMMYFUNCTION("GOOGLETRANSLATE('대전도시공사_청년임대주택 현황_20240630'!I696,""ko"",""en"")"),"2000000")</f>
        <v>2000000</v>
      </c>
      <c r="J696" s="1" t="str">
        <f ca="1">IFERROR(__xludf.DUMMYFUNCTION("GOOGLETRANSLATE('대전도시공사_청년임대주택 현황_20240630'!J696,""ko"",""en"")"),"434300")</f>
        <v>434300</v>
      </c>
    </row>
    <row r="697" spans="1:10" ht="12.5" x14ac:dyDescent="0.25">
      <c r="A697" s="1" t="str">
        <f ca="1">IFERROR(__xludf.DUMMYFUNCTION("GOOGLETRANSLATE('대전도시공사_청년임대주택 현황_20240630'!A697,""ko"",""en"")"),"Goejeong-dong 3-18 (Samyoung Building, youth rental)")</f>
        <v>Goejeong-dong 3-18 (Samyoung Building, youth rental)</v>
      </c>
      <c r="B697" s="1" t="str">
        <f ca="1">IFERROR(__xludf.DUMMYFUNCTION("GOOGLETRANSLATE('대전도시공사_청년임대주택 현황_20240630'!B697,""ko"",""en"")"),"150")</f>
        <v>150</v>
      </c>
      <c r="C697" s="1" t="str">
        <f ca="1">IFERROR(__xludf.DUMMYFUNCTION("GOOGLETRANSLATE('대전도시공사_청년임대주택 현황_20240630'!C697,""ko"",""en"")"),"1")</f>
        <v>1</v>
      </c>
      <c r="D697" s="1" t="str">
        <f ca="1">IFERROR(__xludf.DUMMYFUNCTION("GOOGLETRANSLATE('대전도시공사_청년임대주택 현황_20240630'!D697,""ko"",""en"")"),"1001")</f>
        <v>1001</v>
      </c>
      <c r="E697" s="1" t="str">
        <f ca="1">IFERROR(__xludf.DUMMYFUNCTION("GOOGLETRANSLATE('대전도시공사_청년임대주택 현황_20240630'!E697,""ko"",""en"")"),"97.512")</f>
        <v>97.512</v>
      </c>
      <c r="F697" s="1" t="str">
        <f ca="1">IFERROR(__xludf.DUMMYFUNCTION("GOOGLETRANSLATE('대전도시공사_청년임대주택 현황_20240630'!F697,""ko"",""en"")"),"33.695")</f>
        <v>33.695</v>
      </c>
      <c r="G697" s="1" t="str">
        <f ca="1">IFERROR(__xludf.DUMMYFUNCTION("GOOGLETRANSLATE('대전도시공사_청년임대주택 현황_20240630'!G697,""ko"",""en"")"),"63.816")</f>
        <v>63.816</v>
      </c>
      <c r="H697" s="1" t="str">
        <f ca="1">IFERROR(__xludf.DUMMYFUNCTION("GOOGLETRANSLATE('대전도시공사_청년임대주택 현황_20240630'!H697,""ko"",""en"")"),"3rd place for youth rental")</f>
        <v>3rd place for youth rental</v>
      </c>
      <c r="I697" s="1" t="str">
        <f ca="1">IFERROR(__xludf.DUMMYFUNCTION("GOOGLETRANSLATE('대전도시공사_청년임대주택 현황_20240630'!I697,""ko"",""en"")"),"2000000")</f>
        <v>2000000</v>
      </c>
      <c r="J697" s="1" t="str">
        <f ca="1">IFERROR(__xludf.DUMMYFUNCTION("GOOGLETRANSLATE('대전도시공사_청년임대주택 현황_20240630'!J697,""ko"",""en"")"),"434300")</f>
        <v>434300</v>
      </c>
    </row>
    <row r="698" spans="1:10" ht="12.5" x14ac:dyDescent="0.25">
      <c r="A698" s="1" t="str">
        <f ca="1">IFERROR(__xludf.DUMMYFUNCTION("GOOGLETRANSLATE('대전도시공사_청년임대주택 현황_20240630'!A698,""ko"",""en"")"),"Goejeong-dong 3-18 (Samyoung Building, youth rental)")</f>
        <v>Goejeong-dong 3-18 (Samyoung Building, youth rental)</v>
      </c>
      <c r="B698" s="1" t="str">
        <f ca="1">IFERROR(__xludf.DUMMYFUNCTION("GOOGLETRANSLATE('대전도시공사_청년임대주택 현황_20240630'!B698,""ko"",""en"")"),"151")</f>
        <v>151</v>
      </c>
      <c r="C698" s="1" t="str">
        <f ca="1">IFERROR(__xludf.DUMMYFUNCTION("GOOGLETRANSLATE('대전도시공사_청년임대주택 현황_20240630'!C698,""ko"",""en"")"),"1")</f>
        <v>1</v>
      </c>
      <c r="D698" s="1" t="str">
        <f ca="1">IFERROR(__xludf.DUMMYFUNCTION("GOOGLETRANSLATE('대전도시공사_청년임대주택 현황_20240630'!D698,""ko"",""en"")"),"1002")</f>
        <v>1002</v>
      </c>
      <c r="E698" s="1" t="str">
        <f ca="1">IFERROR(__xludf.DUMMYFUNCTION("GOOGLETRANSLATE('대전도시공사_청년임대주택 현황_20240630'!E698,""ko"",""en"")"),"64.993")</f>
        <v>64.993</v>
      </c>
      <c r="F698" s="1" t="str">
        <f ca="1">IFERROR(__xludf.DUMMYFUNCTION("GOOGLETRANSLATE('대전도시공사_청년임대주택 현황_20240630'!F698,""ko"",""en"")"),"22.438")</f>
        <v>22.438</v>
      </c>
      <c r="G698" s="1" t="str">
        <f ca="1">IFERROR(__xludf.DUMMYFUNCTION("GOOGLETRANSLATE('대전도시공사_청년임대주택 현황_20240630'!G698,""ko"",""en"")"),"42.554")</f>
        <v>42.554</v>
      </c>
      <c r="H698" s="1" t="str">
        <f ca="1">IFERROR(__xludf.DUMMYFUNCTION("GOOGLETRANSLATE('대전도시공사_청년임대주택 현황_20240630'!H698,""ko"",""en"")"),"Youth Rent 1st Place")</f>
        <v>Youth Rent 1st Place</v>
      </c>
      <c r="I698" s="1" t="str">
        <f ca="1">IFERROR(__xludf.DUMMYFUNCTION("GOOGLETRANSLATE('대전도시공사_청년임대주택 현황_20240630'!I698,""ko"",""en"")"),"1000000")</f>
        <v>1000000</v>
      </c>
      <c r="J698" s="1" t="str">
        <f ca="1">IFERROR(__xludf.DUMMYFUNCTION("GOOGLETRANSLATE('대전도시공사_청년임대주택 현황_20240630'!J698,""ko"",""en"")"),"245800")</f>
        <v>245800</v>
      </c>
    </row>
    <row r="699" spans="1:10" ht="12.5" x14ac:dyDescent="0.25">
      <c r="A699" s="1" t="str">
        <f ca="1">IFERROR(__xludf.DUMMYFUNCTION("GOOGLETRANSLATE('대전도시공사_청년임대주택 현황_20240630'!A699,""ko"",""en"")"),"Goejeong-dong 3-18 (Samyoung Building, youth rental)")</f>
        <v>Goejeong-dong 3-18 (Samyoung Building, youth rental)</v>
      </c>
      <c r="B699" s="1" t="str">
        <f ca="1">IFERROR(__xludf.DUMMYFUNCTION("GOOGLETRANSLATE('대전도시공사_청년임대주택 현황_20240630'!B699,""ko"",""en"")"),"152")</f>
        <v>152</v>
      </c>
      <c r="C699" s="1" t="str">
        <f ca="1">IFERROR(__xludf.DUMMYFUNCTION("GOOGLETRANSLATE('대전도시공사_청년임대주택 현황_20240630'!C699,""ko"",""en"")"),"1")</f>
        <v>1</v>
      </c>
      <c r="D699" s="1" t="str">
        <f ca="1">IFERROR(__xludf.DUMMYFUNCTION("GOOGLETRANSLATE('대전도시공사_청년임대주택 현황_20240630'!D699,""ko"",""en"")"),"1002")</f>
        <v>1002</v>
      </c>
      <c r="E699" s="1" t="str">
        <f ca="1">IFERROR(__xludf.DUMMYFUNCTION("GOOGLETRANSLATE('대전도시공사_청년임대주택 현황_20240630'!E699,""ko"",""en"")"),"64.993")</f>
        <v>64.993</v>
      </c>
      <c r="F699" s="1" t="str">
        <f ca="1">IFERROR(__xludf.DUMMYFUNCTION("GOOGLETRANSLATE('대전도시공사_청년임대주택 현황_20240630'!F699,""ko"",""en"")"),"22.438")</f>
        <v>22.438</v>
      </c>
      <c r="G699" s="1" t="str">
        <f ca="1">IFERROR(__xludf.DUMMYFUNCTION("GOOGLETRANSLATE('대전도시공사_청년임대주택 현황_20240630'!G699,""ko"",""en"")"),"42.554")</f>
        <v>42.554</v>
      </c>
      <c r="H699" s="1" t="str">
        <f ca="1">IFERROR(__xludf.DUMMYFUNCTION("GOOGLETRANSLATE('대전도시공사_청년임대주택 현황_20240630'!H699,""ko"",""en"")"),"Youth Rental 2nd Place")</f>
        <v>Youth Rental 2nd Place</v>
      </c>
      <c r="I699" s="1" t="str">
        <f ca="1">IFERROR(__xludf.DUMMYFUNCTION("GOOGLETRANSLATE('대전도시공사_청년임대주택 현황_20240630'!I699,""ko"",""en"")"),"2000000")</f>
        <v>2000000</v>
      </c>
      <c r="J699" s="1" t="str">
        <f ca="1">IFERROR(__xludf.DUMMYFUNCTION("GOOGLETRANSLATE('대전도시공사_청년임대주택 현황_20240630'!J699,""ko"",""en"")"),"303000")</f>
        <v>303000</v>
      </c>
    </row>
    <row r="700" spans="1:10" ht="12.5" x14ac:dyDescent="0.25">
      <c r="A700" s="1" t="str">
        <f ca="1">IFERROR(__xludf.DUMMYFUNCTION("GOOGLETRANSLATE('대전도시공사_청년임대주택 현황_20240630'!A700,""ko"",""en"")"),"Goejeong-dong 3-18 (Samyoung Building, youth rental)")</f>
        <v>Goejeong-dong 3-18 (Samyoung Building, youth rental)</v>
      </c>
      <c r="B700" s="1" t="str">
        <f ca="1">IFERROR(__xludf.DUMMYFUNCTION("GOOGLETRANSLATE('대전도시공사_청년임대주택 현황_20240630'!B700,""ko"",""en"")"),"153")</f>
        <v>153</v>
      </c>
      <c r="C700" s="1" t="str">
        <f ca="1">IFERROR(__xludf.DUMMYFUNCTION("GOOGLETRANSLATE('대전도시공사_청년임대주택 현황_20240630'!C700,""ko"",""en"")"),"1")</f>
        <v>1</v>
      </c>
      <c r="D700" s="1" t="str">
        <f ca="1">IFERROR(__xludf.DUMMYFUNCTION("GOOGLETRANSLATE('대전도시공사_청년임대주택 현황_20240630'!D700,""ko"",""en"")"),"1002")</f>
        <v>1002</v>
      </c>
      <c r="E700" s="1" t="str">
        <f ca="1">IFERROR(__xludf.DUMMYFUNCTION("GOOGLETRANSLATE('대전도시공사_청년임대주택 현황_20240630'!E700,""ko"",""en"")"),"64.993")</f>
        <v>64.993</v>
      </c>
      <c r="F700" s="1" t="str">
        <f ca="1">IFERROR(__xludf.DUMMYFUNCTION("GOOGLETRANSLATE('대전도시공사_청년임대주택 현황_20240630'!F700,""ko"",""en"")"),"22.438")</f>
        <v>22.438</v>
      </c>
      <c r="G700" s="1" t="str">
        <f ca="1">IFERROR(__xludf.DUMMYFUNCTION("GOOGLETRANSLATE('대전도시공사_청년임대주택 현황_20240630'!G700,""ko"",""en"")"),"42.554")</f>
        <v>42.554</v>
      </c>
      <c r="H700" s="1" t="str">
        <f ca="1">IFERROR(__xludf.DUMMYFUNCTION("GOOGLETRANSLATE('대전도시공사_청년임대주택 현황_20240630'!H700,""ko"",""en"")"),"3rd place for youth rental")</f>
        <v>3rd place for youth rental</v>
      </c>
      <c r="I700" s="1" t="str">
        <f ca="1">IFERROR(__xludf.DUMMYFUNCTION("GOOGLETRANSLATE('대전도시공사_청년임대주택 현황_20240630'!I700,""ko"",""en"")"),"2000000")</f>
        <v>2000000</v>
      </c>
      <c r="J700" s="1" t="str">
        <f ca="1">IFERROR(__xludf.DUMMYFUNCTION("GOOGLETRANSLATE('대전도시공사_청년임대주택 현황_20240630'!J700,""ko"",""en"")"),"303000")</f>
        <v>303000</v>
      </c>
    </row>
    <row r="701" spans="1:10" ht="12.5" x14ac:dyDescent="0.25">
      <c r="A701" s="1" t="str">
        <f ca="1">IFERROR(__xludf.DUMMYFUNCTION("GOOGLETRANSLATE('대전도시공사_청년임대주택 현황_20240630'!A701,""ko"",""en"")"),"Goejeong-dong 3-18 (Samyoung Building, youth rental)")</f>
        <v>Goejeong-dong 3-18 (Samyoung Building, youth rental)</v>
      </c>
      <c r="B701" s="1" t="str">
        <f ca="1">IFERROR(__xludf.DUMMYFUNCTION("GOOGLETRANSLATE('대전도시공사_청년임대주택 현황_20240630'!B701,""ko"",""en"")"),"154")</f>
        <v>154</v>
      </c>
      <c r="C701" s="1" t="str">
        <f ca="1">IFERROR(__xludf.DUMMYFUNCTION("GOOGLETRANSLATE('대전도시공사_청년임대주택 현황_20240630'!C701,""ko"",""en"")"),"1")</f>
        <v>1</v>
      </c>
      <c r="D701" s="1" t="str">
        <f ca="1">IFERROR(__xludf.DUMMYFUNCTION("GOOGLETRANSLATE('대전도시공사_청년임대주택 현황_20240630'!D701,""ko"",""en"")"),"1003")</f>
        <v>1003</v>
      </c>
      <c r="E701" s="1" t="str">
        <f ca="1">IFERROR(__xludf.DUMMYFUNCTION("GOOGLETRANSLATE('대전도시공사_청년임대주택 현황_20240630'!E701,""ko"",""en"")"),"64.993")</f>
        <v>64.993</v>
      </c>
      <c r="F701" s="1" t="str">
        <f ca="1">IFERROR(__xludf.DUMMYFUNCTION("GOOGLETRANSLATE('대전도시공사_청년임대주택 현황_20240630'!F701,""ko"",""en"")"),"22.438")</f>
        <v>22.438</v>
      </c>
      <c r="G701" s="1" t="str">
        <f ca="1">IFERROR(__xludf.DUMMYFUNCTION("GOOGLETRANSLATE('대전도시공사_청년임대주택 현황_20240630'!G701,""ko"",""en"")"),"42.554")</f>
        <v>42.554</v>
      </c>
      <c r="H701" s="1" t="str">
        <f ca="1">IFERROR(__xludf.DUMMYFUNCTION("GOOGLETRANSLATE('대전도시공사_청년임대주택 현황_20240630'!H701,""ko"",""en"")"),"Youth Rent 1st Place")</f>
        <v>Youth Rent 1st Place</v>
      </c>
      <c r="I701" s="1" t="str">
        <f ca="1">IFERROR(__xludf.DUMMYFUNCTION("GOOGLETRANSLATE('대전도시공사_청년임대주택 현황_20240630'!I701,""ko"",""en"")"),"1000000")</f>
        <v>1000000</v>
      </c>
      <c r="J701" s="1" t="str">
        <f ca="1">IFERROR(__xludf.DUMMYFUNCTION("GOOGLETRANSLATE('대전도시공사_청년임대주택 현황_20240630'!J701,""ko"",""en"")"),"245800")</f>
        <v>245800</v>
      </c>
    </row>
    <row r="702" spans="1:10" ht="12.5" x14ac:dyDescent="0.25">
      <c r="A702" s="1" t="str">
        <f ca="1">IFERROR(__xludf.DUMMYFUNCTION("GOOGLETRANSLATE('대전도시공사_청년임대주택 현황_20240630'!A702,""ko"",""en"")"),"Goejeong-dong 3-18 (Samyoung Building, youth rental)")</f>
        <v>Goejeong-dong 3-18 (Samyoung Building, youth rental)</v>
      </c>
      <c r="B702" s="1" t="str">
        <f ca="1">IFERROR(__xludf.DUMMYFUNCTION("GOOGLETRANSLATE('대전도시공사_청년임대주택 현황_20240630'!B702,""ko"",""en"")"),"155")</f>
        <v>155</v>
      </c>
      <c r="C702" s="1" t="str">
        <f ca="1">IFERROR(__xludf.DUMMYFUNCTION("GOOGLETRANSLATE('대전도시공사_청년임대주택 현황_20240630'!C702,""ko"",""en"")"),"1")</f>
        <v>1</v>
      </c>
      <c r="D702" s="1" t="str">
        <f ca="1">IFERROR(__xludf.DUMMYFUNCTION("GOOGLETRANSLATE('대전도시공사_청년임대주택 현황_20240630'!D702,""ko"",""en"")"),"1003")</f>
        <v>1003</v>
      </c>
      <c r="E702" s="1" t="str">
        <f ca="1">IFERROR(__xludf.DUMMYFUNCTION("GOOGLETRANSLATE('대전도시공사_청년임대주택 현황_20240630'!E702,""ko"",""en"")"),"64.993")</f>
        <v>64.993</v>
      </c>
      <c r="F702" s="1" t="str">
        <f ca="1">IFERROR(__xludf.DUMMYFUNCTION("GOOGLETRANSLATE('대전도시공사_청년임대주택 현황_20240630'!F702,""ko"",""en"")"),"22.438")</f>
        <v>22.438</v>
      </c>
      <c r="G702" s="1" t="str">
        <f ca="1">IFERROR(__xludf.DUMMYFUNCTION("GOOGLETRANSLATE('대전도시공사_청년임대주택 현황_20240630'!G702,""ko"",""en"")"),"42.554")</f>
        <v>42.554</v>
      </c>
      <c r="H702" s="1" t="str">
        <f ca="1">IFERROR(__xludf.DUMMYFUNCTION("GOOGLETRANSLATE('대전도시공사_청년임대주택 현황_20240630'!H702,""ko"",""en"")"),"Youth Rental 2nd Place")</f>
        <v>Youth Rental 2nd Place</v>
      </c>
      <c r="I702" s="1" t="str">
        <f ca="1">IFERROR(__xludf.DUMMYFUNCTION("GOOGLETRANSLATE('대전도시공사_청년임대주택 현황_20240630'!I702,""ko"",""en"")"),"2000000")</f>
        <v>2000000</v>
      </c>
      <c r="J702" s="1" t="str">
        <f ca="1">IFERROR(__xludf.DUMMYFUNCTION("GOOGLETRANSLATE('대전도시공사_청년임대주택 현황_20240630'!J702,""ko"",""en"")"),"303000")</f>
        <v>303000</v>
      </c>
    </row>
    <row r="703" spans="1:10" ht="12.5" x14ac:dyDescent="0.25">
      <c r="A703" s="1" t="str">
        <f ca="1">IFERROR(__xludf.DUMMYFUNCTION("GOOGLETRANSLATE('대전도시공사_청년임대주택 현황_20240630'!A703,""ko"",""en"")"),"Goejeong-dong 3-18 (Samyoung Building, youth rental)")</f>
        <v>Goejeong-dong 3-18 (Samyoung Building, youth rental)</v>
      </c>
      <c r="B703" s="1" t="str">
        <f ca="1">IFERROR(__xludf.DUMMYFUNCTION("GOOGLETRANSLATE('대전도시공사_청년임대주택 현황_20240630'!B703,""ko"",""en"")"),"156")</f>
        <v>156</v>
      </c>
      <c r="C703" s="1" t="str">
        <f ca="1">IFERROR(__xludf.DUMMYFUNCTION("GOOGLETRANSLATE('대전도시공사_청년임대주택 현황_20240630'!C703,""ko"",""en"")"),"1")</f>
        <v>1</v>
      </c>
      <c r="D703" s="1" t="str">
        <f ca="1">IFERROR(__xludf.DUMMYFUNCTION("GOOGLETRANSLATE('대전도시공사_청년임대주택 현황_20240630'!D703,""ko"",""en"")"),"1003")</f>
        <v>1003</v>
      </c>
      <c r="E703" s="1" t="str">
        <f ca="1">IFERROR(__xludf.DUMMYFUNCTION("GOOGLETRANSLATE('대전도시공사_청년임대주택 현황_20240630'!E703,""ko"",""en"")"),"64.993")</f>
        <v>64.993</v>
      </c>
      <c r="F703" s="1" t="str">
        <f ca="1">IFERROR(__xludf.DUMMYFUNCTION("GOOGLETRANSLATE('대전도시공사_청년임대주택 현황_20240630'!F703,""ko"",""en"")"),"22.438")</f>
        <v>22.438</v>
      </c>
      <c r="G703" s="1" t="str">
        <f ca="1">IFERROR(__xludf.DUMMYFUNCTION("GOOGLETRANSLATE('대전도시공사_청년임대주택 현황_20240630'!G703,""ko"",""en"")"),"42.554")</f>
        <v>42.554</v>
      </c>
      <c r="H703" s="1" t="str">
        <f ca="1">IFERROR(__xludf.DUMMYFUNCTION("GOOGLETRANSLATE('대전도시공사_청년임대주택 현황_20240630'!H703,""ko"",""en"")"),"3rd place for youth rental")</f>
        <v>3rd place for youth rental</v>
      </c>
      <c r="I703" s="1" t="str">
        <f ca="1">IFERROR(__xludf.DUMMYFUNCTION("GOOGLETRANSLATE('대전도시공사_청년임대주택 현황_20240630'!I703,""ko"",""en"")"),"2000000")</f>
        <v>2000000</v>
      </c>
      <c r="J703" s="1" t="str">
        <f ca="1">IFERROR(__xludf.DUMMYFUNCTION("GOOGLETRANSLATE('대전도시공사_청년임대주택 현황_20240630'!J703,""ko"",""en"")"),"303000")</f>
        <v>303000</v>
      </c>
    </row>
    <row r="704" spans="1:10" ht="12.5" x14ac:dyDescent="0.25">
      <c r="A704" s="1" t="str">
        <f ca="1">IFERROR(__xludf.DUMMYFUNCTION("GOOGLETRANSLATE('대전도시공사_청년임대주택 현황_20240630'!A704,""ko"",""en"")"),"Goejeong-dong 3-18 (Samyoung Building, youth rental)")</f>
        <v>Goejeong-dong 3-18 (Samyoung Building, youth rental)</v>
      </c>
      <c r="B704" s="1" t="str">
        <f ca="1">IFERROR(__xludf.DUMMYFUNCTION("GOOGLETRANSLATE('대전도시공사_청년임대주택 현황_20240630'!B704,""ko"",""en"")"),"157")</f>
        <v>157</v>
      </c>
      <c r="C704" s="1" t="str">
        <f ca="1">IFERROR(__xludf.DUMMYFUNCTION("GOOGLETRANSLATE('대전도시공사_청년임대주택 현황_20240630'!C704,""ko"",""en"")"),"1")</f>
        <v>1</v>
      </c>
      <c r="D704" s="1" t="str">
        <f ca="1">IFERROR(__xludf.DUMMYFUNCTION("GOOGLETRANSLATE('대전도시공사_청년임대주택 현황_20240630'!D704,""ko"",""en"")"),"1004")</f>
        <v>1004</v>
      </c>
      <c r="E704" s="1" t="str">
        <f ca="1">IFERROR(__xludf.DUMMYFUNCTION("GOOGLETRANSLATE('대전도시공사_청년임대주택 현황_20240630'!E704,""ko"",""en"")"),"64.993")</f>
        <v>64.993</v>
      </c>
      <c r="F704" s="1" t="str">
        <f ca="1">IFERROR(__xludf.DUMMYFUNCTION("GOOGLETRANSLATE('대전도시공사_청년임대주택 현황_20240630'!F704,""ko"",""en"")"),"22.438")</f>
        <v>22.438</v>
      </c>
      <c r="G704" s="1" t="str">
        <f ca="1">IFERROR(__xludf.DUMMYFUNCTION("GOOGLETRANSLATE('대전도시공사_청년임대주택 현황_20240630'!G704,""ko"",""en"")"),"42.554")</f>
        <v>42.554</v>
      </c>
      <c r="H704" s="1" t="str">
        <f ca="1">IFERROR(__xludf.DUMMYFUNCTION("GOOGLETRANSLATE('대전도시공사_청년임대주택 현황_20240630'!H704,""ko"",""en"")"),"Youth Rent 1st Place")</f>
        <v>Youth Rent 1st Place</v>
      </c>
      <c r="I704" s="1" t="str">
        <f ca="1">IFERROR(__xludf.DUMMYFUNCTION("GOOGLETRANSLATE('대전도시공사_청년임대주택 현황_20240630'!I704,""ko"",""en"")"),"1000000")</f>
        <v>1000000</v>
      </c>
      <c r="J704" s="1" t="str">
        <f ca="1">IFERROR(__xludf.DUMMYFUNCTION("GOOGLETRANSLATE('대전도시공사_청년임대주택 현황_20240630'!J704,""ko"",""en"")"),"245800")</f>
        <v>245800</v>
      </c>
    </row>
    <row r="705" spans="1:10" ht="12.5" x14ac:dyDescent="0.25">
      <c r="A705" s="1" t="str">
        <f ca="1">IFERROR(__xludf.DUMMYFUNCTION("GOOGLETRANSLATE('대전도시공사_청년임대주택 현황_20240630'!A705,""ko"",""en"")"),"Goejeong-dong 3-18 (Samyoung Building, youth rental)")</f>
        <v>Goejeong-dong 3-18 (Samyoung Building, youth rental)</v>
      </c>
      <c r="B705" s="1" t="str">
        <f ca="1">IFERROR(__xludf.DUMMYFUNCTION("GOOGLETRANSLATE('대전도시공사_청년임대주택 현황_20240630'!B705,""ko"",""en"")"),"158")</f>
        <v>158</v>
      </c>
      <c r="C705" s="1" t="str">
        <f ca="1">IFERROR(__xludf.DUMMYFUNCTION("GOOGLETRANSLATE('대전도시공사_청년임대주택 현황_20240630'!C705,""ko"",""en"")"),"1")</f>
        <v>1</v>
      </c>
      <c r="D705" s="1" t="str">
        <f ca="1">IFERROR(__xludf.DUMMYFUNCTION("GOOGLETRANSLATE('대전도시공사_청년임대주택 현황_20240630'!D705,""ko"",""en"")"),"1004")</f>
        <v>1004</v>
      </c>
      <c r="E705" s="1" t="str">
        <f ca="1">IFERROR(__xludf.DUMMYFUNCTION("GOOGLETRANSLATE('대전도시공사_청년임대주택 현황_20240630'!E705,""ko"",""en"")"),"64.993")</f>
        <v>64.993</v>
      </c>
      <c r="F705" s="1" t="str">
        <f ca="1">IFERROR(__xludf.DUMMYFUNCTION("GOOGLETRANSLATE('대전도시공사_청년임대주택 현황_20240630'!F705,""ko"",""en"")"),"22.438")</f>
        <v>22.438</v>
      </c>
      <c r="G705" s="1" t="str">
        <f ca="1">IFERROR(__xludf.DUMMYFUNCTION("GOOGLETRANSLATE('대전도시공사_청년임대주택 현황_20240630'!G705,""ko"",""en"")"),"42.554")</f>
        <v>42.554</v>
      </c>
      <c r="H705" s="1" t="str">
        <f ca="1">IFERROR(__xludf.DUMMYFUNCTION("GOOGLETRANSLATE('대전도시공사_청년임대주택 현황_20240630'!H705,""ko"",""en"")"),"Youth Rental 2nd Place")</f>
        <v>Youth Rental 2nd Place</v>
      </c>
      <c r="I705" s="1" t="str">
        <f ca="1">IFERROR(__xludf.DUMMYFUNCTION("GOOGLETRANSLATE('대전도시공사_청년임대주택 현황_20240630'!I705,""ko"",""en"")"),"2000000")</f>
        <v>2000000</v>
      </c>
      <c r="J705" s="1" t="str">
        <f ca="1">IFERROR(__xludf.DUMMYFUNCTION("GOOGLETRANSLATE('대전도시공사_청년임대주택 현황_20240630'!J705,""ko"",""en"")"),"303000")</f>
        <v>303000</v>
      </c>
    </row>
    <row r="706" spans="1:10" ht="12.5" x14ac:dyDescent="0.25">
      <c r="A706" s="1" t="str">
        <f ca="1">IFERROR(__xludf.DUMMYFUNCTION("GOOGLETRANSLATE('대전도시공사_청년임대주택 현황_20240630'!A706,""ko"",""en"")"),"Goejeong-dong 3-18 (Samyoung Building, youth rental)")</f>
        <v>Goejeong-dong 3-18 (Samyoung Building, youth rental)</v>
      </c>
      <c r="B706" s="1" t="str">
        <f ca="1">IFERROR(__xludf.DUMMYFUNCTION("GOOGLETRANSLATE('대전도시공사_청년임대주택 현황_20240630'!B706,""ko"",""en"")"),"159")</f>
        <v>159</v>
      </c>
      <c r="C706" s="1" t="str">
        <f ca="1">IFERROR(__xludf.DUMMYFUNCTION("GOOGLETRANSLATE('대전도시공사_청년임대주택 현황_20240630'!C706,""ko"",""en"")"),"1")</f>
        <v>1</v>
      </c>
      <c r="D706" s="1" t="str">
        <f ca="1">IFERROR(__xludf.DUMMYFUNCTION("GOOGLETRANSLATE('대전도시공사_청년임대주택 현황_20240630'!D706,""ko"",""en"")"),"1004")</f>
        <v>1004</v>
      </c>
      <c r="E706" s="1" t="str">
        <f ca="1">IFERROR(__xludf.DUMMYFUNCTION("GOOGLETRANSLATE('대전도시공사_청년임대주택 현황_20240630'!E706,""ko"",""en"")"),"64.993")</f>
        <v>64.993</v>
      </c>
      <c r="F706" s="1" t="str">
        <f ca="1">IFERROR(__xludf.DUMMYFUNCTION("GOOGLETRANSLATE('대전도시공사_청년임대주택 현황_20240630'!F706,""ko"",""en"")"),"22.438")</f>
        <v>22.438</v>
      </c>
      <c r="G706" s="1" t="str">
        <f ca="1">IFERROR(__xludf.DUMMYFUNCTION("GOOGLETRANSLATE('대전도시공사_청년임대주택 현황_20240630'!G706,""ko"",""en"")"),"42.554")</f>
        <v>42.554</v>
      </c>
      <c r="H706" s="1" t="str">
        <f ca="1">IFERROR(__xludf.DUMMYFUNCTION("GOOGLETRANSLATE('대전도시공사_청년임대주택 현황_20240630'!H706,""ko"",""en"")"),"3rd place for youth rental")</f>
        <v>3rd place for youth rental</v>
      </c>
      <c r="I706" s="1" t="str">
        <f ca="1">IFERROR(__xludf.DUMMYFUNCTION("GOOGLETRANSLATE('대전도시공사_청년임대주택 현황_20240630'!I706,""ko"",""en"")"),"2000000")</f>
        <v>2000000</v>
      </c>
      <c r="J706" s="1" t="str">
        <f ca="1">IFERROR(__xludf.DUMMYFUNCTION("GOOGLETRANSLATE('대전도시공사_청년임대주택 현황_20240630'!J706,""ko"",""en"")"),"303000")</f>
        <v>303000</v>
      </c>
    </row>
    <row r="707" spans="1:10" ht="12.5" x14ac:dyDescent="0.25">
      <c r="A707" s="1" t="str">
        <f ca="1">IFERROR(__xludf.DUMMYFUNCTION("GOOGLETRANSLATE('대전도시공사_청년임대주택 현황_20240630'!A707,""ko"",""en"")"),"Goejeong-dong 3-18 (Samyoung Building, youth rental)")</f>
        <v>Goejeong-dong 3-18 (Samyoung Building, youth rental)</v>
      </c>
      <c r="B707" s="1" t="str">
        <f ca="1">IFERROR(__xludf.DUMMYFUNCTION("GOOGLETRANSLATE('대전도시공사_청년임대주택 현황_20240630'!B707,""ko"",""en"")"),"160")</f>
        <v>160</v>
      </c>
      <c r="C707" s="1" t="str">
        <f ca="1">IFERROR(__xludf.DUMMYFUNCTION("GOOGLETRANSLATE('대전도시공사_청년임대주택 현황_20240630'!C707,""ko"",""en"")"),"1")</f>
        <v>1</v>
      </c>
      <c r="D707" s="1" t="str">
        <f ca="1">IFERROR(__xludf.DUMMYFUNCTION("GOOGLETRANSLATE('대전도시공사_청년임대주택 현황_20240630'!D707,""ko"",""en"")"),"1005")</f>
        <v>1005</v>
      </c>
      <c r="E707" s="1" t="str">
        <f ca="1">IFERROR(__xludf.DUMMYFUNCTION("GOOGLETRANSLATE('대전도시공사_청년임대주택 현황_20240630'!E707,""ko"",""en"")"),"64.993")</f>
        <v>64.993</v>
      </c>
      <c r="F707" s="1" t="str">
        <f ca="1">IFERROR(__xludf.DUMMYFUNCTION("GOOGLETRANSLATE('대전도시공사_청년임대주택 현황_20240630'!F707,""ko"",""en"")"),"22.438")</f>
        <v>22.438</v>
      </c>
      <c r="G707" s="1" t="str">
        <f ca="1">IFERROR(__xludf.DUMMYFUNCTION("GOOGLETRANSLATE('대전도시공사_청년임대주택 현황_20240630'!G707,""ko"",""en"")"),"42.554")</f>
        <v>42.554</v>
      </c>
      <c r="H707" s="1" t="str">
        <f ca="1">IFERROR(__xludf.DUMMYFUNCTION("GOOGLETRANSLATE('대전도시공사_청년임대주택 현황_20240630'!H707,""ko"",""en"")"),"Youth Rent 1st Place")</f>
        <v>Youth Rent 1st Place</v>
      </c>
      <c r="I707" s="1" t="str">
        <f ca="1">IFERROR(__xludf.DUMMYFUNCTION("GOOGLETRANSLATE('대전도시공사_청년임대주택 현황_20240630'!I707,""ko"",""en"")"),"1000000")</f>
        <v>1000000</v>
      </c>
      <c r="J707" s="1" t="str">
        <f ca="1">IFERROR(__xludf.DUMMYFUNCTION("GOOGLETRANSLATE('대전도시공사_청년임대주택 현황_20240630'!J707,""ko"",""en"")"),"245800")</f>
        <v>245800</v>
      </c>
    </row>
    <row r="708" spans="1:10" ht="12.5" x14ac:dyDescent="0.25">
      <c r="A708" s="1" t="str">
        <f ca="1">IFERROR(__xludf.DUMMYFUNCTION("GOOGLETRANSLATE('대전도시공사_청년임대주택 현황_20240630'!A708,""ko"",""en"")"),"Goejeong-dong 3-18 (Samyoung Building, youth rental)")</f>
        <v>Goejeong-dong 3-18 (Samyoung Building, youth rental)</v>
      </c>
      <c r="B708" s="1" t="str">
        <f ca="1">IFERROR(__xludf.DUMMYFUNCTION("GOOGLETRANSLATE('대전도시공사_청년임대주택 현황_20240630'!B708,""ko"",""en"")"),"161")</f>
        <v>161</v>
      </c>
      <c r="C708" s="1" t="str">
        <f ca="1">IFERROR(__xludf.DUMMYFUNCTION("GOOGLETRANSLATE('대전도시공사_청년임대주택 현황_20240630'!C708,""ko"",""en"")"),"1")</f>
        <v>1</v>
      </c>
      <c r="D708" s="1" t="str">
        <f ca="1">IFERROR(__xludf.DUMMYFUNCTION("GOOGLETRANSLATE('대전도시공사_청년임대주택 현황_20240630'!D708,""ko"",""en"")"),"1005")</f>
        <v>1005</v>
      </c>
      <c r="E708" s="1" t="str">
        <f ca="1">IFERROR(__xludf.DUMMYFUNCTION("GOOGLETRANSLATE('대전도시공사_청년임대주택 현황_20240630'!E708,""ko"",""en"")"),"64.993")</f>
        <v>64.993</v>
      </c>
      <c r="F708" s="1" t="str">
        <f ca="1">IFERROR(__xludf.DUMMYFUNCTION("GOOGLETRANSLATE('대전도시공사_청년임대주택 현황_20240630'!F708,""ko"",""en"")"),"22.438")</f>
        <v>22.438</v>
      </c>
      <c r="G708" s="1" t="str">
        <f ca="1">IFERROR(__xludf.DUMMYFUNCTION("GOOGLETRANSLATE('대전도시공사_청년임대주택 현황_20240630'!G708,""ko"",""en"")"),"42.554")</f>
        <v>42.554</v>
      </c>
      <c r="H708" s="1" t="str">
        <f ca="1">IFERROR(__xludf.DUMMYFUNCTION("GOOGLETRANSLATE('대전도시공사_청년임대주택 현황_20240630'!H708,""ko"",""en"")"),"Youth Rental 2nd Place")</f>
        <v>Youth Rental 2nd Place</v>
      </c>
      <c r="I708" s="1" t="str">
        <f ca="1">IFERROR(__xludf.DUMMYFUNCTION("GOOGLETRANSLATE('대전도시공사_청년임대주택 현황_20240630'!I708,""ko"",""en"")"),"2000000")</f>
        <v>2000000</v>
      </c>
      <c r="J708" s="1" t="str">
        <f ca="1">IFERROR(__xludf.DUMMYFUNCTION("GOOGLETRANSLATE('대전도시공사_청년임대주택 현황_20240630'!J708,""ko"",""en"")"),"303000")</f>
        <v>303000</v>
      </c>
    </row>
    <row r="709" spans="1:10" ht="12.5" x14ac:dyDescent="0.25">
      <c r="A709" s="1" t="str">
        <f ca="1">IFERROR(__xludf.DUMMYFUNCTION("GOOGLETRANSLATE('대전도시공사_청년임대주택 현황_20240630'!A709,""ko"",""en"")"),"Goejeong-dong 3-18 (Samyoung Building, youth rental)")</f>
        <v>Goejeong-dong 3-18 (Samyoung Building, youth rental)</v>
      </c>
      <c r="B709" s="1" t="str">
        <f ca="1">IFERROR(__xludf.DUMMYFUNCTION("GOOGLETRANSLATE('대전도시공사_청년임대주택 현황_20240630'!B709,""ko"",""en"")"),"162")</f>
        <v>162</v>
      </c>
      <c r="C709" s="1" t="str">
        <f ca="1">IFERROR(__xludf.DUMMYFUNCTION("GOOGLETRANSLATE('대전도시공사_청년임대주택 현황_20240630'!C709,""ko"",""en"")"),"1")</f>
        <v>1</v>
      </c>
      <c r="D709" s="1" t="str">
        <f ca="1">IFERROR(__xludf.DUMMYFUNCTION("GOOGLETRANSLATE('대전도시공사_청년임대주택 현황_20240630'!D709,""ko"",""en"")"),"1005")</f>
        <v>1005</v>
      </c>
      <c r="E709" s="1" t="str">
        <f ca="1">IFERROR(__xludf.DUMMYFUNCTION("GOOGLETRANSLATE('대전도시공사_청년임대주택 현황_20240630'!E709,""ko"",""en"")"),"64.993")</f>
        <v>64.993</v>
      </c>
      <c r="F709" s="1" t="str">
        <f ca="1">IFERROR(__xludf.DUMMYFUNCTION("GOOGLETRANSLATE('대전도시공사_청년임대주택 현황_20240630'!F709,""ko"",""en"")"),"22.438")</f>
        <v>22.438</v>
      </c>
      <c r="G709" s="1" t="str">
        <f ca="1">IFERROR(__xludf.DUMMYFUNCTION("GOOGLETRANSLATE('대전도시공사_청년임대주택 현황_20240630'!G709,""ko"",""en"")"),"42.554")</f>
        <v>42.554</v>
      </c>
      <c r="H709" s="1" t="str">
        <f ca="1">IFERROR(__xludf.DUMMYFUNCTION("GOOGLETRANSLATE('대전도시공사_청년임대주택 현황_20240630'!H709,""ko"",""en"")"),"3rd place for youth rental")</f>
        <v>3rd place for youth rental</v>
      </c>
      <c r="I709" s="1" t="str">
        <f ca="1">IFERROR(__xludf.DUMMYFUNCTION("GOOGLETRANSLATE('대전도시공사_청년임대주택 현황_20240630'!I709,""ko"",""en"")"),"2000000")</f>
        <v>2000000</v>
      </c>
      <c r="J709" s="1" t="str">
        <f ca="1">IFERROR(__xludf.DUMMYFUNCTION("GOOGLETRANSLATE('대전도시공사_청년임대주택 현황_20240630'!J709,""ko"",""en"")"),"303000")</f>
        <v>303000</v>
      </c>
    </row>
    <row r="710" spans="1:10" ht="12.5" x14ac:dyDescent="0.25">
      <c r="A710" s="1" t="str">
        <f ca="1">IFERROR(__xludf.DUMMYFUNCTION("GOOGLETRANSLATE('대전도시공사_청년임대주택 현황_20240630'!A710,""ko"",""en"")"),"Goejeong-dong 3-18 (Samyoung Building, youth rental)")</f>
        <v>Goejeong-dong 3-18 (Samyoung Building, youth rental)</v>
      </c>
      <c r="B710" s="1" t="str">
        <f ca="1">IFERROR(__xludf.DUMMYFUNCTION("GOOGLETRANSLATE('대전도시공사_청년임대주택 현황_20240630'!B710,""ko"",""en"")"),"163")</f>
        <v>163</v>
      </c>
      <c r="C710" s="1" t="str">
        <f ca="1">IFERROR(__xludf.DUMMYFUNCTION("GOOGLETRANSLATE('대전도시공사_청년임대주택 현황_20240630'!C710,""ko"",""en"")"),"1")</f>
        <v>1</v>
      </c>
      <c r="D710" s="1" t="str">
        <f ca="1">IFERROR(__xludf.DUMMYFUNCTION("GOOGLETRANSLATE('대전도시공사_청년임대주택 현황_20240630'!D710,""ko"",""en"")"),"1006")</f>
        <v>1006</v>
      </c>
      <c r="E710" s="1" t="str">
        <f ca="1">IFERROR(__xludf.DUMMYFUNCTION("GOOGLETRANSLATE('대전도시공사_청년임대주택 현황_20240630'!E710,""ko"",""en"")"),"64.993")</f>
        <v>64.993</v>
      </c>
      <c r="F710" s="1" t="str">
        <f ca="1">IFERROR(__xludf.DUMMYFUNCTION("GOOGLETRANSLATE('대전도시공사_청년임대주택 현황_20240630'!F710,""ko"",""en"")"),"22.438")</f>
        <v>22.438</v>
      </c>
      <c r="G710" s="1" t="str">
        <f ca="1">IFERROR(__xludf.DUMMYFUNCTION("GOOGLETRANSLATE('대전도시공사_청년임대주택 현황_20240630'!G710,""ko"",""en"")"),"42.554")</f>
        <v>42.554</v>
      </c>
      <c r="H710" s="1" t="str">
        <f ca="1">IFERROR(__xludf.DUMMYFUNCTION("GOOGLETRANSLATE('대전도시공사_청년임대주택 현황_20240630'!H710,""ko"",""en"")"),"Youth Rent 1st Place")</f>
        <v>Youth Rent 1st Place</v>
      </c>
      <c r="I710" s="1" t="str">
        <f ca="1">IFERROR(__xludf.DUMMYFUNCTION("GOOGLETRANSLATE('대전도시공사_청년임대주택 현황_20240630'!I710,""ko"",""en"")"),"1000000")</f>
        <v>1000000</v>
      </c>
      <c r="J710" s="1" t="str">
        <f ca="1">IFERROR(__xludf.DUMMYFUNCTION("GOOGLETRANSLATE('대전도시공사_청년임대주택 현황_20240630'!J710,""ko"",""en"")"),"245800")</f>
        <v>245800</v>
      </c>
    </row>
    <row r="711" spans="1:10" ht="12.5" x14ac:dyDescent="0.25">
      <c r="A711" s="1" t="str">
        <f ca="1">IFERROR(__xludf.DUMMYFUNCTION("GOOGLETRANSLATE('대전도시공사_청년임대주택 현황_20240630'!A711,""ko"",""en"")"),"Goejeong-dong 3-18 (Samyoung Building, youth rental)")</f>
        <v>Goejeong-dong 3-18 (Samyoung Building, youth rental)</v>
      </c>
      <c r="B711" s="1" t="str">
        <f ca="1">IFERROR(__xludf.DUMMYFUNCTION("GOOGLETRANSLATE('대전도시공사_청년임대주택 현황_20240630'!B711,""ko"",""en"")"),"164")</f>
        <v>164</v>
      </c>
      <c r="C711" s="1" t="str">
        <f ca="1">IFERROR(__xludf.DUMMYFUNCTION("GOOGLETRANSLATE('대전도시공사_청년임대주택 현황_20240630'!C711,""ko"",""en"")"),"1")</f>
        <v>1</v>
      </c>
      <c r="D711" s="1" t="str">
        <f ca="1">IFERROR(__xludf.DUMMYFUNCTION("GOOGLETRANSLATE('대전도시공사_청년임대주택 현황_20240630'!D711,""ko"",""en"")"),"1006")</f>
        <v>1006</v>
      </c>
      <c r="E711" s="1" t="str">
        <f ca="1">IFERROR(__xludf.DUMMYFUNCTION("GOOGLETRANSLATE('대전도시공사_청년임대주택 현황_20240630'!E711,""ko"",""en"")"),"64.993")</f>
        <v>64.993</v>
      </c>
      <c r="F711" s="1" t="str">
        <f ca="1">IFERROR(__xludf.DUMMYFUNCTION("GOOGLETRANSLATE('대전도시공사_청년임대주택 현황_20240630'!F711,""ko"",""en"")"),"22.438")</f>
        <v>22.438</v>
      </c>
      <c r="G711" s="1" t="str">
        <f ca="1">IFERROR(__xludf.DUMMYFUNCTION("GOOGLETRANSLATE('대전도시공사_청년임대주택 현황_20240630'!G711,""ko"",""en"")"),"42.554")</f>
        <v>42.554</v>
      </c>
      <c r="H711" s="1" t="str">
        <f ca="1">IFERROR(__xludf.DUMMYFUNCTION("GOOGLETRANSLATE('대전도시공사_청년임대주택 현황_20240630'!H711,""ko"",""en"")"),"Youth Rental 2nd Place")</f>
        <v>Youth Rental 2nd Place</v>
      </c>
      <c r="I711" s="1" t="str">
        <f ca="1">IFERROR(__xludf.DUMMYFUNCTION("GOOGLETRANSLATE('대전도시공사_청년임대주택 현황_20240630'!I711,""ko"",""en"")"),"2000000")</f>
        <v>2000000</v>
      </c>
      <c r="J711" s="1" t="str">
        <f ca="1">IFERROR(__xludf.DUMMYFUNCTION("GOOGLETRANSLATE('대전도시공사_청년임대주택 현황_20240630'!J711,""ko"",""en"")"),"303000")</f>
        <v>303000</v>
      </c>
    </row>
    <row r="712" spans="1:10" ht="12.5" x14ac:dyDescent="0.25">
      <c r="A712" s="1" t="str">
        <f ca="1">IFERROR(__xludf.DUMMYFUNCTION("GOOGLETRANSLATE('대전도시공사_청년임대주택 현황_20240630'!A712,""ko"",""en"")"),"Goejeong-dong 3-18 (Samyoung Building, youth rental)")</f>
        <v>Goejeong-dong 3-18 (Samyoung Building, youth rental)</v>
      </c>
      <c r="B712" s="1" t="str">
        <f ca="1">IFERROR(__xludf.DUMMYFUNCTION("GOOGLETRANSLATE('대전도시공사_청년임대주택 현황_20240630'!B712,""ko"",""en"")"),"165")</f>
        <v>165</v>
      </c>
      <c r="C712" s="1" t="str">
        <f ca="1">IFERROR(__xludf.DUMMYFUNCTION("GOOGLETRANSLATE('대전도시공사_청년임대주택 현황_20240630'!C712,""ko"",""en"")"),"1")</f>
        <v>1</v>
      </c>
      <c r="D712" s="1" t="str">
        <f ca="1">IFERROR(__xludf.DUMMYFUNCTION("GOOGLETRANSLATE('대전도시공사_청년임대주택 현황_20240630'!D712,""ko"",""en"")"),"1006")</f>
        <v>1006</v>
      </c>
      <c r="E712" s="1" t="str">
        <f ca="1">IFERROR(__xludf.DUMMYFUNCTION("GOOGLETRANSLATE('대전도시공사_청년임대주택 현황_20240630'!E712,""ko"",""en"")"),"64.993")</f>
        <v>64.993</v>
      </c>
      <c r="F712" s="1" t="str">
        <f ca="1">IFERROR(__xludf.DUMMYFUNCTION("GOOGLETRANSLATE('대전도시공사_청년임대주택 현황_20240630'!F712,""ko"",""en"")"),"22.438")</f>
        <v>22.438</v>
      </c>
      <c r="G712" s="1" t="str">
        <f ca="1">IFERROR(__xludf.DUMMYFUNCTION("GOOGLETRANSLATE('대전도시공사_청년임대주택 현황_20240630'!G712,""ko"",""en"")"),"42.554")</f>
        <v>42.554</v>
      </c>
      <c r="H712" s="1" t="str">
        <f ca="1">IFERROR(__xludf.DUMMYFUNCTION("GOOGLETRANSLATE('대전도시공사_청년임대주택 현황_20240630'!H712,""ko"",""en"")"),"3rd place for youth rental")</f>
        <v>3rd place for youth rental</v>
      </c>
      <c r="I712" s="1" t="str">
        <f ca="1">IFERROR(__xludf.DUMMYFUNCTION("GOOGLETRANSLATE('대전도시공사_청년임대주택 현황_20240630'!I712,""ko"",""en"")"),"2000000")</f>
        <v>2000000</v>
      </c>
      <c r="J712" s="1" t="str">
        <f ca="1">IFERROR(__xludf.DUMMYFUNCTION("GOOGLETRANSLATE('대전도시공사_청년임대주택 현황_20240630'!J712,""ko"",""en"")"),"303000")</f>
        <v>303000</v>
      </c>
    </row>
    <row r="713" spans="1:10" ht="12.5" x14ac:dyDescent="0.25">
      <c r="A713" s="1" t="str">
        <f ca="1">IFERROR(__xludf.DUMMYFUNCTION("GOOGLETRANSLATE('대전도시공사_청년임대주택 현황_20240630'!A713,""ko"",""en"")"),"Goejeong-dong 3-18 (Samyoung Building, youth rental)")</f>
        <v>Goejeong-dong 3-18 (Samyoung Building, youth rental)</v>
      </c>
      <c r="B713" s="1" t="str">
        <f ca="1">IFERROR(__xludf.DUMMYFUNCTION("GOOGLETRANSLATE('대전도시공사_청년임대주택 현황_20240630'!B713,""ko"",""en"")"),"166")</f>
        <v>166</v>
      </c>
      <c r="C713" s="1" t="str">
        <f ca="1">IFERROR(__xludf.DUMMYFUNCTION("GOOGLETRANSLATE('대전도시공사_청년임대주택 현황_20240630'!C713,""ko"",""en"")"),"1")</f>
        <v>1</v>
      </c>
      <c r="D713" s="1" t="str">
        <f ca="1">IFERROR(__xludf.DUMMYFUNCTION("GOOGLETRANSLATE('대전도시공사_청년임대주택 현황_20240630'!D713,""ko"",""en"")"),"1007")</f>
        <v>1007</v>
      </c>
      <c r="E713" s="1" t="str">
        <f ca="1">IFERROR(__xludf.DUMMYFUNCTION("GOOGLETRANSLATE('대전도시공사_청년임대주택 현황_20240630'!E713,""ko"",""en"")"),"64.993")</f>
        <v>64.993</v>
      </c>
      <c r="F713" s="1" t="str">
        <f ca="1">IFERROR(__xludf.DUMMYFUNCTION("GOOGLETRANSLATE('대전도시공사_청년임대주택 현황_20240630'!F713,""ko"",""en"")"),"22.438")</f>
        <v>22.438</v>
      </c>
      <c r="G713" s="1" t="str">
        <f ca="1">IFERROR(__xludf.DUMMYFUNCTION("GOOGLETRANSLATE('대전도시공사_청년임대주택 현황_20240630'!G713,""ko"",""en"")"),"42.554")</f>
        <v>42.554</v>
      </c>
      <c r="H713" s="1" t="str">
        <f ca="1">IFERROR(__xludf.DUMMYFUNCTION("GOOGLETRANSLATE('대전도시공사_청년임대주택 현황_20240630'!H713,""ko"",""en"")"),"Youth Rent 1st Place")</f>
        <v>Youth Rent 1st Place</v>
      </c>
      <c r="I713" s="1" t="str">
        <f ca="1">IFERROR(__xludf.DUMMYFUNCTION("GOOGLETRANSLATE('대전도시공사_청년임대주택 현황_20240630'!I713,""ko"",""en"")"),"1000000")</f>
        <v>1000000</v>
      </c>
      <c r="J713" s="1" t="str">
        <f ca="1">IFERROR(__xludf.DUMMYFUNCTION("GOOGLETRANSLATE('대전도시공사_청년임대주택 현황_20240630'!J713,""ko"",""en"")"),"245800")</f>
        <v>245800</v>
      </c>
    </row>
    <row r="714" spans="1:10" ht="12.5" x14ac:dyDescent="0.25">
      <c r="A714" s="1" t="str">
        <f ca="1">IFERROR(__xludf.DUMMYFUNCTION("GOOGLETRANSLATE('대전도시공사_청년임대주택 현황_20240630'!A714,""ko"",""en"")"),"Goejeong-dong 3-18 (Samyoung Building, youth rental)")</f>
        <v>Goejeong-dong 3-18 (Samyoung Building, youth rental)</v>
      </c>
      <c r="B714" s="1" t="str">
        <f ca="1">IFERROR(__xludf.DUMMYFUNCTION("GOOGLETRANSLATE('대전도시공사_청년임대주택 현황_20240630'!B714,""ko"",""en"")"),"167")</f>
        <v>167</v>
      </c>
      <c r="C714" s="1" t="str">
        <f ca="1">IFERROR(__xludf.DUMMYFUNCTION("GOOGLETRANSLATE('대전도시공사_청년임대주택 현황_20240630'!C714,""ko"",""en"")"),"1")</f>
        <v>1</v>
      </c>
      <c r="D714" s="1" t="str">
        <f ca="1">IFERROR(__xludf.DUMMYFUNCTION("GOOGLETRANSLATE('대전도시공사_청년임대주택 현황_20240630'!D714,""ko"",""en"")"),"1007")</f>
        <v>1007</v>
      </c>
      <c r="E714" s="1" t="str">
        <f ca="1">IFERROR(__xludf.DUMMYFUNCTION("GOOGLETRANSLATE('대전도시공사_청년임대주택 현황_20240630'!E714,""ko"",""en"")"),"64.993")</f>
        <v>64.993</v>
      </c>
      <c r="F714" s="1" t="str">
        <f ca="1">IFERROR(__xludf.DUMMYFUNCTION("GOOGLETRANSLATE('대전도시공사_청년임대주택 현황_20240630'!F714,""ko"",""en"")"),"22.438")</f>
        <v>22.438</v>
      </c>
      <c r="G714" s="1" t="str">
        <f ca="1">IFERROR(__xludf.DUMMYFUNCTION("GOOGLETRANSLATE('대전도시공사_청년임대주택 현황_20240630'!G714,""ko"",""en"")"),"42.554")</f>
        <v>42.554</v>
      </c>
      <c r="H714" s="1" t="str">
        <f ca="1">IFERROR(__xludf.DUMMYFUNCTION("GOOGLETRANSLATE('대전도시공사_청년임대주택 현황_20240630'!H714,""ko"",""en"")"),"Youth Rental 2nd Place")</f>
        <v>Youth Rental 2nd Place</v>
      </c>
      <c r="I714" s="1" t="str">
        <f ca="1">IFERROR(__xludf.DUMMYFUNCTION("GOOGLETRANSLATE('대전도시공사_청년임대주택 현황_20240630'!I714,""ko"",""en"")"),"2000000")</f>
        <v>2000000</v>
      </c>
      <c r="J714" s="1" t="str">
        <f ca="1">IFERROR(__xludf.DUMMYFUNCTION("GOOGLETRANSLATE('대전도시공사_청년임대주택 현황_20240630'!J714,""ko"",""en"")"),"303000")</f>
        <v>303000</v>
      </c>
    </row>
    <row r="715" spans="1:10" ht="12.5" x14ac:dyDescent="0.25">
      <c r="A715" s="1" t="str">
        <f ca="1">IFERROR(__xludf.DUMMYFUNCTION("GOOGLETRANSLATE('대전도시공사_청년임대주택 현황_20240630'!A715,""ko"",""en"")"),"Goejeong-dong 3-18 (Samyoung Building, youth rental)")</f>
        <v>Goejeong-dong 3-18 (Samyoung Building, youth rental)</v>
      </c>
      <c r="B715" s="1" t="str">
        <f ca="1">IFERROR(__xludf.DUMMYFUNCTION("GOOGLETRANSLATE('대전도시공사_청년임대주택 현황_20240630'!B715,""ko"",""en"")"),"168")</f>
        <v>168</v>
      </c>
      <c r="C715" s="1" t="str">
        <f ca="1">IFERROR(__xludf.DUMMYFUNCTION("GOOGLETRANSLATE('대전도시공사_청년임대주택 현황_20240630'!C715,""ko"",""en"")"),"1")</f>
        <v>1</v>
      </c>
      <c r="D715" s="1" t="str">
        <f ca="1">IFERROR(__xludf.DUMMYFUNCTION("GOOGLETRANSLATE('대전도시공사_청년임대주택 현황_20240630'!D715,""ko"",""en"")"),"1007")</f>
        <v>1007</v>
      </c>
      <c r="E715" s="1" t="str">
        <f ca="1">IFERROR(__xludf.DUMMYFUNCTION("GOOGLETRANSLATE('대전도시공사_청년임대주택 현황_20240630'!E715,""ko"",""en"")"),"64.993")</f>
        <v>64.993</v>
      </c>
      <c r="F715" s="1" t="str">
        <f ca="1">IFERROR(__xludf.DUMMYFUNCTION("GOOGLETRANSLATE('대전도시공사_청년임대주택 현황_20240630'!F715,""ko"",""en"")"),"22.438")</f>
        <v>22.438</v>
      </c>
      <c r="G715" s="1" t="str">
        <f ca="1">IFERROR(__xludf.DUMMYFUNCTION("GOOGLETRANSLATE('대전도시공사_청년임대주택 현황_20240630'!G715,""ko"",""en"")"),"42.554")</f>
        <v>42.554</v>
      </c>
      <c r="H715" s="1" t="str">
        <f ca="1">IFERROR(__xludf.DUMMYFUNCTION("GOOGLETRANSLATE('대전도시공사_청년임대주택 현황_20240630'!H715,""ko"",""en"")"),"3rd place for youth rental")</f>
        <v>3rd place for youth rental</v>
      </c>
      <c r="I715" s="1" t="str">
        <f ca="1">IFERROR(__xludf.DUMMYFUNCTION("GOOGLETRANSLATE('대전도시공사_청년임대주택 현황_20240630'!I715,""ko"",""en"")"),"2000000")</f>
        <v>2000000</v>
      </c>
      <c r="J715" s="1" t="str">
        <f ca="1">IFERROR(__xludf.DUMMYFUNCTION("GOOGLETRANSLATE('대전도시공사_청년임대주택 현황_20240630'!J715,""ko"",""en"")"),"303000")</f>
        <v>303000</v>
      </c>
    </row>
    <row r="716" spans="1:10" ht="12.5" x14ac:dyDescent="0.25">
      <c r="A716" s="1" t="str">
        <f ca="1">IFERROR(__xludf.DUMMYFUNCTION("GOOGLETRANSLATE('대전도시공사_청년임대주택 현황_20240630'!A716,""ko"",""en"")"),"Goejeong-dong 3-18 (Samyoung Building, youth rental)")</f>
        <v>Goejeong-dong 3-18 (Samyoung Building, youth rental)</v>
      </c>
      <c r="B716" s="1" t="str">
        <f ca="1">IFERROR(__xludf.DUMMYFUNCTION("GOOGLETRANSLATE('대전도시공사_청년임대주택 현황_20240630'!B716,""ko"",""en"")"),"169")</f>
        <v>169</v>
      </c>
      <c r="C716" s="1" t="str">
        <f ca="1">IFERROR(__xludf.DUMMYFUNCTION("GOOGLETRANSLATE('대전도시공사_청년임대주택 현황_20240630'!C716,""ko"",""en"")"),"1")</f>
        <v>1</v>
      </c>
      <c r="D716" s="1" t="str">
        <f ca="1">IFERROR(__xludf.DUMMYFUNCTION("GOOGLETRANSLATE('대전도시공사_청년임대주택 현황_20240630'!D716,""ko"",""en"")"),"1008")</f>
        <v>1008</v>
      </c>
      <c r="E716" s="1" t="str">
        <f ca="1">IFERROR(__xludf.DUMMYFUNCTION("GOOGLETRANSLATE('대전도시공사_청년임대주택 현황_20240630'!E716,""ko"",""en"")"),"64.993")</f>
        <v>64.993</v>
      </c>
      <c r="F716" s="1" t="str">
        <f ca="1">IFERROR(__xludf.DUMMYFUNCTION("GOOGLETRANSLATE('대전도시공사_청년임대주택 현황_20240630'!F716,""ko"",""en"")"),"22.438")</f>
        <v>22.438</v>
      </c>
      <c r="G716" s="1" t="str">
        <f ca="1">IFERROR(__xludf.DUMMYFUNCTION("GOOGLETRANSLATE('대전도시공사_청년임대주택 현황_20240630'!G716,""ko"",""en"")"),"42.554")</f>
        <v>42.554</v>
      </c>
      <c r="H716" s="1" t="str">
        <f ca="1">IFERROR(__xludf.DUMMYFUNCTION("GOOGLETRANSLATE('대전도시공사_청년임대주택 현황_20240630'!H716,""ko"",""en"")"),"Youth Rent 1st Place")</f>
        <v>Youth Rent 1st Place</v>
      </c>
      <c r="I716" s="1" t="str">
        <f ca="1">IFERROR(__xludf.DUMMYFUNCTION("GOOGLETRANSLATE('대전도시공사_청년임대주택 현황_20240630'!I716,""ko"",""en"")"),"1000000")</f>
        <v>1000000</v>
      </c>
      <c r="J716" s="1" t="str">
        <f ca="1">IFERROR(__xludf.DUMMYFUNCTION("GOOGLETRANSLATE('대전도시공사_청년임대주택 현황_20240630'!J716,""ko"",""en"")"),"245800")</f>
        <v>245800</v>
      </c>
    </row>
    <row r="717" spans="1:10" ht="12.5" x14ac:dyDescent="0.25">
      <c r="A717" s="1" t="str">
        <f ca="1">IFERROR(__xludf.DUMMYFUNCTION("GOOGLETRANSLATE('대전도시공사_청년임대주택 현황_20240630'!A717,""ko"",""en"")"),"Goejeong-dong 3-18 (Samyoung Building, youth rental)")</f>
        <v>Goejeong-dong 3-18 (Samyoung Building, youth rental)</v>
      </c>
      <c r="B717" s="1" t="str">
        <f ca="1">IFERROR(__xludf.DUMMYFUNCTION("GOOGLETRANSLATE('대전도시공사_청년임대주택 현황_20240630'!B717,""ko"",""en"")"),"170")</f>
        <v>170</v>
      </c>
      <c r="C717" s="1" t="str">
        <f ca="1">IFERROR(__xludf.DUMMYFUNCTION("GOOGLETRANSLATE('대전도시공사_청년임대주택 현황_20240630'!C717,""ko"",""en"")"),"1")</f>
        <v>1</v>
      </c>
      <c r="D717" s="1" t="str">
        <f ca="1">IFERROR(__xludf.DUMMYFUNCTION("GOOGLETRANSLATE('대전도시공사_청년임대주택 현황_20240630'!D717,""ko"",""en"")"),"1008")</f>
        <v>1008</v>
      </c>
      <c r="E717" s="1" t="str">
        <f ca="1">IFERROR(__xludf.DUMMYFUNCTION("GOOGLETRANSLATE('대전도시공사_청년임대주택 현황_20240630'!E717,""ko"",""en"")"),"64.993")</f>
        <v>64.993</v>
      </c>
      <c r="F717" s="1" t="str">
        <f ca="1">IFERROR(__xludf.DUMMYFUNCTION("GOOGLETRANSLATE('대전도시공사_청년임대주택 현황_20240630'!F717,""ko"",""en"")"),"22.438")</f>
        <v>22.438</v>
      </c>
      <c r="G717" s="1" t="str">
        <f ca="1">IFERROR(__xludf.DUMMYFUNCTION("GOOGLETRANSLATE('대전도시공사_청년임대주택 현황_20240630'!G717,""ko"",""en"")"),"42.554")</f>
        <v>42.554</v>
      </c>
      <c r="H717" s="1" t="str">
        <f ca="1">IFERROR(__xludf.DUMMYFUNCTION("GOOGLETRANSLATE('대전도시공사_청년임대주택 현황_20240630'!H717,""ko"",""en"")"),"Youth Rental 2nd Place")</f>
        <v>Youth Rental 2nd Place</v>
      </c>
      <c r="I717" s="1" t="str">
        <f ca="1">IFERROR(__xludf.DUMMYFUNCTION("GOOGLETRANSLATE('대전도시공사_청년임대주택 현황_20240630'!I717,""ko"",""en"")"),"2000000")</f>
        <v>2000000</v>
      </c>
      <c r="J717" s="1" t="str">
        <f ca="1">IFERROR(__xludf.DUMMYFUNCTION("GOOGLETRANSLATE('대전도시공사_청년임대주택 현황_20240630'!J717,""ko"",""en"")"),"303000")</f>
        <v>303000</v>
      </c>
    </row>
    <row r="718" spans="1:10" ht="12.5" x14ac:dyDescent="0.25">
      <c r="A718" s="1" t="str">
        <f ca="1">IFERROR(__xludf.DUMMYFUNCTION("GOOGLETRANSLATE('대전도시공사_청년임대주택 현황_20240630'!A718,""ko"",""en"")"),"Goejeong-dong 3-18 (Samyoung Building, youth rental)")</f>
        <v>Goejeong-dong 3-18 (Samyoung Building, youth rental)</v>
      </c>
      <c r="B718" s="1" t="str">
        <f ca="1">IFERROR(__xludf.DUMMYFUNCTION("GOOGLETRANSLATE('대전도시공사_청년임대주택 현황_20240630'!B718,""ko"",""en"")"),"171")</f>
        <v>171</v>
      </c>
      <c r="C718" s="1" t="str">
        <f ca="1">IFERROR(__xludf.DUMMYFUNCTION("GOOGLETRANSLATE('대전도시공사_청년임대주택 현황_20240630'!C718,""ko"",""en"")"),"1")</f>
        <v>1</v>
      </c>
      <c r="D718" s="1" t="str">
        <f ca="1">IFERROR(__xludf.DUMMYFUNCTION("GOOGLETRANSLATE('대전도시공사_청년임대주택 현황_20240630'!D718,""ko"",""en"")"),"1008")</f>
        <v>1008</v>
      </c>
      <c r="E718" s="1" t="str">
        <f ca="1">IFERROR(__xludf.DUMMYFUNCTION("GOOGLETRANSLATE('대전도시공사_청년임대주택 현황_20240630'!E718,""ko"",""en"")"),"64.993")</f>
        <v>64.993</v>
      </c>
      <c r="F718" s="1" t="str">
        <f ca="1">IFERROR(__xludf.DUMMYFUNCTION("GOOGLETRANSLATE('대전도시공사_청년임대주택 현황_20240630'!F718,""ko"",""en"")"),"22.438")</f>
        <v>22.438</v>
      </c>
      <c r="G718" s="1" t="str">
        <f ca="1">IFERROR(__xludf.DUMMYFUNCTION("GOOGLETRANSLATE('대전도시공사_청년임대주택 현황_20240630'!G718,""ko"",""en"")"),"42.554")</f>
        <v>42.554</v>
      </c>
      <c r="H718" s="1" t="str">
        <f ca="1">IFERROR(__xludf.DUMMYFUNCTION("GOOGLETRANSLATE('대전도시공사_청년임대주택 현황_20240630'!H718,""ko"",""en"")"),"3rd place for youth rental")</f>
        <v>3rd place for youth rental</v>
      </c>
      <c r="I718" s="1" t="str">
        <f ca="1">IFERROR(__xludf.DUMMYFUNCTION("GOOGLETRANSLATE('대전도시공사_청년임대주택 현황_20240630'!I718,""ko"",""en"")"),"2000000")</f>
        <v>2000000</v>
      </c>
      <c r="J718" s="1" t="str">
        <f ca="1">IFERROR(__xludf.DUMMYFUNCTION("GOOGLETRANSLATE('대전도시공사_청년임대주택 현황_20240630'!J718,""ko"",""en"")"),"303000")</f>
        <v>303000</v>
      </c>
    </row>
    <row r="719" spans="1:10" ht="12.5" x14ac:dyDescent="0.25">
      <c r="A719" s="1" t="str">
        <f ca="1">IFERROR(__xludf.DUMMYFUNCTION("GOOGLETRANSLATE('대전도시공사_청년임대주택 현황_20240630'!A719,""ko"",""en"")"),"Goejeong-dong 3-18 (Samyoung Building, youth rental)")</f>
        <v>Goejeong-dong 3-18 (Samyoung Building, youth rental)</v>
      </c>
      <c r="B719" s="1" t="str">
        <f ca="1">IFERROR(__xludf.DUMMYFUNCTION("GOOGLETRANSLATE('대전도시공사_청년임대주택 현황_20240630'!B719,""ko"",""en"")"),"172")</f>
        <v>172</v>
      </c>
      <c r="C719" s="1" t="str">
        <f ca="1">IFERROR(__xludf.DUMMYFUNCTION("GOOGLETRANSLATE('대전도시공사_청년임대주택 현황_20240630'!C719,""ko"",""en"")"),"1")</f>
        <v>1</v>
      </c>
      <c r="D719" s="1" t="str">
        <f ca="1">IFERROR(__xludf.DUMMYFUNCTION("GOOGLETRANSLATE('대전도시공사_청년임대주택 현황_20240630'!D719,""ko"",""en"")"),"1009")</f>
        <v>1009</v>
      </c>
      <c r="E719" s="1" t="str">
        <f ca="1">IFERROR(__xludf.DUMMYFUNCTION("GOOGLETRANSLATE('대전도시공사_청년임대주택 현황_20240630'!E719,""ko"",""en"")"),"64.993")</f>
        <v>64.993</v>
      </c>
      <c r="F719" s="1" t="str">
        <f ca="1">IFERROR(__xludf.DUMMYFUNCTION("GOOGLETRANSLATE('대전도시공사_청년임대주택 현황_20240630'!F719,""ko"",""en"")"),"22.438")</f>
        <v>22.438</v>
      </c>
      <c r="G719" s="1" t="str">
        <f ca="1">IFERROR(__xludf.DUMMYFUNCTION("GOOGLETRANSLATE('대전도시공사_청년임대주택 현황_20240630'!G719,""ko"",""en"")"),"42.554")</f>
        <v>42.554</v>
      </c>
      <c r="H719" s="1" t="str">
        <f ca="1">IFERROR(__xludf.DUMMYFUNCTION("GOOGLETRANSLATE('대전도시공사_청년임대주택 현황_20240630'!H719,""ko"",""en"")"),"Youth Rent 1st Place")</f>
        <v>Youth Rent 1st Place</v>
      </c>
      <c r="I719" s="1" t="str">
        <f ca="1">IFERROR(__xludf.DUMMYFUNCTION("GOOGLETRANSLATE('대전도시공사_청년임대주택 현황_20240630'!I719,""ko"",""en"")"),"1000000")</f>
        <v>1000000</v>
      </c>
      <c r="J719" s="1" t="str">
        <f ca="1">IFERROR(__xludf.DUMMYFUNCTION("GOOGLETRANSLATE('대전도시공사_청년임대주택 현황_20240630'!J719,""ko"",""en"")"),"245800")</f>
        <v>245800</v>
      </c>
    </row>
    <row r="720" spans="1:10" ht="12.5" x14ac:dyDescent="0.25">
      <c r="A720" s="1" t="str">
        <f ca="1">IFERROR(__xludf.DUMMYFUNCTION("GOOGLETRANSLATE('대전도시공사_청년임대주택 현황_20240630'!A720,""ko"",""en"")"),"Goejeong-dong 3-18 (Samyoung Building, youth rental)")</f>
        <v>Goejeong-dong 3-18 (Samyoung Building, youth rental)</v>
      </c>
      <c r="B720" s="1" t="str">
        <f ca="1">IFERROR(__xludf.DUMMYFUNCTION("GOOGLETRANSLATE('대전도시공사_청년임대주택 현황_20240630'!B720,""ko"",""en"")"),"173")</f>
        <v>173</v>
      </c>
      <c r="C720" s="1" t="str">
        <f ca="1">IFERROR(__xludf.DUMMYFUNCTION("GOOGLETRANSLATE('대전도시공사_청년임대주택 현황_20240630'!C720,""ko"",""en"")"),"1")</f>
        <v>1</v>
      </c>
      <c r="D720" s="1" t="str">
        <f ca="1">IFERROR(__xludf.DUMMYFUNCTION("GOOGLETRANSLATE('대전도시공사_청년임대주택 현황_20240630'!D720,""ko"",""en"")"),"1009")</f>
        <v>1009</v>
      </c>
      <c r="E720" s="1" t="str">
        <f ca="1">IFERROR(__xludf.DUMMYFUNCTION("GOOGLETRANSLATE('대전도시공사_청년임대주택 현황_20240630'!E720,""ko"",""en"")"),"64.993")</f>
        <v>64.993</v>
      </c>
      <c r="F720" s="1" t="str">
        <f ca="1">IFERROR(__xludf.DUMMYFUNCTION("GOOGLETRANSLATE('대전도시공사_청년임대주택 현황_20240630'!F720,""ko"",""en"")"),"22.438")</f>
        <v>22.438</v>
      </c>
      <c r="G720" s="1" t="str">
        <f ca="1">IFERROR(__xludf.DUMMYFUNCTION("GOOGLETRANSLATE('대전도시공사_청년임대주택 현황_20240630'!G720,""ko"",""en"")"),"42.554")</f>
        <v>42.554</v>
      </c>
      <c r="H720" s="1" t="str">
        <f ca="1">IFERROR(__xludf.DUMMYFUNCTION("GOOGLETRANSLATE('대전도시공사_청년임대주택 현황_20240630'!H720,""ko"",""en"")"),"Youth Rental 2nd Place")</f>
        <v>Youth Rental 2nd Place</v>
      </c>
      <c r="I720" s="1" t="str">
        <f ca="1">IFERROR(__xludf.DUMMYFUNCTION("GOOGLETRANSLATE('대전도시공사_청년임대주택 현황_20240630'!I720,""ko"",""en"")"),"2000000")</f>
        <v>2000000</v>
      </c>
      <c r="J720" s="1" t="str">
        <f ca="1">IFERROR(__xludf.DUMMYFUNCTION("GOOGLETRANSLATE('대전도시공사_청년임대주택 현황_20240630'!J720,""ko"",""en"")"),"303000")</f>
        <v>303000</v>
      </c>
    </row>
    <row r="721" spans="1:10" ht="12.5" x14ac:dyDescent="0.25">
      <c r="A721" s="1" t="str">
        <f ca="1">IFERROR(__xludf.DUMMYFUNCTION("GOOGLETRANSLATE('대전도시공사_청년임대주택 현황_20240630'!A721,""ko"",""en"")"),"Goejeong-dong 3-18 (Samyoung Building, youth rental)")</f>
        <v>Goejeong-dong 3-18 (Samyoung Building, youth rental)</v>
      </c>
      <c r="B721" s="1" t="str">
        <f ca="1">IFERROR(__xludf.DUMMYFUNCTION("GOOGLETRANSLATE('대전도시공사_청년임대주택 현황_20240630'!B721,""ko"",""en"")"),"174")</f>
        <v>174</v>
      </c>
      <c r="C721" s="1" t="str">
        <f ca="1">IFERROR(__xludf.DUMMYFUNCTION("GOOGLETRANSLATE('대전도시공사_청년임대주택 현황_20240630'!C721,""ko"",""en"")"),"1")</f>
        <v>1</v>
      </c>
      <c r="D721" s="1" t="str">
        <f ca="1">IFERROR(__xludf.DUMMYFUNCTION("GOOGLETRANSLATE('대전도시공사_청년임대주택 현황_20240630'!D721,""ko"",""en"")"),"1009")</f>
        <v>1009</v>
      </c>
      <c r="E721" s="1" t="str">
        <f ca="1">IFERROR(__xludf.DUMMYFUNCTION("GOOGLETRANSLATE('대전도시공사_청년임대주택 현황_20240630'!E721,""ko"",""en"")"),"64.993")</f>
        <v>64.993</v>
      </c>
      <c r="F721" s="1" t="str">
        <f ca="1">IFERROR(__xludf.DUMMYFUNCTION("GOOGLETRANSLATE('대전도시공사_청년임대주택 현황_20240630'!F721,""ko"",""en"")"),"22.438")</f>
        <v>22.438</v>
      </c>
      <c r="G721" s="1" t="str">
        <f ca="1">IFERROR(__xludf.DUMMYFUNCTION("GOOGLETRANSLATE('대전도시공사_청년임대주택 현황_20240630'!G721,""ko"",""en"")"),"42.554")</f>
        <v>42.554</v>
      </c>
      <c r="H721" s="1" t="str">
        <f ca="1">IFERROR(__xludf.DUMMYFUNCTION("GOOGLETRANSLATE('대전도시공사_청년임대주택 현황_20240630'!H721,""ko"",""en"")"),"3rd place for youth rental")</f>
        <v>3rd place for youth rental</v>
      </c>
      <c r="I721" s="1" t="str">
        <f ca="1">IFERROR(__xludf.DUMMYFUNCTION("GOOGLETRANSLATE('대전도시공사_청년임대주택 현황_20240630'!I721,""ko"",""en"")"),"2000000")</f>
        <v>2000000</v>
      </c>
      <c r="J721" s="1" t="str">
        <f ca="1">IFERROR(__xludf.DUMMYFUNCTION("GOOGLETRANSLATE('대전도시공사_청년임대주택 현황_20240630'!J721,""ko"",""en"")"),"303000")</f>
        <v>303000</v>
      </c>
    </row>
    <row r="722" spans="1:10" ht="12.5" x14ac:dyDescent="0.25">
      <c r="A722" s="1" t="str">
        <f ca="1">IFERROR(__xludf.DUMMYFUNCTION("GOOGLETRANSLATE('대전도시공사_청년임대주택 현황_20240630'!A722,""ko"",""en"")"),"Goejeong-dong 3-18 (Samyoung Building, youth rental)")</f>
        <v>Goejeong-dong 3-18 (Samyoung Building, youth rental)</v>
      </c>
      <c r="B722" s="1" t="str">
        <f ca="1">IFERROR(__xludf.DUMMYFUNCTION("GOOGLETRANSLATE('대전도시공사_청년임대주택 현황_20240630'!B722,""ko"",""en"")"),"175")</f>
        <v>175</v>
      </c>
      <c r="C722" s="1" t="str">
        <f ca="1">IFERROR(__xludf.DUMMYFUNCTION("GOOGLETRANSLATE('대전도시공사_청년임대주택 현황_20240630'!C722,""ko"",""en"")"),"1")</f>
        <v>1</v>
      </c>
      <c r="D722" s="1" t="str">
        <f ca="1">IFERROR(__xludf.DUMMYFUNCTION("GOOGLETRANSLATE('대전도시공사_청년임대주택 현황_20240630'!D722,""ko"",""en"")"),"1010")</f>
        <v>1010</v>
      </c>
      <c r="E722" s="1" t="str">
        <f ca="1">IFERROR(__xludf.DUMMYFUNCTION("GOOGLETRANSLATE('대전도시공사_청년임대주택 현황_20240630'!E722,""ko"",""en"")"),"64.993")</f>
        <v>64.993</v>
      </c>
      <c r="F722" s="1" t="str">
        <f ca="1">IFERROR(__xludf.DUMMYFUNCTION("GOOGLETRANSLATE('대전도시공사_청년임대주택 현황_20240630'!F722,""ko"",""en"")"),"22.438")</f>
        <v>22.438</v>
      </c>
      <c r="G722" s="1" t="str">
        <f ca="1">IFERROR(__xludf.DUMMYFUNCTION("GOOGLETRANSLATE('대전도시공사_청년임대주택 현황_20240630'!G722,""ko"",""en"")"),"42.554")</f>
        <v>42.554</v>
      </c>
      <c r="H722" s="1" t="str">
        <f ca="1">IFERROR(__xludf.DUMMYFUNCTION("GOOGLETRANSLATE('대전도시공사_청년임대주택 현황_20240630'!H722,""ko"",""en"")"),"Youth Rent 1st Place")</f>
        <v>Youth Rent 1st Place</v>
      </c>
      <c r="I722" s="1" t="str">
        <f ca="1">IFERROR(__xludf.DUMMYFUNCTION("GOOGLETRANSLATE('대전도시공사_청년임대주택 현황_20240630'!I722,""ko"",""en"")"),"1000000")</f>
        <v>1000000</v>
      </c>
      <c r="J722" s="1" t="str">
        <f ca="1">IFERROR(__xludf.DUMMYFUNCTION("GOOGLETRANSLATE('대전도시공사_청년임대주택 현황_20240630'!J722,""ko"",""en"")"),"250900")</f>
        <v>250900</v>
      </c>
    </row>
    <row r="723" spans="1:10" ht="12.5" x14ac:dyDescent="0.25">
      <c r="A723" s="1" t="str">
        <f ca="1">IFERROR(__xludf.DUMMYFUNCTION("GOOGLETRANSLATE('대전도시공사_청년임대주택 현황_20240630'!A723,""ko"",""en"")"),"Goejeong-dong 3-18 (Samyoung Building, youth rental)")</f>
        <v>Goejeong-dong 3-18 (Samyoung Building, youth rental)</v>
      </c>
      <c r="B723" s="1" t="str">
        <f ca="1">IFERROR(__xludf.DUMMYFUNCTION("GOOGLETRANSLATE('대전도시공사_청년임대주택 현황_20240630'!B723,""ko"",""en"")"),"176")</f>
        <v>176</v>
      </c>
      <c r="C723" s="1" t="str">
        <f ca="1">IFERROR(__xludf.DUMMYFUNCTION("GOOGLETRANSLATE('대전도시공사_청년임대주택 현황_20240630'!C723,""ko"",""en"")"),"1")</f>
        <v>1</v>
      </c>
      <c r="D723" s="1" t="str">
        <f ca="1">IFERROR(__xludf.DUMMYFUNCTION("GOOGLETRANSLATE('대전도시공사_청년임대주택 현황_20240630'!D723,""ko"",""en"")"),"1010")</f>
        <v>1010</v>
      </c>
      <c r="E723" s="1" t="str">
        <f ca="1">IFERROR(__xludf.DUMMYFUNCTION("GOOGLETRANSLATE('대전도시공사_청년임대주택 현황_20240630'!E723,""ko"",""en"")"),"64.993")</f>
        <v>64.993</v>
      </c>
      <c r="F723" s="1" t="str">
        <f ca="1">IFERROR(__xludf.DUMMYFUNCTION("GOOGLETRANSLATE('대전도시공사_청년임대주택 현황_20240630'!F723,""ko"",""en"")"),"22.438")</f>
        <v>22.438</v>
      </c>
      <c r="G723" s="1" t="str">
        <f ca="1">IFERROR(__xludf.DUMMYFUNCTION("GOOGLETRANSLATE('대전도시공사_청년임대주택 현황_20240630'!G723,""ko"",""en"")"),"42.554")</f>
        <v>42.554</v>
      </c>
      <c r="H723" s="1" t="str">
        <f ca="1">IFERROR(__xludf.DUMMYFUNCTION("GOOGLETRANSLATE('대전도시공사_청년임대주택 현황_20240630'!H723,""ko"",""en"")"),"Youth Rental 2nd Place")</f>
        <v>Youth Rental 2nd Place</v>
      </c>
      <c r="I723" s="1" t="str">
        <f ca="1">IFERROR(__xludf.DUMMYFUNCTION("GOOGLETRANSLATE('대전도시공사_청년임대주택 현황_20240630'!I723,""ko"",""en"")"),"2000000")</f>
        <v>2000000</v>
      </c>
      <c r="J723" s="1" t="str">
        <f ca="1">IFERROR(__xludf.DUMMYFUNCTION("GOOGLETRANSLATE('대전도시공사_청년임대주택 현황_20240630'!J723,""ko"",""en"")"),"309400")</f>
        <v>309400</v>
      </c>
    </row>
    <row r="724" spans="1:10" ht="12.5" x14ac:dyDescent="0.25">
      <c r="A724" s="1" t="str">
        <f ca="1">IFERROR(__xludf.DUMMYFUNCTION("GOOGLETRANSLATE('대전도시공사_청년임대주택 현황_20240630'!A724,""ko"",""en"")"),"Goejeong-dong 3-18 (Samyoung Building, youth rental)")</f>
        <v>Goejeong-dong 3-18 (Samyoung Building, youth rental)</v>
      </c>
      <c r="B724" s="1" t="str">
        <f ca="1">IFERROR(__xludf.DUMMYFUNCTION("GOOGLETRANSLATE('대전도시공사_청년임대주택 현황_20240630'!B724,""ko"",""en"")"),"177")</f>
        <v>177</v>
      </c>
      <c r="C724" s="1" t="str">
        <f ca="1">IFERROR(__xludf.DUMMYFUNCTION("GOOGLETRANSLATE('대전도시공사_청년임대주택 현황_20240630'!C724,""ko"",""en"")"),"1")</f>
        <v>1</v>
      </c>
      <c r="D724" s="1" t="str">
        <f ca="1">IFERROR(__xludf.DUMMYFUNCTION("GOOGLETRANSLATE('대전도시공사_청년임대주택 현황_20240630'!D724,""ko"",""en"")"),"1010")</f>
        <v>1010</v>
      </c>
      <c r="E724" s="1" t="str">
        <f ca="1">IFERROR(__xludf.DUMMYFUNCTION("GOOGLETRANSLATE('대전도시공사_청년임대주택 현황_20240630'!E724,""ko"",""en"")"),"64.993")</f>
        <v>64.993</v>
      </c>
      <c r="F724" s="1" t="str">
        <f ca="1">IFERROR(__xludf.DUMMYFUNCTION("GOOGLETRANSLATE('대전도시공사_청년임대주택 현황_20240630'!F724,""ko"",""en"")"),"22.438")</f>
        <v>22.438</v>
      </c>
      <c r="G724" s="1" t="str">
        <f ca="1">IFERROR(__xludf.DUMMYFUNCTION("GOOGLETRANSLATE('대전도시공사_청년임대주택 현황_20240630'!G724,""ko"",""en"")"),"42.554")</f>
        <v>42.554</v>
      </c>
      <c r="H724" s="1" t="str">
        <f ca="1">IFERROR(__xludf.DUMMYFUNCTION("GOOGLETRANSLATE('대전도시공사_청년임대주택 현황_20240630'!H724,""ko"",""en"")"),"3rd place for youth rental")</f>
        <v>3rd place for youth rental</v>
      </c>
      <c r="I724" s="1" t="str">
        <f ca="1">IFERROR(__xludf.DUMMYFUNCTION("GOOGLETRANSLATE('대전도시공사_청년임대주택 현황_20240630'!I724,""ko"",""en"")"),"2000000")</f>
        <v>2000000</v>
      </c>
      <c r="J724" s="1" t="str">
        <f ca="1">IFERROR(__xludf.DUMMYFUNCTION("GOOGLETRANSLATE('대전도시공사_청년임대주택 현황_20240630'!J724,""ko"",""en"")"),"309400")</f>
        <v>309400</v>
      </c>
    </row>
    <row r="725" spans="1:10" ht="12.5" x14ac:dyDescent="0.25">
      <c r="A725" s="1" t="str">
        <f ca="1">IFERROR(__xludf.DUMMYFUNCTION("GOOGLETRANSLATE('대전도시공사_청년임대주택 현황_20240630'!A725,""ko"",""en"")"),"Goejeong-dong 3-18 (Samyoung Building, youth rental)")</f>
        <v>Goejeong-dong 3-18 (Samyoung Building, youth rental)</v>
      </c>
      <c r="B725" s="1" t="str">
        <f ca="1">IFERROR(__xludf.DUMMYFUNCTION("GOOGLETRANSLATE('대전도시공사_청년임대주택 현황_20240630'!B725,""ko"",""en"")"),"178")</f>
        <v>178</v>
      </c>
      <c r="C725" s="1" t="str">
        <f ca="1">IFERROR(__xludf.DUMMYFUNCTION("GOOGLETRANSLATE('대전도시공사_청년임대주택 현황_20240630'!C725,""ko"",""en"")"),"1")</f>
        <v>1</v>
      </c>
      <c r="D725" s="1" t="str">
        <f ca="1">IFERROR(__xludf.DUMMYFUNCTION("GOOGLETRANSLATE('대전도시공사_청년임대주택 현황_20240630'!D725,""ko"",""en"")"),"1011")</f>
        <v>1011</v>
      </c>
      <c r="E725" s="1" t="str">
        <f ca="1">IFERROR(__xludf.DUMMYFUNCTION("GOOGLETRANSLATE('대전도시공사_청년임대주택 현황_20240630'!E725,""ko"",""en"")"),"64.993")</f>
        <v>64.993</v>
      </c>
      <c r="F725" s="1" t="str">
        <f ca="1">IFERROR(__xludf.DUMMYFUNCTION("GOOGLETRANSLATE('대전도시공사_청년임대주택 현황_20240630'!F725,""ko"",""en"")"),"22.438")</f>
        <v>22.438</v>
      </c>
      <c r="G725" s="1" t="str">
        <f ca="1">IFERROR(__xludf.DUMMYFUNCTION("GOOGLETRANSLATE('대전도시공사_청년임대주택 현황_20240630'!G725,""ko"",""en"")"),"42.554")</f>
        <v>42.554</v>
      </c>
      <c r="H725" s="1" t="str">
        <f ca="1">IFERROR(__xludf.DUMMYFUNCTION("GOOGLETRANSLATE('대전도시공사_청년임대주택 현황_20240630'!H725,""ko"",""en"")"),"Youth Rent 1st Place")</f>
        <v>Youth Rent 1st Place</v>
      </c>
      <c r="I725" s="1" t="str">
        <f ca="1">IFERROR(__xludf.DUMMYFUNCTION("GOOGLETRANSLATE('대전도시공사_청년임대주택 현황_20240630'!I725,""ko"",""en"")"),"1000000")</f>
        <v>1000000</v>
      </c>
      <c r="J725" s="1" t="str">
        <f ca="1">IFERROR(__xludf.DUMMYFUNCTION("GOOGLETRANSLATE('대전도시공사_청년임대주택 현황_20240630'!J725,""ko"",""en"")"),"250900")</f>
        <v>250900</v>
      </c>
    </row>
    <row r="726" spans="1:10" ht="12.5" x14ac:dyDescent="0.25">
      <c r="A726" s="1" t="str">
        <f ca="1">IFERROR(__xludf.DUMMYFUNCTION("GOOGLETRANSLATE('대전도시공사_청년임대주택 현황_20240630'!A726,""ko"",""en"")"),"Goejeong-dong 3-18 (Samyoung Building, youth rental)")</f>
        <v>Goejeong-dong 3-18 (Samyoung Building, youth rental)</v>
      </c>
      <c r="B726" s="1" t="str">
        <f ca="1">IFERROR(__xludf.DUMMYFUNCTION("GOOGLETRANSLATE('대전도시공사_청년임대주택 현황_20240630'!B726,""ko"",""en"")"),"179")</f>
        <v>179</v>
      </c>
      <c r="C726" s="1" t="str">
        <f ca="1">IFERROR(__xludf.DUMMYFUNCTION("GOOGLETRANSLATE('대전도시공사_청년임대주택 현황_20240630'!C726,""ko"",""en"")"),"1")</f>
        <v>1</v>
      </c>
      <c r="D726" s="1" t="str">
        <f ca="1">IFERROR(__xludf.DUMMYFUNCTION("GOOGLETRANSLATE('대전도시공사_청년임대주택 현황_20240630'!D726,""ko"",""en"")"),"1011")</f>
        <v>1011</v>
      </c>
      <c r="E726" s="1" t="str">
        <f ca="1">IFERROR(__xludf.DUMMYFUNCTION("GOOGLETRANSLATE('대전도시공사_청년임대주택 현황_20240630'!E726,""ko"",""en"")"),"64.993")</f>
        <v>64.993</v>
      </c>
      <c r="F726" s="1" t="str">
        <f ca="1">IFERROR(__xludf.DUMMYFUNCTION("GOOGLETRANSLATE('대전도시공사_청년임대주택 현황_20240630'!F726,""ko"",""en"")"),"22.438")</f>
        <v>22.438</v>
      </c>
      <c r="G726" s="1" t="str">
        <f ca="1">IFERROR(__xludf.DUMMYFUNCTION("GOOGLETRANSLATE('대전도시공사_청년임대주택 현황_20240630'!G726,""ko"",""en"")"),"42.554")</f>
        <v>42.554</v>
      </c>
      <c r="H726" s="1" t="str">
        <f ca="1">IFERROR(__xludf.DUMMYFUNCTION("GOOGLETRANSLATE('대전도시공사_청년임대주택 현황_20240630'!H726,""ko"",""en"")"),"Youth Rental 2nd Place")</f>
        <v>Youth Rental 2nd Place</v>
      </c>
      <c r="I726" s="1" t="str">
        <f ca="1">IFERROR(__xludf.DUMMYFUNCTION("GOOGLETRANSLATE('대전도시공사_청년임대주택 현황_20240630'!I726,""ko"",""en"")"),"2000000")</f>
        <v>2000000</v>
      </c>
      <c r="J726" s="1" t="str">
        <f ca="1">IFERROR(__xludf.DUMMYFUNCTION("GOOGLETRANSLATE('대전도시공사_청년임대주택 현황_20240630'!J726,""ko"",""en"")"),"309400")</f>
        <v>309400</v>
      </c>
    </row>
    <row r="727" spans="1:10" ht="12.5" x14ac:dyDescent="0.25">
      <c r="A727" s="1" t="str">
        <f ca="1">IFERROR(__xludf.DUMMYFUNCTION("GOOGLETRANSLATE('대전도시공사_청년임대주택 현황_20240630'!A727,""ko"",""en"")"),"Goejeong-dong 3-18 (Samyoung Building, youth rental)")</f>
        <v>Goejeong-dong 3-18 (Samyoung Building, youth rental)</v>
      </c>
      <c r="B727" s="1" t="str">
        <f ca="1">IFERROR(__xludf.DUMMYFUNCTION("GOOGLETRANSLATE('대전도시공사_청년임대주택 현황_20240630'!B727,""ko"",""en"")"),"180")</f>
        <v>180</v>
      </c>
      <c r="C727" s="1" t="str">
        <f ca="1">IFERROR(__xludf.DUMMYFUNCTION("GOOGLETRANSLATE('대전도시공사_청년임대주택 현황_20240630'!C727,""ko"",""en"")"),"1")</f>
        <v>1</v>
      </c>
      <c r="D727" s="1" t="str">
        <f ca="1">IFERROR(__xludf.DUMMYFUNCTION("GOOGLETRANSLATE('대전도시공사_청년임대주택 현황_20240630'!D727,""ko"",""en"")"),"1011")</f>
        <v>1011</v>
      </c>
      <c r="E727" s="1" t="str">
        <f ca="1">IFERROR(__xludf.DUMMYFUNCTION("GOOGLETRANSLATE('대전도시공사_청년임대주택 현황_20240630'!E727,""ko"",""en"")"),"64.993")</f>
        <v>64.993</v>
      </c>
      <c r="F727" s="1" t="str">
        <f ca="1">IFERROR(__xludf.DUMMYFUNCTION("GOOGLETRANSLATE('대전도시공사_청년임대주택 현황_20240630'!F727,""ko"",""en"")"),"22.438")</f>
        <v>22.438</v>
      </c>
      <c r="G727" s="1" t="str">
        <f ca="1">IFERROR(__xludf.DUMMYFUNCTION("GOOGLETRANSLATE('대전도시공사_청년임대주택 현황_20240630'!G727,""ko"",""en"")"),"42.554")</f>
        <v>42.554</v>
      </c>
      <c r="H727" s="1" t="str">
        <f ca="1">IFERROR(__xludf.DUMMYFUNCTION("GOOGLETRANSLATE('대전도시공사_청년임대주택 현황_20240630'!H727,""ko"",""en"")"),"3rd place for youth rental")</f>
        <v>3rd place for youth rental</v>
      </c>
      <c r="I727" s="1" t="str">
        <f ca="1">IFERROR(__xludf.DUMMYFUNCTION("GOOGLETRANSLATE('대전도시공사_청년임대주택 현황_20240630'!I727,""ko"",""en"")"),"2000000")</f>
        <v>2000000</v>
      </c>
      <c r="J727" s="1" t="str">
        <f ca="1">IFERROR(__xludf.DUMMYFUNCTION("GOOGLETRANSLATE('대전도시공사_청년임대주택 현황_20240630'!J727,""ko"",""en"")"),"309400")</f>
        <v>309400</v>
      </c>
    </row>
    <row r="728" spans="1:10" ht="12.5" x14ac:dyDescent="0.25">
      <c r="A728" s="1" t="str">
        <f ca="1">IFERROR(__xludf.DUMMYFUNCTION("GOOGLETRANSLATE('대전도시공사_청년임대주택 현황_20240630'!A728,""ko"",""en"")"),"Goejeong-dong 3-18 (Samyoung Building, youth rental)")</f>
        <v>Goejeong-dong 3-18 (Samyoung Building, youth rental)</v>
      </c>
      <c r="B728" s="1" t="str">
        <f ca="1">IFERROR(__xludf.DUMMYFUNCTION("GOOGLETRANSLATE('대전도시공사_청년임대주택 현황_20240630'!B728,""ko"",""en"")"),"181")</f>
        <v>181</v>
      </c>
      <c r="C728" s="1" t="str">
        <f ca="1">IFERROR(__xludf.DUMMYFUNCTION("GOOGLETRANSLATE('대전도시공사_청년임대주택 현황_20240630'!C728,""ko"",""en"")"),"1")</f>
        <v>1</v>
      </c>
      <c r="D728" s="1" t="str">
        <f ca="1">IFERROR(__xludf.DUMMYFUNCTION("GOOGLETRANSLATE('대전도시공사_청년임대주택 현황_20240630'!D728,""ko"",""en"")"),"1012")</f>
        <v>1012</v>
      </c>
      <c r="E728" s="1" t="str">
        <f ca="1">IFERROR(__xludf.DUMMYFUNCTION("GOOGLETRANSLATE('대전도시공사_청년임대주택 현황_20240630'!E728,""ko"",""en"")"),"64.993")</f>
        <v>64.993</v>
      </c>
      <c r="F728" s="1" t="str">
        <f ca="1">IFERROR(__xludf.DUMMYFUNCTION("GOOGLETRANSLATE('대전도시공사_청년임대주택 현황_20240630'!F728,""ko"",""en"")"),"22.438")</f>
        <v>22.438</v>
      </c>
      <c r="G728" s="1" t="str">
        <f ca="1">IFERROR(__xludf.DUMMYFUNCTION("GOOGLETRANSLATE('대전도시공사_청년임대주택 현황_20240630'!G728,""ko"",""en"")"),"42.554")</f>
        <v>42.554</v>
      </c>
      <c r="H728" s="1" t="str">
        <f ca="1">IFERROR(__xludf.DUMMYFUNCTION("GOOGLETRANSLATE('대전도시공사_청년임대주택 현황_20240630'!H728,""ko"",""en"")"),"Youth Rent 1st Place")</f>
        <v>Youth Rent 1st Place</v>
      </c>
      <c r="I728" s="1" t="str">
        <f ca="1">IFERROR(__xludf.DUMMYFUNCTION("GOOGLETRANSLATE('대전도시공사_청년임대주택 현황_20240630'!I728,""ko"",""en"")"),"1000000")</f>
        <v>1000000</v>
      </c>
      <c r="J728" s="1" t="str">
        <f ca="1">IFERROR(__xludf.DUMMYFUNCTION("GOOGLETRANSLATE('대전도시공사_청년임대주택 현황_20240630'!J728,""ko"",""en"")"),"250900")</f>
        <v>250900</v>
      </c>
    </row>
    <row r="729" spans="1:10" ht="12.5" x14ac:dyDescent="0.25">
      <c r="A729" s="1" t="str">
        <f ca="1">IFERROR(__xludf.DUMMYFUNCTION("GOOGLETRANSLATE('대전도시공사_청년임대주택 현황_20240630'!A729,""ko"",""en"")"),"Goejeong-dong 3-18 (Samyoung Building, youth rental)")</f>
        <v>Goejeong-dong 3-18 (Samyoung Building, youth rental)</v>
      </c>
      <c r="B729" s="1" t="str">
        <f ca="1">IFERROR(__xludf.DUMMYFUNCTION("GOOGLETRANSLATE('대전도시공사_청년임대주택 현황_20240630'!B729,""ko"",""en"")"),"182")</f>
        <v>182</v>
      </c>
      <c r="C729" s="1" t="str">
        <f ca="1">IFERROR(__xludf.DUMMYFUNCTION("GOOGLETRANSLATE('대전도시공사_청년임대주택 현황_20240630'!C729,""ko"",""en"")"),"1")</f>
        <v>1</v>
      </c>
      <c r="D729" s="1" t="str">
        <f ca="1">IFERROR(__xludf.DUMMYFUNCTION("GOOGLETRANSLATE('대전도시공사_청년임대주택 현황_20240630'!D729,""ko"",""en"")"),"1012")</f>
        <v>1012</v>
      </c>
      <c r="E729" s="1" t="str">
        <f ca="1">IFERROR(__xludf.DUMMYFUNCTION("GOOGLETRANSLATE('대전도시공사_청년임대주택 현황_20240630'!E729,""ko"",""en"")"),"64.993")</f>
        <v>64.993</v>
      </c>
      <c r="F729" s="1" t="str">
        <f ca="1">IFERROR(__xludf.DUMMYFUNCTION("GOOGLETRANSLATE('대전도시공사_청년임대주택 현황_20240630'!F729,""ko"",""en"")"),"22.438")</f>
        <v>22.438</v>
      </c>
      <c r="G729" s="1" t="str">
        <f ca="1">IFERROR(__xludf.DUMMYFUNCTION("GOOGLETRANSLATE('대전도시공사_청년임대주택 현황_20240630'!G729,""ko"",""en"")"),"42.554")</f>
        <v>42.554</v>
      </c>
      <c r="H729" s="1" t="str">
        <f ca="1">IFERROR(__xludf.DUMMYFUNCTION("GOOGLETRANSLATE('대전도시공사_청년임대주택 현황_20240630'!H729,""ko"",""en"")"),"Youth Rental 2nd Place")</f>
        <v>Youth Rental 2nd Place</v>
      </c>
      <c r="I729" s="1" t="str">
        <f ca="1">IFERROR(__xludf.DUMMYFUNCTION("GOOGLETRANSLATE('대전도시공사_청년임대주택 현황_20240630'!I729,""ko"",""en"")"),"2000000")</f>
        <v>2000000</v>
      </c>
      <c r="J729" s="1" t="str">
        <f ca="1">IFERROR(__xludf.DUMMYFUNCTION("GOOGLETRANSLATE('대전도시공사_청년임대주택 현황_20240630'!J729,""ko"",""en"")"),"309400")</f>
        <v>309400</v>
      </c>
    </row>
    <row r="730" spans="1:10" ht="12.5" x14ac:dyDescent="0.25">
      <c r="A730" s="1" t="str">
        <f ca="1">IFERROR(__xludf.DUMMYFUNCTION("GOOGLETRANSLATE('대전도시공사_청년임대주택 현황_20240630'!A730,""ko"",""en"")"),"Goejeong-dong 3-18 (Samyoung Building, youth rental)")</f>
        <v>Goejeong-dong 3-18 (Samyoung Building, youth rental)</v>
      </c>
      <c r="B730" s="1" t="str">
        <f ca="1">IFERROR(__xludf.DUMMYFUNCTION("GOOGLETRANSLATE('대전도시공사_청년임대주택 현황_20240630'!B730,""ko"",""en"")"),"183")</f>
        <v>183</v>
      </c>
      <c r="C730" s="1" t="str">
        <f ca="1">IFERROR(__xludf.DUMMYFUNCTION("GOOGLETRANSLATE('대전도시공사_청년임대주택 현황_20240630'!C730,""ko"",""en"")"),"1")</f>
        <v>1</v>
      </c>
      <c r="D730" s="1" t="str">
        <f ca="1">IFERROR(__xludf.DUMMYFUNCTION("GOOGLETRANSLATE('대전도시공사_청년임대주택 현황_20240630'!D730,""ko"",""en"")"),"1012")</f>
        <v>1012</v>
      </c>
      <c r="E730" s="1" t="str">
        <f ca="1">IFERROR(__xludf.DUMMYFUNCTION("GOOGLETRANSLATE('대전도시공사_청년임대주택 현황_20240630'!E730,""ko"",""en"")"),"64.993")</f>
        <v>64.993</v>
      </c>
      <c r="F730" s="1" t="str">
        <f ca="1">IFERROR(__xludf.DUMMYFUNCTION("GOOGLETRANSLATE('대전도시공사_청년임대주택 현황_20240630'!F730,""ko"",""en"")"),"22.438")</f>
        <v>22.438</v>
      </c>
      <c r="G730" s="1" t="str">
        <f ca="1">IFERROR(__xludf.DUMMYFUNCTION("GOOGLETRANSLATE('대전도시공사_청년임대주택 현황_20240630'!G730,""ko"",""en"")"),"42.554")</f>
        <v>42.554</v>
      </c>
      <c r="H730" s="1" t="str">
        <f ca="1">IFERROR(__xludf.DUMMYFUNCTION("GOOGLETRANSLATE('대전도시공사_청년임대주택 현황_20240630'!H730,""ko"",""en"")"),"3rd place for youth rental")</f>
        <v>3rd place for youth rental</v>
      </c>
      <c r="I730" s="1" t="str">
        <f ca="1">IFERROR(__xludf.DUMMYFUNCTION("GOOGLETRANSLATE('대전도시공사_청년임대주택 현황_20240630'!I730,""ko"",""en"")"),"2000000")</f>
        <v>2000000</v>
      </c>
      <c r="J730" s="1" t="str">
        <f ca="1">IFERROR(__xludf.DUMMYFUNCTION("GOOGLETRANSLATE('대전도시공사_청년임대주택 현황_20240630'!J730,""ko"",""en"")"),"309400")</f>
        <v>309400</v>
      </c>
    </row>
    <row r="731" spans="1:10" ht="12.5" x14ac:dyDescent="0.25">
      <c r="A731" s="1" t="str">
        <f ca="1">IFERROR(__xludf.DUMMYFUNCTION("GOOGLETRANSLATE('대전도시공사_청년임대주택 현황_20240630'!A731,""ko"",""en"")"),"Goejeong-dong 3-18 (Samyoung Building, youth rental)")</f>
        <v>Goejeong-dong 3-18 (Samyoung Building, youth rental)</v>
      </c>
      <c r="B731" s="1" t="str">
        <f ca="1">IFERROR(__xludf.DUMMYFUNCTION("GOOGLETRANSLATE('대전도시공사_청년임대주택 현황_20240630'!B731,""ko"",""en"")"),"184")</f>
        <v>184</v>
      </c>
      <c r="C731" s="1" t="str">
        <f ca="1">IFERROR(__xludf.DUMMYFUNCTION("GOOGLETRANSLATE('대전도시공사_청년임대주택 현황_20240630'!C731,""ko"",""en"")"),"1")</f>
        <v>1</v>
      </c>
      <c r="D731" s="1" t="str">
        <f ca="1">IFERROR(__xludf.DUMMYFUNCTION("GOOGLETRANSLATE('대전도시공사_청년임대주택 현황_20240630'!D731,""ko"",""en"")"),"1013")</f>
        <v>1013</v>
      </c>
      <c r="E731" s="1" t="str">
        <f ca="1">IFERROR(__xludf.DUMMYFUNCTION("GOOGLETRANSLATE('대전도시공사_청년임대주택 현황_20240630'!E731,""ko"",""en"")"),"64.993")</f>
        <v>64.993</v>
      </c>
      <c r="F731" s="1" t="str">
        <f ca="1">IFERROR(__xludf.DUMMYFUNCTION("GOOGLETRANSLATE('대전도시공사_청년임대주택 현황_20240630'!F731,""ko"",""en"")"),"22.438")</f>
        <v>22.438</v>
      </c>
      <c r="G731" s="1" t="str">
        <f ca="1">IFERROR(__xludf.DUMMYFUNCTION("GOOGLETRANSLATE('대전도시공사_청년임대주택 현황_20240630'!G731,""ko"",""en"")"),"42.554")</f>
        <v>42.554</v>
      </c>
      <c r="H731" s="1" t="str">
        <f ca="1">IFERROR(__xludf.DUMMYFUNCTION("GOOGLETRANSLATE('대전도시공사_청년임대주택 현황_20240630'!H731,""ko"",""en"")"),"Youth Rent 1st Place")</f>
        <v>Youth Rent 1st Place</v>
      </c>
      <c r="I731" s="1" t="str">
        <f ca="1">IFERROR(__xludf.DUMMYFUNCTION("GOOGLETRANSLATE('대전도시공사_청년임대주택 현황_20240630'!I731,""ko"",""en"")"),"1000000")</f>
        <v>1000000</v>
      </c>
      <c r="J731" s="1" t="str">
        <f ca="1">IFERROR(__xludf.DUMMYFUNCTION("GOOGLETRANSLATE('대전도시공사_청년임대주택 현황_20240630'!J731,""ko"",""en"")"),"250900")</f>
        <v>250900</v>
      </c>
    </row>
    <row r="732" spans="1:10" ht="12.5" x14ac:dyDescent="0.25">
      <c r="A732" s="1" t="str">
        <f ca="1">IFERROR(__xludf.DUMMYFUNCTION("GOOGLETRANSLATE('대전도시공사_청년임대주택 현황_20240630'!A732,""ko"",""en"")"),"Goejeong-dong 3-18 (Samyoung Building, youth rental)")</f>
        <v>Goejeong-dong 3-18 (Samyoung Building, youth rental)</v>
      </c>
      <c r="B732" s="1" t="str">
        <f ca="1">IFERROR(__xludf.DUMMYFUNCTION("GOOGLETRANSLATE('대전도시공사_청년임대주택 현황_20240630'!B732,""ko"",""en"")"),"185")</f>
        <v>185</v>
      </c>
      <c r="C732" s="1" t="str">
        <f ca="1">IFERROR(__xludf.DUMMYFUNCTION("GOOGLETRANSLATE('대전도시공사_청년임대주택 현황_20240630'!C732,""ko"",""en"")"),"1")</f>
        <v>1</v>
      </c>
      <c r="D732" s="1" t="str">
        <f ca="1">IFERROR(__xludf.DUMMYFUNCTION("GOOGLETRANSLATE('대전도시공사_청년임대주택 현황_20240630'!D732,""ko"",""en"")"),"1013")</f>
        <v>1013</v>
      </c>
      <c r="E732" s="1" t="str">
        <f ca="1">IFERROR(__xludf.DUMMYFUNCTION("GOOGLETRANSLATE('대전도시공사_청년임대주택 현황_20240630'!E732,""ko"",""en"")"),"64.993")</f>
        <v>64.993</v>
      </c>
      <c r="F732" s="1" t="str">
        <f ca="1">IFERROR(__xludf.DUMMYFUNCTION("GOOGLETRANSLATE('대전도시공사_청년임대주택 현황_20240630'!F732,""ko"",""en"")"),"22.438")</f>
        <v>22.438</v>
      </c>
      <c r="G732" s="1" t="str">
        <f ca="1">IFERROR(__xludf.DUMMYFUNCTION("GOOGLETRANSLATE('대전도시공사_청년임대주택 현황_20240630'!G732,""ko"",""en"")"),"42.554")</f>
        <v>42.554</v>
      </c>
      <c r="H732" s="1" t="str">
        <f ca="1">IFERROR(__xludf.DUMMYFUNCTION("GOOGLETRANSLATE('대전도시공사_청년임대주택 현황_20240630'!H732,""ko"",""en"")"),"Youth Rental 2nd Place")</f>
        <v>Youth Rental 2nd Place</v>
      </c>
      <c r="I732" s="1" t="str">
        <f ca="1">IFERROR(__xludf.DUMMYFUNCTION("GOOGLETRANSLATE('대전도시공사_청년임대주택 현황_20240630'!I732,""ko"",""en"")"),"2000000")</f>
        <v>2000000</v>
      </c>
      <c r="J732" s="1" t="str">
        <f ca="1">IFERROR(__xludf.DUMMYFUNCTION("GOOGLETRANSLATE('대전도시공사_청년임대주택 현황_20240630'!J732,""ko"",""en"")"),"309400")</f>
        <v>309400</v>
      </c>
    </row>
    <row r="733" spans="1:10" ht="12.5" x14ac:dyDescent="0.25">
      <c r="A733" s="1" t="str">
        <f ca="1">IFERROR(__xludf.DUMMYFUNCTION("GOOGLETRANSLATE('대전도시공사_청년임대주택 현황_20240630'!A733,""ko"",""en"")"),"Goejeong-dong 3-18 (Samyoung Building, youth rental)")</f>
        <v>Goejeong-dong 3-18 (Samyoung Building, youth rental)</v>
      </c>
      <c r="B733" s="1" t="str">
        <f ca="1">IFERROR(__xludf.DUMMYFUNCTION("GOOGLETRANSLATE('대전도시공사_청년임대주택 현황_20240630'!B733,""ko"",""en"")"),"186")</f>
        <v>186</v>
      </c>
      <c r="C733" s="1" t="str">
        <f ca="1">IFERROR(__xludf.DUMMYFUNCTION("GOOGLETRANSLATE('대전도시공사_청년임대주택 현황_20240630'!C733,""ko"",""en"")"),"1")</f>
        <v>1</v>
      </c>
      <c r="D733" s="1" t="str">
        <f ca="1">IFERROR(__xludf.DUMMYFUNCTION("GOOGLETRANSLATE('대전도시공사_청년임대주택 현황_20240630'!D733,""ko"",""en"")"),"1013")</f>
        <v>1013</v>
      </c>
      <c r="E733" s="1" t="str">
        <f ca="1">IFERROR(__xludf.DUMMYFUNCTION("GOOGLETRANSLATE('대전도시공사_청년임대주택 현황_20240630'!E733,""ko"",""en"")"),"64.993")</f>
        <v>64.993</v>
      </c>
      <c r="F733" s="1" t="str">
        <f ca="1">IFERROR(__xludf.DUMMYFUNCTION("GOOGLETRANSLATE('대전도시공사_청년임대주택 현황_20240630'!F733,""ko"",""en"")"),"22.438")</f>
        <v>22.438</v>
      </c>
      <c r="G733" s="1" t="str">
        <f ca="1">IFERROR(__xludf.DUMMYFUNCTION("GOOGLETRANSLATE('대전도시공사_청년임대주택 현황_20240630'!G733,""ko"",""en"")"),"42.554")</f>
        <v>42.554</v>
      </c>
      <c r="H733" s="1" t="str">
        <f ca="1">IFERROR(__xludf.DUMMYFUNCTION("GOOGLETRANSLATE('대전도시공사_청년임대주택 현황_20240630'!H733,""ko"",""en"")"),"3rd place for youth rental")</f>
        <v>3rd place for youth rental</v>
      </c>
      <c r="I733" s="1" t="str">
        <f ca="1">IFERROR(__xludf.DUMMYFUNCTION("GOOGLETRANSLATE('대전도시공사_청년임대주택 현황_20240630'!I733,""ko"",""en"")"),"2000000")</f>
        <v>2000000</v>
      </c>
      <c r="J733" s="1" t="str">
        <f ca="1">IFERROR(__xludf.DUMMYFUNCTION("GOOGLETRANSLATE('대전도시공사_청년임대주택 현황_20240630'!J733,""ko"",""en"")"),"309400")</f>
        <v>309400</v>
      </c>
    </row>
    <row r="734" spans="1:10" ht="12.5" x14ac:dyDescent="0.25">
      <c r="A734" s="1" t="str">
        <f ca="1">IFERROR(__xludf.DUMMYFUNCTION("GOOGLETRANSLATE('대전도시공사_청년임대주택 현황_20240630'!A734,""ko"",""en"")"),"Goejeong-dong 3-18 (Samyoung Building, youth rental)")</f>
        <v>Goejeong-dong 3-18 (Samyoung Building, youth rental)</v>
      </c>
      <c r="B734" s="1" t="str">
        <f ca="1">IFERROR(__xludf.DUMMYFUNCTION("GOOGLETRANSLATE('대전도시공사_청년임대주택 현황_20240630'!B734,""ko"",""en"")"),"187")</f>
        <v>187</v>
      </c>
      <c r="C734" s="1" t="str">
        <f ca="1">IFERROR(__xludf.DUMMYFUNCTION("GOOGLETRANSLATE('대전도시공사_청년임대주택 현황_20240630'!C734,""ko"",""en"")"),"1")</f>
        <v>1</v>
      </c>
      <c r="D734" s="1" t="str">
        <f ca="1">IFERROR(__xludf.DUMMYFUNCTION("GOOGLETRANSLATE('대전도시공사_청년임대주택 현황_20240630'!D734,""ko"",""en"")"),"1014")</f>
        <v>1014</v>
      </c>
      <c r="E734" s="1" t="str">
        <f ca="1">IFERROR(__xludf.DUMMYFUNCTION("GOOGLETRANSLATE('대전도시공사_청년임대주택 현황_20240630'!E734,""ko"",""en"")"),"64.993")</f>
        <v>64.993</v>
      </c>
      <c r="F734" s="1" t="str">
        <f ca="1">IFERROR(__xludf.DUMMYFUNCTION("GOOGLETRANSLATE('대전도시공사_청년임대주택 현황_20240630'!F734,""ko"",""en"")"),"22.438")</f>
        <v>22.438</v>
      </c>
      <c r="G734" s="1" t="str">
        <f ca="1">IFERROR(__xludf.DUMMYFUNCTION("GOOGLETRANSLATE('대전도시공사_청년임대주택 현황_20240630'!G734,""ko"",""en"")"),"42.554")</f>
        <v>42.554</v>
      </c>
      <c r="H734" s="1" t="str">
        <f ca="1">IFERROR(__xludf.DUMMYFUNCTION("GOOGLETRANSLATE('대전도시공사_청년임대주택 현황_20240630'!H734,""ko"",""en"")"),"Youth Rent 1st Place")</f>
        <v>Youth Rent 1st Place</v>
      </c>
      <c r="I734" s="1" t="str">
        <f ca="1">IFERROR(__xludf.DUMMYFUNCTION("GOOGLETRANSLATE('대전도시공사_청년임대주택 현황_20240630'!I734,""ko"",""en"")"),"1000000")</f>
        <v>1000000</v>
      </c>
      <c r="J734" s="1" t="str">
        <f ca="1">IFERROR(__xludf.DUMMYFUNCTION("GOOGLETRANSLATE('대전도시공사_청년임대주택 현황_20240630'!J734,""ko"",""en"")"),"250900")</f>
        <v>250900</v>
      </c>
    </row>
    <row r="735" spans="1:10" ht="12.5" x14ac:dyDescent="0.25">
      <c r="A735" s="1" t="str">
        <f ca="1">IFERROR(__xludf.DUMMYFUNCTION("GOOGLETRANSLATE('대전도시공사_청년임대주택 현황_20240630'!A735,""ko"",""en"")"),"Goejeong-dong 3-18 (Samyoung Building, youth rental)")</f>
        <v>Goejeong-dong 3-18 (Samyoung Building, youth rental)</v>
      </c>
      <c r="B735" s="1" t="str">
        <f ca="1">IFERROR(__xludf.DUMMYFUNCTION("GOOGLETRANSLATE('대전도시공사_청년임대주택 현황_20240630'!B735,""ko"",""en"")"),"188")</f>
        <v>188</v>
      </c>
      <c r="C735" s="1" t="str">
        <f ca="1">IFERROR(__xludf.DUMMYFUNCTION("GOOGLETRANSLATE('대전도시공사_청년임대주택 현황_20240630'!C735,""ko"",""en"")"),"1")</f>
        <v>1</v>
      </c>
      <c r="D735" s="1" t="str">
        <f ca="1">IFERROR(__xludf.DUMMYFUNCTION("GOOGLETRANSLATE('대전도시공사_청년임대주택 현황_20240630'!D735,""ko"",""en"")"),"1014")</f>
        <v>1014</v>
      </c>
      <c r="E735" s="1" t="str">
        <f ca="1">IFERROR(__xludf.DUMMYFUNCTION("GOOGLETRANSLATE('대전도시공사_청년임대주택 현황_20240630'!E735,""ko"",""en"")"),"64.993")</f>
        <v>64.993</v>
      </c>
      <c r="F735" s="1" t="str">
        <f ca="1">IFERROR(__xludf.DUMMYFUNCTION("GOOGLETRANSLATE('대전도시공사_청년임대주택 현황_20240630'!F735,""ko"",""en"")"),"22.438")</f>
        <v>22.438</v>
      </c>
      <c r="G735" s="1" t="str">
        <f ca="1">IFERROR(__xludf.DUMMYFUNCTION("GOOGLETRANSLATE('대전도시공사_청년임대주택 현황_20240630'!G735,""ko"",""en"")"),"42.554")</f>
        <v>42.554</v>
      </c>
      <c r="H735" s="1" t="str">
        <f ca="1">IFERROR(__xludf.DUMMYFUNCTION("GOOGLETRANSLATE('대전도시공사_청년임대주택 현황_20240630'!H735,""ko"",""en"")"),"Youth Rental 2nd Place")</f>
        <v>Youth Rental 2nd Place</v>
      </c>
      <c r="I735" s="1" t="str">
        <f ca="1">IFERROR(__xludf.DUMMYFUNCTION("GOOGLETRANSLATE('대전도시공사_청년임대주택 현황_20240630'!I735,""ko"",""en"")"),"2000000")</f>
        <v>2000000</v>
      </c>
      <c r="J735" s="1" t="str">
        <f ca="1">IFERROR(__xludf.DUMMYFUNCTION("GOOGLETRANSLATE('대전도시공사_청년임대주택 현황_20240630'!J735,""ko"",""en"")"),"309400")</f>
        <v>309400</v>
      </c>
    </row>
    <row r="736" spans="1:10" ht="12.5" x14ac:dyDescent="0.25">
      <c r="A736" s="1" t="str">
        <f ca="1">IFERROR(__xludf.DUMMYFUNCTION("GOOGLETRANSLATE('대전도시공사_청년임대주택 현황_20240630'!A736,""ko"",""en"")"),"Goejeong-dong 3-18 (Samyoung Building, youth rental)")</f>
        <v>Goejeong-dong 3-18 (Samyoung Building, youth rental)</v>
      </c>
      <c r="B736" s="1" t="str">
        <f ca="1">IFERROR(__xludf.DUMMYFUNCTION("GOOGLETRANSLATE('대전도시공사_청년임대주택 현황_20240630'!B736,""ko"",""en"")"),"189")</f>
        <v>189</v>
      </c>
      <c r="C736" s="1" t="str">
        <f ca="1">IFERROR(__xludf.DUMMYFUNCTION("GOOGLETRANSLATE('대전도시공사_청년임대주택 현황_20240630'!C736,""ko"",""en"")"),"1")</f>
        <v>1</v>
      </c>
      <c r="D736" s="1" t="str">
        <f ca="1">IFERROR(__xludf.DUMMYFUNCTION("GOOGLETRANSLATE('대전도시공사_청년임대주택 현황_20240630'!D736,""ko"",""en"")"),"1014")</f>
        <v>1014</v>
      </c>
      <c r="E736" s="1" t="str">
        <f ca="1">IFERROR(__xludf.DUMMYFUNCTION("GOOGLETRANSLATE('대전도시공사_청년임대주택 현황_20240630'!E736,""ko"",""en"")"),"64.993")</f>
        <v>64.993</v>
      </c>
      <c r="F736" s="1" t="str">
        <f ca="1">IFERROR(__xludf.DUMMYFUNCTION("GOOGLETRANSLATE('대전도시공사_청년임대주택 현황_20240630'!F736,""ko"",""en"")"),"22.438")</f>
        <v>22.438</v>
      </c>
      <c r="G736" s="1" t="str">
        <f ca="1">IFERROR(__xludf.DUMMYFUNCTION("GOOGLETRANSLATE('대전도시공사_청년임대주택 현황_20240630'!G736,""ko"",""en"")"),"42.554")</f>
        <v>42.554</v>
      </c>
      <c r="H736" s="1" t="str">
        <f ca="1">IFERROR(__xludf.DUMMYFUNCTION("GOOGLETRANSLATE('대전도시공사_청년임대주택 현황_20240630'!H736,""ko"",""en"")"),"3rd place for youth rental")</f>
        <v>3rd place for youth rental</v>
      </c>
      <c r="I736" s="1" t="str">
        <f ca="1">IFERROR(__xludf.DUMMYFUNCTION("GOOGLETRANSLATE('대전도시공사_청년임대주택 현황_20240630'!I736,""ko"",""en"")"),"2000000")</f>
        <v>2000000</v>
      </c>
      <c r="J736" s="1" t="str">
        <f ca="1">IFERROR(__xludf.DUMMYFUNCTION("GOOGLETRANSLATE('대전도시공사_청년임대주택 현황_20240630'!J736,""ko"",""en"")"),"309400")</f>
        <v>309400</v>
      </c>
    </row>
    <row r="737" spans="1:10" ht="12.5" x14ac:dyDescent="0.25">
      <c r="A737" s="1" t="str">
        <f ca="1">IFERROR(__xludf.DUMMYFUNCTION("GOOGLETRANSLATE('대전도시공사_청년임대주택 현황_20240630'!A737,""ko"",""en"")"),"Goejeong-dong 3-18 (Samyoung Building, youth rental)")</f>
        <v>Goejeong-dong 3-18 (Samyoung Building, youth rental)</v>
      </c>
      <c r="B737" s="1" t="str">
        <f ca="1">IFERROR(__xludf.DUMMYFUNCTION("GOOGLETRANSLATE('대전도시공사_청년임대주택 현황_20240630'!B737,""ko"",""en"")"),"190")</f>
        <v>190</v>
      </c>
      <c r="C737" s="1" t="str">
        <f ca="1">IFERROR(__xludf.DUMMYFUNCTION("GOOGLETRANSLATE('대전도시공사_청년임대주택 현황_20240630'!C737,""ko"",""en"")"),"1")</f>
        <v>1</v>
      </c>
      <c r="D737" s="1" t="str">
        <f ca="1">IFERROR(__xludf.DUMMYFUNCTION("GOOGLETRANSLATE('대전도시공사_청년임대주택 현황_20240630'!D737,""ko"",""en"")"),"1015")</f>
        <v>1015</v>
      </c>
      <c r="E737" s="1" t="str">
        <f ca="1">IFERROR(__xludf.DUMMYFUNCTION("GOOGLETRANSLATE('대전도시공사_청년임대주택 현황_20240630'!E737,""ko"",""en"")"),"64.993")</f>
        <v>64.993</v>
      </c>
      <c r="F737" s="1" t="str">
        <f ca="1">IFERROR(__xludf.DUMMYFUNCTION("GOOGLETRANSLATE('대전도시공사_청년임대주택 현황_20240630'!F737,""ko"",""en"")"),"22.438")</f>
        <v>22.438</v>
      </c>
      <c r="G737" s="1" t="str">
        <f ca="1">IFERROR(__xludf.DUMMYFUNCTION("GOOGLETRANSLATE('대전도시공사_청년임대주택 현황_20240630'!G737,""ko"",""en"")"),"42.554")</f>
        <v>42.554</v>
      </c>
      <c r="H737" s="1" t="str">
        <f ca="1">IFERROR(__xludf.DUMMYFUNCTION("GOOGLETRANSLATE('대전도시공사_청년임대주택 현황_20240630'!H737,""ko"",""en"")"),"Youth Rent 1st Place")</f>
        <v>Youth Rent 1st Place</v>
      </c>
      <c r="I737" s="1" t="str">
        <f ca="1">IFERROR(__xludf.DUMMYFUNCTION("GOOGLETRANSLATE('대전도시공사_청년임대주택 현황_20240630'!I737,""ko"",""en"")"),"1000000")</f>
        <v>1000000</v>
      </c>
      <c r="J737" s="1" t="str">
        <f ca="1">IFERROR(__xludf.DUMMYFUNCTION("GOOGLETRANSLATE('대전도시공사_청년임대주택 현황_20240630'!J737,""ko"",""en"")"),"250900")</f>
        <v>250900</v>
      </c>
    </row>
    <row r="738" spans="1:10" ht="12.5" x14ac:dyDescent="0.25">
      <c r="A738" s="1" t="str">
        <f ca="1">IFERROR(__xludf.DUMMYFUNCTION("GOOGLETRANSLATE('대전도시공사_청년임대주택 현황_20240630'!A738,""ko"",""en"")"),"Goejeong-dong 3-18 (Samyoung Building, youth rental)")</f>
        <v>Goejeong-dong 3-18 (Samyoung Building, youth rental)</v>
      </c>
      <c r="B738" s="1" t="str">
        <f ca="1">IFERROR(__xludf.DUMMYFUNCTION("GOOGLETRANSLATE('대전도시공사_청년임대주택 현황_20240630'!B738,""ko"",""en"")"),"191")</f>
        <v>191</v>
      </c>
      <c r="C738" s="1" t="str">
        <f ca="1">IFERROR(__xludf.DUMMYFUNCTION("GOOGLETRANSLATE('대전도시공사_청년임대주택 현황_20240630'!C738,""ko"",""en"")"),"1")</f>
        <v>1</v>
      </c>
      <c r="D738" s="1" t="str">
        <f ca="1">IFERROR(__xludf.DUMMYFUNCTION("GOOGLETRANSLATE('대전도시공사_청년임대주택 현황_20240630'!D738,""ko"",""en"")"),"1015")</f>
        <v>1015</v>
      </c>
      <c r="E738" s="1" t="str">
        <f ca="1">IFERROR(__xludf.DUMMYFUNCTION("GOOGLETRANSLATE('대전도시공사_청년임대주택 현황_20240630'!E738,""ko"",""en"")"),"64.993")</f>
        <v>64.993</v>
      </c>
      <c r="F738" s="1" t="str">
        <f ca="1">IFERROR(__xludf.DUMMYFUNCTION("GOOGLETRANSLATE('대전도시공사_청년임대주택 현황_20240630'!F738,""ko"",""en"")"),"22.438")</f>
        <v>22.438</v>
      </c>
      <c r="G738" s="1" t="str">
        <f ca="1">IFERROR(__xludf.DUMMYFUNCTION("GOOGLETRANSLATE('대전도시공사_청년임대주택 현황_20240630'!G738,""ko"",""en"")"),"42.554")</f>
        <v>42.554</v>
      </c>
      <c r="H738" s="1" t="str">
        <f ca="1">IFERROR(__xludf.DUMMYFUNCTION("GOOGLETRANSLATE('대전도시공사_청년임대주택 현황_20240630'!H738,""ko"",""en"")"),"Youth Rental 2nd Place")</f>
        <v>Youth Rental 2nd Place</v>
      </c>
      <c r="I738" s="1" t="str">
        <f ca="1">IFERROR(__xludf.DUMMYFUNCTION("GOOGLETRANSLATE('대전도시공사_청년임대주택 현황_20240630'!I738,""ko"",""en"")"),"2000000")</f>
        <v>2000000</v>
      </c>
      <c r="J738" s="1" t="str">
        <f ca="1">IFERROR(__xludf.DUMMYFUNCTION("GOOGLETRANSLATE('대전도시공사_청년임대주택 현황_20240630'!J738,""ko"",""en"")"),"309400")</f>
        <v>309400</v>
      </c>
    </row>
    <row r="739" spans="1:10" ht="12.5" x14ac:dyDescent="0.25">
      <c r="A739" s="1" t="str">
        <f ca="1">IFERROR(__xludf.DUMMYFUNCTION("GOOGLETRANSLATE('대전도시공사_청년임대주택 현황_20240630'!A739,""ko"",""en"")"),"Goejeong-dong 3-18 (Samyoung Building, youth rental)")</f>
        <v>Goejeong-dong 3-18 (Samyoung Building, youth rental)</v>
      </c>
      <c r="B739" s="1" t="str">
        <f ca="1">IFERROR(__xludf.DUMMYFUNCTION("GOOGLETRANSLATE('대전도시공사_청년임대주택 현황_20240630'!B739,""ko"",""en"")"),"192")</f>
        <v>192</v>
      </c>
      <c r="C739" s="1" t="str">
        <f ca="1">IFERROR(__xludf.DUMMYFUNCTION("GOOGLETRANSLATE('대전도시공사_청년임대주택 현황_20240630'!C739,""ko"",""en"")"),"1")</f>
        <v>1</v>
      </c>
      <c r="D739" s="1" t="str">
        <f ca="1">IFERROR(__xludf.DUMMYFUNCTION("GOOGLETRANSLATE('대전도시공사_청년임대주택 현황_20240630'!D739,""ko"",""en"")"),"1015")</f>
        <v>1015</v>
      </c>
      <c r="E739" s="1" t="str">
        <f ca="1">IFERROR(__xludf.DUMMYFUNCTION("GOOGLETRANSLATE('대전도시공사_청년임대주택 현황_20240630'!E739,""ko"",""en"")"),"64.993")</f>
        <v>64.993</v>
      </c>
      <c r="F739" s="1" t="str">
        <f ca="1">IFERROR(__xludf.DUMMYFUNCTION("GOOGLETRANSLATE('대전도시공사_청년임대주택 현황_20240630'!F739,""ko"",""en"")"),"22.438")</f>
        <v>22.438</v>
      </c>
      <c r="G739" s="1" t="str">
        <f ca="1">IFERROR(__xludf.DUMMYFUNCTION("GOOGLETRANSLATE('대전도시공사_청년임대주택 현황_20240630'!G739,""ko"",""en"")"),"42.554")</f>
        <v>42.554</v>
      </c>
      <c r="H739" s="1" t="str">
        <f ca="1">IFERROR(__xludf.DUMMYFUNCTION("GOOGLETRANSLATE('대전도시공사_청년임대주택 현황_20240630'!H739,""ko"",""en"")"),"3rd place for youth rental")</f>
        <v>3rd place for youth rental</v>
      </c>
      <c r="I739" s="1" t="str">
        <f ca="1">IFERROR(__xludf.DUMMYFUNCTION("GOOGLETRANSLATE('대전도시공사_청년임대주택 현황_20240630'!I739,""ko"",""en"")"),"2000000")</f>
        <v>2000000</v>
      </c>
      <c r="J739" s="1" t="str">
        <f ca="1">IFERROR(__xludf.DUMMYFUNCTION("GOOGLETRANSLATE('대전도시공사_청년임대주택 현황_20240630'!J739,""ko"",""en"")"),"309400")</f>
        <v>309400</v>
      </c>
    </row>
    <row r="740" spans="1:10" ht="12.5" x14ac:dyDescent="0.25">
      <c r="A740" s="1" t="str">
        <f ca="1">IFERROR(__xludf.DUMMYFUNCTION("GOOGLETRANSLATE('대전도시공사_청년임대주택 현황_20240630'!A740,""ko"",""en"")"),"Goejeong-dong 3-18 (Samyoung Building, youth rental)")</f>
        <v>Goejeong-dong 3-18 (Samyoung Building, youth rental)</v>
      </c>
      <c r="B740" s="1" t="str">
        <f ca="1">IFERROR(__xludf.DUMMYFUNCTION("GOOGLETRANSLATE('대전도시공사_청년임대주택 현황_20240630'!B740,""ko"",""en"")"),"193")</f>
        <v>193</v>
      </c>
      <c r="C740" s="1" t="str">
        <f ca="1">IFERROR(__xludf.DUMMYFUNCTION("GOOGLETRANSLATE('대전도시공사_청년임대주택 현황_20240630'!C740,""ko"",""en"")"),"1")</f>
        <v>1</v>
      </c>
      <c r="D740" s="1" t="str">
        <f ca="1">IFERROR(__xludf.DUMMYFUNCTION("GOOGLETRANSLATE('대전도시공사_청년임대주택 현황_20240630'!D740,""ko"",""en"")"),"1016")</f>
        <v>1016</v>
      </c>
      <c r="E740" s="1" t="str">
        <f ca="1">IFERROR(__xludf.DUMMYFUNCTION("GOOGLETRANSLATE('대전도시공사_청년임대주택 현황_20240630'!E740,""ko"",""en"")"),"64.993")</f>
        <v>64.993</v>
      </c>
      <c r="F740" s="1" t="str">
        <f ca="1">IFERROR(__xludf.DUMMYFUNCTION("GOOGLETRANSLATE('대전도시공사_청년임대주택 현황_20240630'!F740,""ko"",""en"")"),"22.438")</f>
        <v>22.438</v>
      </c>
      <c r="G740" s="1" t="str">
        <f ca="1">IFERROR(__xludf.DUMMYFUNCTION("GOOGLETRANSLATE('대전도시공사_청년임대주택 현황_20240630'!G740,""ko"",""en"")"),"42.554")</f>
        <v>42.554</v>
      </c>
      <c r="H740" s="1" t="str">
        <f ca="1">IFERROR(__xludf.DUMMYFUNCTION("GOOGLETRANSLATE('대전도시공사_청년임대주택 현황_20240630'!H740,""ko"",""en"")"),"Youth Rent 1st Place")</f>
        <v>Youth Rent 1st Place</v>
      </c>
      <c r="I740" s="1" t="str">
        <f ca="1">IFERROR(__xludf.DUMMYFUNCTION("GOOGLETRANSLATE('대전도시공사_청년임대주택 현황_20240630'!I740,""ko"",""en"")"),"1000000")</f>
        <v>1000000</v>
      </c>
      <c r="J740" s="1" t="str">
        <f ca="1">IFERROR(__xludf.DUMMYFUNCTION("GOOGLETRANSLATE('대전도시공사_청년임대주택 현황_20240630'!J740,""ko"",""en"")"),"250900")</f>
        <v>250900</v>
      </c>
    </row>
    <row r="741" spans="1:10" ht="12.5" x14ac:dyDescent="0.25">
      <c r="A741" s="1" t="str">
        <f ca="1">IFERROR(__xludf.DUMMYFUNCTION("GOOGLETRANSLATE('대전도시공사_청년임대주택 현황_20240630'!A741,""ko"",""en"")"),"Goejeong-dong 3-18 (Samyoung Building, youth rental)")</f>
        <v>Goejeong-dong 3-18 (Samyoung Building, youth rental)</v>
      </c>
      <c r="B741" s="1" t="str">
        <f ca="1">IFERROR(__xludf.DUMMYFUNCTION("GOOGLETRANSLATE('대전도시공사_청년임대주택 현황_20240630'!B741,""ko"",""en"")"),"194")</f>
        <v>194</v>
      </c>
      <c r="C741" s="1" t="str">
        <f ca="1">IFERROR(__xludf.DUMMYFUNCTION("GOOGLETRANSLATE('대전도시공사_청년임대주택 현황_20240630'!C741,""ko"",""en"")"),"1")</f>
        <v>1</v>
      </c>
      <c r="D741" s="1" t="str">
        <f ca="1">IFERROR(__xludf.DUMMYFUNCTION("GOOGLETRANSLATE('대전도시공사_청년임대주택 현황_20240630'!D741,""ko"",""en"")"),"1016")</f>
        <v>1016</v>
      </c>
      <c r="E741" s="1" t="str">
        <f ca="1">IFERROR(__xludf.DUMMYFUNCTION("GOOGLETRANSLATE('대전도시공사_청년임대주택 현황_20240630'!E741,""ko"",""en"")"),"64.993")</f>
        <v>64.993</v>
      </c>
      <c r="F741" s="1" t="str">
        <f ca="1">IFERROR(__xludf.DUMMYFUNCTION("GOOGLETRANSLATE('대전도시공사_청년임대주택 현황_20240630'!F741,""ko"",""en"")"),"22.438")</f>
        <v>22.438</v>
      </c>
      <c r="G741" s="1" t="str">
        <f ca="1">IFERROR(__xludf.DUMMYFUNCTION("GOOGLETRANSLATE('대전도시공사_청년임대주택 현황_20240630'!G741,""ko"",""en"")"),"42.554")</f>
        <v>42.554</v>
      </c>
      <c r="H741" s="1" t="str">
        <f ca="1">IFERROR(__xludf.DUMMYFUNCTION("GOOGLETRANSLATE('대전도시공사_청년임대주택 현황_20240630'!H741,""ko"",""en"")"),"Youth Rental 2nd Place")</f>
        <v>Youth Rental 2nd Place</v>
      </c>
      <c r="I741" s="1" t="str">
        <f ca="1">IFERROR(__xludf.DUMMYFUNCTION("GOOGLETRANSLATE('대전도시공사_청년임대주택 현황_20240630'!I741,""ko"",""en"")"),"2000000")</f>
        <v>2000000</v>
      </c>
      <c r="J741" s="1" t="str">
        <f ca="1">IFERROR(__xludf.DUMMYFUNCTION("GOOGLETRANSLATE('대전도시공사_청년임대주택 현황_20240630'!J741,""ko"",""en"")"),"309400")</f>
        <v>309400</v>
      </c>
    </row>
    <row r="742" spans="1:10" ht="12.5" x14ac:dyDescent="0.25">
      <c r="A742" s="1" t="str">
        <f ca="1">IFERROR(__xludf.DUMMYFUNCTION("GOOGLETRANSLATE('대전도시공사_청년임대주택 현황_20240630'!A742,""ko"",""en"")"),"Goejeong-dong 3-18 (Samyoung Building, youth rental)")</f>
        <v>Goejeong-dong 3-18 (Samyoung Building, youth rental)</v>
      </c>
      <c r="B742" s="1" t="str">
        <f ca="1">IFERROR(__xludf.DUMMYFUNCTION("GOOGLETRANSLATE('대전도시공사_청년임대주택 현황_20240630'!B742,""ko"",""en"")"),"195")</f>
        <v>195</v>
      </c>
      <c r="C742" s="1" t="str">
        <f ca="1">IFERROR(__xludf.DUMMYFUNCTION("GOOGLETRANSLATE('대전도시공사_청년임대주택 현황_20240630'!C742,""ko"",""en"")"),"1")</f>
        <v>1</v>
      </c>
      <c r="D742" s="1" t="str">
        <f ca="1">IFERROR(__xludf.DUMMYFUNCTION("GOOGLETRANSLATE('대전도시공사_청년임대주택 현황_20240630'!D742,""ko"",""en"")"),"1016")</f>
        <v>1016</v>
      </c>
      <c r="E742" s="1" t="str">
        <f ca="1">IFERROR(__xludf.DUMMYFUNCTION("GOOGLETRANSLATE('대전도시공사_청년임대주택 현황_20240630'!E742,""ko"",""en"")"),"64.993")</f>
        <v>64.993</v>
      </c>
      <c r="F742" s="1" t="str">
        <f ca="1">IFERROR(__xludf.DUMMYFUNCTION("GOOGLETRANSLATE('대전도시공사_청년임대주택 현황_20240630'!F742,""ko"",""en"")"),"22.438")</f>
        <v>22.438</v>
      </c>
      <c r="G742" s="1" t="str">
        <f ca="1">IFERROR(__xludf.DUMMYFUNCTION("GOOGLETRANSLATE('대전도시공사_청년임대주택 현황_20240630'!G742,""ko"",""en"")"),"42.554")</f>
        <v>42.554</v>
      </c>
      <c r="H742" s="1" t="str">
        <f ca="1">IFERROR(__xludf.DUMMYFUNCTION("GOOGLETRANSLATE('대전도시공사_청년임대주택 현황_20240630'!H742,""ko"",""en"")"),"3rd place for youth rental")</f>
        <v>3rd place for youth rental</v>
      </c>
      <c r="I742" s="1" t="str">
        <f ca="1">IFERROR(__xludf.DUMMYFUNCTION("GOOGLETRANSLATE('대전도시공사_청년임대주택 현황_20240630'!I742,""ko"",""en"")"),"2000000")</f>
        <v>2000000</v>
      </c>
      <c r="J742" s="1" t="str">
        <f ca="1">IFERROR(__xludf.DUMMYFUNCTION("GOOGLETRANSLATE('대전도시공사_청년임대주택 현황_20240630'!J742,""ko"",""en"")"),"309400")</f>
        <v>309400</v>
      </c>
    </row>
    <row r="743" spans="1:10" ht="12.5" x14ac:dyDescent="0.25">
      <c r="A743" s="1" t="str">
        <f ca="1">IFERROR(__xludf.DUMMYFUNCTION("GOOGLETRANSLATE('대전도시공사_청년임대주택 현황_20240630'!A743,""ko"",""en"")"),"Goejeong-dong 3-18 (Samyoung Building, youth rental)")</f>
        <v>Goejeong-dong 3-18 (Samyoung Building, youth rental)</v>
      </c>
      <c r="B743" s="1" t="str">
        <f ca="1">IFERROR(__xludf.DUMMYFUNCTION("GOOGLETRANSLATE('대전도시공사_청년임대주택 현황_20240630'!B743,""ko"",""en"")"),"196")</f>
        <v>196</v>
      </c>
      <c r="C743" s="1" t="str">
        <f ca="1">IFERROR(__xludf.DUMMYFUNCTION("GOOGLETRANSLATE('대전도시공사_청년임대주택 현황_20240630'!C743,""ko"",""en"")"),"1")</f>
        <v>1</v>
      </c>
      <c r="D743" s="1" t="str">
        <f ca="1">IFERROR(__xludf.DUMMYFUNCTION("GOOGLETRANSLATE('대전도시공사_청년임대주택 현황_20240630'!D743,""ko"",""en"")"),"1017")</f>
        <v>1017</v>
      </c>
      <c r="E743" s="1" t="str">
        <f ca="1">IFERROR(__xludf.DUMMYFUNCTION("GOOGLETRANSLATE('대전도시공사_청년임대주택 현황_20240630'!E743,""ko"",""en"")"),"64.993")</f>
        <v>64.993</v>
      </c>
      <c r="F743" s="1" t="str">
        <f ca="1">IFERROR(__xludf.DUMMYFUNCTION("GOOGLETRANSLATE('대전도시공사_청년임대주택 현황_20240630'!F743,""ko"",""en"")"),"22.438")</f>
        <v>22.438</v>
      </c>
      <c r="G743" s="1" t="str">
        <f ca="1">IFERROR(__xludf.DUMMYFUNCTION("GOOGLETRANSLATE('대전도시공사_청년임대주택 현황_20240630'!G743,""ko"",""en"")"),"42.554")</f>
        <v>42.554</v>
      </c>
      <c r="H743" s="1" t="str">
        <f ca="1">IFERROR(__xludf.DUMMYFUNCTION("GOOGLETRANSLATE('대전도시공사_청년임대주택 현황_20240630'!H743,""ko"",""en"")"),"Youth Rent 1st Place")</f>
        <v>Youth Rent 1st Place</v>
      </c>
      <c r="I743" s="1" t="str">
        <f ca="1">IFERROR(__xludf.DUMMYFUNCTION("GOOGLETRANSLATE('대전도시공사_청년임대주택 현황_20240630'!I743,""ko"",""en"")"),"1000000")</f>
        <v>1000000</v>
      </c>
      <c r="J743" s="1" t="str">
        <f ca="1">IFERROR(__xludf.DUMMYFUNCTION("GOOGLETRANSLATE('대전도시공사_청년임대주택 현황_20240630'!J743,""ko"",""en"")"),"250900")</f>
        <v>250900</v>
      </c>
    </row>
    <row r="744" spans="1:10" ht="12.5" x14ac:dyDescent="0.25">
      <c r="A744" s="1" t="str">
        <f ca="1">IFERROR(__xludf.DUMMYFUNCTION("GOOGLETRANSLATE('대전도시공사_청년임대주택 현황_20240630'!A744,""ko"",""en"")"),"Goejeong-dong 3-18 (Samyoung Building, youth rental)")</f>
        <v>Goejeong-dong 3-18 (Samyoung Building, youth rental)</v>
      </c>
      <c r="B744" s="1" t="str">
        <f ca="1">IFERROR(__xludf.DUMMYFUNCTION("GOOGLETRANSLATE('대전도시공사_청년임대주택 현황_20240630'!B744,""ko"",""en"")"),"197")</f>
        <v>197</v>
      </c>
      <c r="C744" s="1" t="str">
        <f ca="1">IFERROR(__xludf.DUMMYFUNCTION("GOOGLETRANSLATE('대전도시공사_청년임대주택 현황_20240630'!C744,""ko"",""en"")"),"1")</f>
        <v>1</v>
      </c>
      <c r="D744" s="1" t="str">
        <f ca="1">IFERROR(__xludf.DUMMYFUNCTION("GOOGLETRANSLATE('대전도시공사_청년임대주택 현황_20240630'!D744,""ko"",""en"")"),"1017")</f>
        <v>1017</v>
      </c>
      <c r="E744" s="1" t="str">
        <f ca="1">IFERROR(__xludf.DUMMYFUNCTION("GOOGLETRANSLATE('대전도시공사_청년임대주택 현황_20240630'!E744,""ko"",""en"")"),"64.993")</f>
        <v>64.993</v>
      </c>
      <c r="F744" s="1" t="str">
        <f ca="1">IFERROR(__xludf.DUMMYFUNCTION("GOOGLETRANSLATE('대전도시공사_청년임대주택 현황_20240630'!F744,""ko"",""en"")"),"22.438")</f>
        <v>22.438</v>
      </c>
      <c r="G744" s="1" t="str">
        <f ca="1">IFERROR(__xludf.DUMMYFUNCTION("GOOGLETRANSLATE('대전도시공사_청년임대주택 현황_20240630'!G744,""ko"",""en"")"),"42.554")</f>
        <v>42.554</v>
      </c>
      <c r="H744" s="1" t="str">
        <f ca="1">IFERROR(__xludf.DUMMYFUNCTION("GOOGLETRANSLATE('대전도시공사_청년임대주택 현황_20240630'!H744,""ko"",""en"")"),"Youth Rental 2nd Place")</f>
        <v>Youth Rental 2nd Place</v>
      </c>
      <c r="I744" s="1" t="str">
        <f ca="1">IFERROR(__xludf.DUMMYFUNCTION("GOOGLETRANSLATE('대전도시공사_청년임대주택 현황_20240630'!I744,""ko"",""en"")"),"2000000")</f>
        <v>2000000</v>
      </c>
      <c r="J744" s="1" t="str">
        <f ca="1">IFERROR(__xludf.DUMMYFUNCTION("GOOGLETRANSLATE('대전도시공사_청년임대주택 현황_20240630'!J744,""ko"",""en"")"),"309400")</f>
        <v>309400</v>
      </c>
    </row>
    <row r="745" spans="1:10" ht="12.5" x14ac:dyDescent="0.25">
      <c r="A745" s="1" t="str">
        <f ca="1">IFERROR(__xludf.DUMMYFUNCTION("GOOGLETRANSLATE('대전도시공사_청년임대주택 현황_20240630'!A745,""ko"",""en"")"),"Goejeong-dong 3-18 (Samyoung Building, youth rental)")</f>
        <v>Goejeong-dong 3-18 (Samyoung Building, youth rental)</v>
      </c>
      <c r="B745" s="1" t="str">
        <f ca="1">IFERROR(__xludf.DUMMYFUNCTION("GOOGLETRANSLATE('대전도시공사_청년임대주택 현황_20240630'!B745,""ko"",""en"")"),"198")</f>
        <v>198</v>
      </c>
      <c r="C745" s="1" t="str">
        <f ca="1">IFERROR(__xludf.DUMMYFUNCTION("GOOGLETRANSLATE('대전도시공사_청년임대주택 현황_20240630'!C745,""ko"",""en"")"),"1")</f>
        <v>1</v>
      </c>
      <c r="D745" s="1" t="str">
        <f ca="1">IFERROR(__xludf.DUMMYFUNCTION("GOOGLETRANSLATE('대전도시공사_청년임대주택 현황_20240630'!D745,""ko"",""en"")"),"1017")</f>
        <v>1017</v>
      </c>
      <c r="E745" s="1" t="str">
        <f ca="1">IFERROR(__xludf.DUMMYFUNCTION("GOOGLETRANSLATE('대전도시공사_청년임대주택 현황_20240630'!E745,""ko"",""en"")"),"64.993")</f>
        <v>64.993</v>
      </c>
      <c r="F745" s="1" t="str">
        <f ca="1">IFERROR(__xludf.DUMMYFUNCTION("GOOGLETRANSLATE('대전도시공사_청년임대주택 현황_20240630'!F745,""ko"",""en"")"),"22.438")</f>
        <v>22.438</v>
      </c>
      <c r="G745" s="1" t="str">
        <f ca="1">IFERROR(__xludf.DUMMYFUNCTION("GOOGLETRANSLATE('대전도시공사_청년임대주택 현황_20240630'!G745,""ko"",""en"")"),"42.554")</f>
        <v>42.554</v>
      </c>
      <c r="H745" s="1" t="str">
        <f ca="1">IFERROR(__xludf.DUMMYFUNCTION("GOOGLETRANSLATE('대전도시공사_청년임대주택 현황_20240630'!H745,""ko"",""en"")"),"3rd place for youth rental")</f>
        <v>3rd place for youth rental</v>
      </c>
      <c r="I745" s="1" t="str">
        <f ca="1">IFERROR(__xludf.DUMMYFUNCTION("GOOGLETRANSLATE('대전도시공사_청년임대주택 현황_20240630'!I745,""ko"",""en"")"),"2000000")</f>
        <v>2000000</v>
      </c>
      <c r="J745" s="1" t="str">
        <f ca="1">IFERROR(__xludf.DUMMYFUNCTION("GOOGLETRANSLATE('대전도시공사_청년임대주택 현황_20240630'!J745,""ko"",""en"")"),"309400")</f>
        <v>309400</v>
      </c>
    </row>
    <row r="746" spans="1:10" ht="12.5" x14ac:dyDescent="0.25">
      <c r="A746" s="1" t="str">
        <f ca="1">IFERROR(__xludf.DUMMYFUNCTION("GOOGLETRANSLATE('대전도시공사_청년임대주택 현황_20240630'!A746,""ko"",""en"")"),"Goejeong-dong 3-18 (Samyoung Building, youth rental)")</f>
        <v>Goejeong-dong 3-18 (Samyoung Building, youth rental)</v>
      </c>
      <c r="B746" s="1" t="str">
        <f ca="1">IFERROR(__xludf.DUMMYFUNCTION("GOOGLETRANSLATE('대전도시공사_청년임대주택 현황_20240630'!B746,""ko"",""en"")"),"199")</f>
        <v>199</v>
      </c>
      <c r="C746" s="1" t="str">
        <f ca="1">IFERROR(__xludf.DUMMYFUNCTION("GOOGLETRANSLATE('대전도시공사_청년임대주택 현황_20240630'!C746,""ko"",""en"")"),"1")</f>
        <v>1</v>
      </c>
      <c r="D746" s="1" t="str">
        <f ca="1">IFERROR(__xludf.DUMMYFUNCTION("GOOGLETRANSLATE('대전도시공사_청년임대주택 현황_20240630'!D746,""ko"",""en"")"),"1018")</f>
        <v>1018</v>
      </c>
      <c r="E746" s="1" t="str">
        <f ca="1">IFERROR(__xludf.DUMMYFUNCTION("GOOGLETRANSLATE('대전도시공사_청년임대주택 현황_20240630'!E746,""ko"",""en"")"),"97.512")</f>
        <v>97.512</v>
      </c>
      <c r="F746" s="1" t="str">
        <f ca="1">IFERROR(__xludf.DUMMYFUNCTION("GOOGLETRANSLATE('대전도시공사_청년임대주택 현황_20240630'!F746,""ko"",""en"")"),"33.695")</f>
        <v>33.695</v>
      </c>
      <c r="G746" s="1" t="str">
        <f ca="1">IFERROR(__xludf.DUMMYFUNCTION("GOOGLETRANSLATE('대전도시공사_청년임대주택 현황_20240630'!G746,""ko"",""en"")"),"63.816")</f>
        <v>63.816</v>
      </c>
      <c r="H746" s="1" t="str">
        <f ca="1">IFERROR(__xludf.DUMMYFUNCTION("GOOGLETRANSLATE('대전도시공사_청년임대주택 현황_20240630'!H746,""ko"",""en"")"),"Youth Rent 1st Place")</f>
        <v>Youth Rent 1st Place</v>
      </c>
      <c r="I746" s="1" t="str">
        <f ca="1">IFERROR(__xludf.DUMMYFUNCTION("GOOGLETRANSLATE('대전도시공사_청년임대주택 현황_20240630'!I746,""ko"",""en"")"),"1000000")</f>
        <v>1000000</v>
      </c>
      <c r="J746" s="1" t="str">
        <f ca="1">IFERROR(__xludf.DUMMYFUNCTION("GOOGLETRANSLATE('대전도시공사_청년임대주택 현황_20240630'!J746,""ko"",""en"")"),"357900")</f>
        <v>357900</v>
      </c>
    </row>
    <row r="747" spans="1:10" ht="12.5" x14ac:dyDescent="0.25">
      <c r="A747" s="1" t="str">
        <f ca="1">IFERROR(__xludf.DUMMYFUNCTION("GOOGLETRANSLATE('대전도시공사_청년임대주택 현황_20240630'!A747,""ko"",""en"")"),"Goejeong-dong 3-18 (Samyoung Building, youth rental)")</f>
        <v>Goejeong-dong 3-18 (Samyoung Building, youth rental)</v>
      </c>
      <c r="B747" s="1" t="str">
        <f ca="1">IFERROR(__xludf.DUMMYFUNCTION("GOOGLETRANSLATE('대전도시공사_청년임대주택 현황_20240630'!B747,""ko"",""en"")"),"200")</f>
        <v>200</v>
      </c>
      <c r="C747" s="1" t="str">
        <f ca="1">IFERROR(__xludf.DUMMYFUNCTION("GOOGLETRANSLATE('대전도시공사_청년임대주택 현황_20240630'!C747,""ko"",""en"")"),"1")</f>
        <v>1</v>
      </c>
      <c r="D747" s="1" t="str">
        <f ca="1">IFERROR(__xludf.DUMMYFUNCTION("GOOGLETRANSLATE('대전도시공사_청년임대주택 현황_20240630'!D747,""ko"",""en"")"),"1018")</f>
        <v>1018</v>
      </c>
      <c r="E747" s="1" t="str">
        <f ca="1">IFERROR(__xludf.DUMMYFUNCTION("GOOGLETRANSLATE('대전도시공사_청년임대주택 현황_20240630'!E747,""ko"",""en"")"),"97.512")</f>
        <v>97.512</v>
      </c>
      <c r="F747" s="1" t="str">
        <f ca="1">IFERROR(__xludf.DUMMYFUNCTION("GOOGLETRANSLATE('대전도시공사_청년임대주택 현황_20240630'!F747,""ko"",""en"")"),"33.695")</f>
        <v>33.695</v>
      </c>
      <c r="G747" s="1" t="str">
        <f ca="1">IFERROR(__xludf.DUMMYFUNCTION("GOOGLETRANSLATE('대전도시공사_청년임대주택 현황_20240630'!G747,""ko"",""en"")"),"63.816")</f>
        <v>63.816</v>
      </c>
      <c r="H747" s="1" t="str">
        <f ca="1">IFERROR(__xludf.DUMMYFUNCTION("GOOGLETRANSLATE('대전도시공사_청년임대주택 현황_20240630'!H747,""ko"",""en"")"),"Youth Rental 2nd Place")</f>
        <v>Youth Rental 2nd Place</v>
      </c>
      <c r="I747" s="1" t="str">
        <f ca="1">IFERROR(__xludf.DUMMYFUNCTION("GOOGLETRANSLATE('대전도시공사_청년임대주택 현황_20240630'!I747,""ko"",""en"")"),"2000000")</f>
        <v>2000000</v>
      </c>
      <c r="J747" s="1" t="str">
        <f ca="1">IFERROR(__xludf.DUMMYFUNCTION("GOOGLETRANSLATE('대전도시공사_청년임대주택 현황_20240630'!J747,""ko"",""en"")"),"443100")</f>
        <v>443100</v>
      </c>
    </row>
    <row r="748" spans="1:10" ht="12.5" x14ac:dyDescent="0.25">
      <c r="A748" s="1" t="str">
        <f ca="1">IFERROR(__xludf.DUMMYFUNCTION("GOOGLETRANSLATE('대전도시공사_청년임대주택 현황_20240630'!A748,""ko"",""en"")"),"Goejeong-dong 3-18 (Samyoung Building, youth rental)")</f>
        <v>Goejeong-dong 3-18 (Samyoung Building, youth rental)</v>
      </c>
      <c r="B748" s="1" t="str">
        <f ca="1">IFERROR(__xludf.DUMMYFUNCTION("GOOGLETRANSLATE('대전도시공사_청년임대주택 현황_20240630'!B748,""ko"",""en"")"),"201")</f>
        <v>201</v>
      </c>
      <c r="C748" s="1" t="str">
        <f ca="1">IFERROR(__xludf.DUMMYFUNCTION("GOOGLETRANSLATE('대전도시공사_청년임대주택 현황_20240630'!C748,""ko"",""en"")"),"1")</f>
        <v>1</v>
      </c>
      <c r="D748" s="1" t="str">
        <f ca="1">IFERROR(__xludf.DUMMYFUNCTION("GOOGLETRANSLATE('대전도시공사_청년임대주택 현황_20240630'!D748,""ko"",""en"")"),"1018")</f>
        <v>1018</v>
      </c>
      <c r="E748" s="1" t="str">
        <f ca="1">IFERROR(__xludf.DUMMYFUNCTION("GOOGLETRANSLATE('대전도시공사_청년임대주택 현황_20240630'!E748,""ko"",""en"")"),"97.512")</f>
        <v>97.512</v>
      </c>
      <c r="F748" s="1" t="str">
        <f ca="1">IFERROR(__xludf.DUMMYFUNCTION("GOOGLETRANSLATE('대전도시공사_청년임대주택 현황_20240630'!F748,""ko"",""en"")"),"33.695")</f>
        <v>33.695</v>
      </c>
      <c r="G748" s="1" t="str">
        <f ca="1">IFERROR(__xludf.DUMMYFUNCTION("GOOGLETRANSLATE('대전도시공사_청년임대주택 현황_20240630'!G748,""ko"",""en"")"),"63.816")</f>
        <v>63.816</v>
      </c>
      <c r="H748" s="1" t="str">
        <f ca="1">IFERROR(__xludf.DUMMYFUNCTION("GOOGLETRANSLATE('대전도시공사_청년임대주택 현황_20240630'!H748,""ko"",""en"")"),"3rd place for youth rental")</f>
        <v>3rd place for youth rental</v>
      </c>
      <c r="I748" s="1" t="str">
        <f ca="1">IFERROR(__xludf.DUMMYFUNCTION("GOOGLETRANSLATE('대전도시공사_청년임대주택 현황_20240630'!I748,""ko"",""en"")"),"2000000")</f>
        <v>2000000</v>
      </c>
      <c r="J748" s="1" t="str">
        <f ca="1">IFERROR(__xludf.DUMMYFUNCTION("GOOGLETRANSLATE('대전도시공사_청년임대주택 현황_20240630'!J748,""ko"",""en"")"),"443100")</f>
        <v>443100</v>
      </c>
    </row>
    <row r="749" spans="1:10" ht="12.5" x14ac:dyDescent="0.25">
      <c r="A749" s="1" t="str">
        <f ca="1">IFERROR(__xludf.DUMMYFUNCTION("GOOGLETRANSLATE('대전도시공사_청년임대주택 현황_20240630'!A749,""ko"",""en"")"),"Goejeong-dong 3-18 (Samyoung Building, youth rental)")</f>
        <v>Goejeong-dong 3-18 (Samyoung Building, youth rental)</v>
      </c>
      <c r="B749" s="1" t="str">
        <f ca="1">IFERROR(__xludf.DUMMYFUNCTION("GOOGLETRANSLATE('대전도시공사_청년임대주택 현황_20240630'!B749,""ko"",""en"")"),"202")</f>
        <v>202</v>
      </c>
      <c r="C749" s="1" t="str">
        <f ca="1">IFERROR(__xludf.DUMMYFUNCTION("GOOGLETRANSLATE('대전도시공사_청년임대주택 현황_20240630'!C749,""ko"",""en"")"),"1")</f>
        <v>1</v>
      </c>
      <c r="D749" s="1" t="str">
        <f ca="1">IFERROR(__xludf.DUMMYFUNCTION("GOOGLETRANSLATE('대전도시공사_청년임대주택 현황_20240630'!D749,""ko"",""en"")"),"1101")</f>
        <v>1101</v>
      </c>
      <c r="E749" s="1" t="str">
        <f ca="1">IFERROR(__xludf.DUMMYFUNCTION("GOOGLETRANSLATE('대전도시공사_청년임대주택 현황_20240630'!E749,""ko"",""en"")"),"97.512")</f>
        <v>97.512</v>
      </c>
      <c r="F749" s="1" t="str">
        <f ca="1">IFERROR(__xludf.DUMMYFUNCTION("GOOGLETRANSLATE('대전도시공사_청년임대주택 현황_20240630'!F749,""ko"",""en"")"),"33.695")</f>
        <v>33.695</v>
      </c>
      <c r="G749" s="1" t="str">
        <f ca="1">IFERROR(__xludf.DUMMYFUNCTION("GOOGLETRANSLATE('대전도시공사_청년임대주택 현황_20240630'!G749,""ko"",""en"")"),"63.816")</f>
        <v>63.816</v>
      </c>
      <c r="H749" s="1" t="str">
        <f ca="1">IFERROR(__xludf.DUMMYFUNCTION("GOOGLETRANSLATE('대전도시공사_청년임대주택 현황_20240630'!H749,""ko"",""en"")"),"Youth Rent 1st Place")</f>
        <v>Youth Rent 1st Place</v>
      </c>
      <c r="I749" s="1" t="str">
        <f ca="1">IFERROR(__xludf.DUMMYFUNCTION("GOOGLETRANSLATE('대전도시공사_청년임대주택 현황_20240630'!I749,""ko"",""en"")"),"1000000")</f>
        <v>1000000</v>
      </c>
      <c r="J749" s="1" t="str">
        <f ca="1">IFERROR(__xludf.DUMMYFUNCTION("GOOGLETRANSLATE('대전도시공사_청년임대주택 현황_20240630'!J749,""ko"",""en"")"),"352500")</f>
        <v>352500</v>
      </c>
    </row>
    <row r="750" spans="1:10" ht="12.5" x14ac:dyDescent="0.25">
      <c r="A750" s="1" t="str">
        <f ca="1">IFERROR(__xludf.DUMMYFUNCTION("GOOGLETRANSLATE('대전도시공사_청년임대주택 현황_20240630'!A750,""ko"",""en"")"),"Goejeong-dong 3-18 (Samyoung Building, youth rental)")</f>
        <v>Goejeong-dong 3-18 (Samyoung Building, youth rental)</v>
      </c>
      <c r="B750" s="1" t="str">
        <f ca="1">IFERROR(__xludf.DUMMYFUNCTION("GOOGLETRANSLATE('대전도시공사_청년임대주택 현황_20240630'!B750,""ko"",""en"")"),"203")</f>
        <v>203</v>
      </c>
      <c r="C750" s="1" t="str">
        <f ca="1">IFERROR(__xludf.DUMMYFUNCTION("GOOGLETRANSLATE('대전도시공사_청년임대주택 현황_20240630'!C750,""ko"",""en"")"),"1")</f>
        <v>1</v>
      </c>
      <c r="D750" s="1" t="str">
        <f ca="1">IFERROR(__xludf.DUMMYFUNCTION("GOOGLETRANSLATE('대전도시공사_청년임대주택 현황_20240630'!D750,""ko"",""en"")"),"1101")</f>
        <v>1101</v>
      </c>
      <c r="E750" s="1" t="str">
        <f ca="1">IFERROR(__xludf.DUMMYFUNCTION("GOOGLETRANSLATE('대전도시공사_청년임대주택 현황_20240630'!E750,""ko"",""en"")"),"97.512")</f>
        <v>97.512</v>
      </c>
      <c r="F750" s="1" t="str">
        <f ca="1">IFERROR(__xludf.DUMMYFUNCTION("GOOGLETRANSLATE('대전도시공사_청년임대주택 현황_20240630'!F750,""ko"",""en"")"),"33.695")</f>
        <v>33.695</v>
      </c>
      <c r="G750" s="1" t="str">
        <f ca="1">IFERROR(__xludf.DUMMYFUNCTION("GOOGLETRANSLATE('대전도시공사_청년임대주택 현황_20240630'!G750,""ko"",""en"")"),"63.816")</f>
        <v>63.816</v>
      </c>
      <c r="H750" s="1" t="str">
        <f ca="1">IFERROR(__xludf.DUMMYFUNCTION("GOOGLETRANSLATE('대전도시공사_청년임대주택 현황_20240630'!H750,""ko"",""en"")"),"Youth Rental 2nd Place")</f>
        <v>Youth Rental 2nd Place</v>
      </c>
      <c r="I750" s="1" t="str">
        <f ca="1">IFERROR(__xludf.DUMMYFUNCTION("GOOGLETRANSLATE('대전도시공사_청년임대주택 현황_20240630'!I750,""ko"",""en"")"),"2000000")</f>
        <v>2000000</v>
      </c>
      <c r="J750" s="1" t="str">
        <f ca="1">IFERROR(__xludf.DUMMYFUNCTION("GOOGLETRANSLATE('대전도시공사_청년임대주택 현황_20240630'!J750,""ko"",""en"")"),"436400")</f>
        <v>436400</v>
      </c>
    </row>
    <row r="751" spans="1:10" ht="12.5" x14ac:dyDescent="0.25">
      <c r="A751" s="1" t="str">
        <f ca="1">IFERROR(__xludf.DUMMYFUNCTION("GOOGLETRANSLATE('대전도시공사_청년임대주택 현황_20240630'!A751,""ko"",""en"")"),"Goejeong-dong 3-18 (Samyoung Building, youth rental)")</f>
        <v>Goejeong-dong 3-18 (Samyoung Building, youth rental)</v>
      </c>
      <c r="B751" s="1" t="str">
        <f ca="1">IFERROR(__xludf.DUMMYFUNCTION("GOOGLETRANSLATE('대전도시공사_청년임대주택 현황_20240630'!B751,""ko"",""en"")"),"204")</f>
        <v>204</v>
      </c>
      <c r="C751" s="1" t="str">
        <f ca="1">IFERROR(__xludf.DUMMYFUNCTION("GOOGLETRANSLATE('대전도시공사_청년임대주택 현황_20240630'!C751,""ko"",""en"")"),"1")</f>
        <v>1</v>
      </c>
      <c r="D751" s="1" t="str">
        <f ca="1">IFERROR(__xludf.DUMMYFUNCTION("GOOGLETRANSLATE('대전도시공사_청년임대주택 현황_20240630'!D751,""ko"",""en"")"),"1101")</f>
        <v>1101</v>
      </c>
      <c r="E751" s="1" t="str">
        <f ca="1">IFERROR(__xludf.DUMMYFUNCTION("GOOGLETRANSLATE('대전도시공사_청년임대주택 현황_20240630'!E751,""ko"",""en"")"),"97.512")</f>
        <v>97.512</v>
      </c>
      <c r="F751" s="1" t="str">
        <f ca="1">IFERROR(__xludf.DUMMYFUNCTION("GOOGLETRANSLATE('대전도시공사_청년임대주택 현황_20240630'!F751,""ko"",""en"")"),"33.695")</f>
        <v>33.695</v>
      </c>
      <c r="G751" s="1" t="str">
        <f ca="1">IFERROR(__xludf.DUMMYFUNCTION("GOOGLETRANSLATE('대전도시공사_청년임대주택 현황_20240630'!G751,""ko"",""en"")"),"63.816")</f>
        <v>63.816</v>
      </c>
      <c r="H751" s="1" t="str">
        <f ca="1">IFERROR(__xludf.DUMMYFUNCTION("GOOGLETRANSLATE('대전도시공사_청년임대주택 현황_20240630'!H751,""ko"",""en"")"),"3rd place for youth rental")</f>
        <v>3rd place for youth rental</v>
      </c>
      <c r="I751" s="1" t="str">
        <f ca="1">IFERROR(__xludf.DUMMYFUNCTION("GOOGLETRANSLATE('대전도시공사_청년임대주택 현황_20240630'!I751,""ko"",""en"")"),"2000000")</f>
        <v>2000000</v>
      </c>
      <c r="J751" s="1" t="str">
        <f ca="1">IFERROR(__xludf.DUMMYFUNCTION("GOOGLETRANSLATE('대전도시공사_청년임대주택 현황_20240630'!J751,""ko"",""en"")"),"436400")</f>
        <v>436400</v>
      </c>
    </row>
    <row r="752" spans="1:10" ht="12.5" x14ac:dyDescent="0.25">
      <c r="A752" s="1" t="str">
        <f ca="1">IFERROR(__xludf.DUMMYFUNCTION("GOOGLETRANSLATE('대전도시공사_청년임대주택 현황_20240630'!A752,""ko"",""en"")"),"Goejeong-dong 3-18 (Samyoung Building, youth rental)")</f>
        <v>Goejeong-dong 3-18 (Samyoung Building, youth rental)</v>
      </c>
      <c r="B752" s="1" t="str">
        <f ca="1">IFERROR(__xludf.DUMMYFUNCTION("GOOGLETRANSLATE('대전도시공사_청년임대주택 현황_20240630'!B752,""ko"",""en"")"),"205")</f>
        <v>205</v>
      </c>
      <c r="C752" s="1" t="str">
        <f ca="1">IFERROR(__xludf.DUMMYFUNCTION("GOOGLETRANSLATE('대전도시공사_청년임대주택 현황_20240630'!C752,""ko"",""en"")"),"1")</f>
        <v>1</v>
      </c>
      <c r="D752" s="1" t="str">
        <f ca="1">IFERROR(__xludf.DUMMYFUNCTION("GOOGLETRANSLATE('대전도시공사_청년임대주택 현황_20240630'!D752,""ko"",""en"")"),"1102")</f>
        <v>1102</v>
      </c>
      <c r="E752" s="1" t="str">
        <f ca="1">IFERROR(__xludf.DUMMYFUNCTION("GOOGLETRANSLATE('대전도시공사_청년임대주택 현황_20240630'!E752,""ko"",""en"")"),"64.993")</f>
        <v>64.993</v>
      </c>
      <c r="F752" s="1" t="str">
        <f ca="1">IFERROR(__xludf.DUMMYFUNCTION("GOOGLETRANSLATE('대전도시공사_청년임대주택 현황_20240630'!F752,""ko"",""en"")"),"22.438")</f>
        <v>22.438</v>
      </c>
      <c r="G752" s="1" t="str">
        <f ca="1">IFERROR(__xludf.DUMMYFUNCTION("GOOGLETRANSLATE('대전도시공사_청년임대주택 현황_20240630'!G752,""ko"",""en"")"),"42.554")</f>
        <v>42.554</v>
      </c>
      <c r="H752" s="1" t="str">
        <f ca="1">IFERROR(__xludf.DUMMYFUNCTION("GOOGLETRANSLATE('대전도시공사_청년임대주택 현황_20240630'!H752,""ko"",""en"")"),"Youth Rent 1st Place")</f>
        <v>Youth Rent 1st Place</v>
      </c>
      <c r="I752" s="1" t="str">
        <f ca="1">IFERROR(__xludf.DUMMYFUNCTION("GOOGLETRANSLATE('대전도시공사_청년임대주택 현황_20240630'!I752,""ko"",""en"")"),"1000000")</f>
        <v>1000000</v>
      </c>
      <c r="J752" s="1" t="str">
        <f ca="1">IFERROR(__xludf.DUMMYFUNCTION("GOOGLETRANSLATE('대전도시공사_청년임대주택 현황_20240630'!J752,""ko"",""en"")"),"247000")</f>
        <v>247000</v>
      </c>
    </row>
    <row r="753" spans="1:10" ht="12.5" x14ac:dyDescent="0.25">
      <c r="A753" s="1" t="str">
        <f ca="1">IFERROR(__xludf.DUMMYFUNCTION("GOOGLETRANSLATE('대전도시공사_청년임대주택 현황_20240630'!A753,""ko"",""en"")"),"Goejeong-dong 3-18 (Samyoung Building, youth rental)")</f>
        <v>Goejeong-dong 3-18 (Samyoung Building, youth rental)</v>
      </c>
      <c r="B753" s="1" t="str">
        <f ca="1">IFERROR(__xludf.DUMMYFUNCTION("GOOGLETRANSLATE('대전도시공사_청년임대주택 현황_20240630'!B753,""ko"",""en"")"),"206")</f>
        <v>206</v>
      </c>
      <c r="C753" s="1" t="str">
        <f ca="1">IFERROR(__xludf.DUMMYFUNCTION("GOOGLETRANSLATE('대전도시공사_청년임대주택 현황_20240630'!C753,""ko"",""en"")"),"1")</f>
        <v>1</v>
      </c>
      <c r="D753" s="1" t="str">
        <f ca="1">IFERROR(__xludf.DUMMYFUNCTION("GOOGLETRANSLATE('대전도시공사_청년임대주택 현황_20240630'!D753,""ko"",""en"")"),"1102")</f>
        <v>1102</v>
      </c>
      <c r="E753" s="1" t="str">
        <f ca="1">IFERROR(__xludf.DUMMYFUNCTION("GOOGLETRANSLATE('대전도시공사_청년임대주택 현황_20240630'!E753,""ko"",""en"")"),"64.993")</f>
        <v>64.993</v>
      </c>
      <c r="F753" s="1" t="str">
        <f ca="1">IFERROR(__xludf.DUMMYFUNCTION("GOOGLETRANSLATE('대전도시공사_청년임대주택 현황_20240630'!F753,""ko"",""en"")"),"22.438")</f>
        <v>22.438</v>
      </c>
      <c r="G753" s="1" t="str">
        <f ca="1">IFERROR(__xludf.DUMMYFUNCTION("GOOGLETRANSLATE('대전도시공사_청년임대주택 현황_20240630'!G753,""ko"",""en"")"),"42.554")</f>
        <v>42.554</v>
      </c>
      <c r="H753" s="1" t="str">
        <f ca="1">IFERROR(__xludf.DUMMYFUNCTION("GOOGLETRANSLATE('대전도시공사_청년임대주택 현황_20240630'!H753,""ko"",""en"")"),"Youth Rental 2nd Place")</f>
        <v>Youth Rental 2nd Place</v>
      </c>
      <c r="I753" s="1" t="str">
        <f ca="1">IFERROR(__xludf.DUMMYFUNCTION("GOOGLETRANSLATE('대전도시공사_청년임대주택 현황_20240630'!I753,""ko"",""en"")"),"2000000")</f>
        <v>2000000</v>
      </c>
      <c r="J753" s="1" t="str">
        <f ca="1">IFERROR(__xludf.DUMMYFUNCTION("GOOGLETRANSLATE('대전도시공사_청년임대주택 현황_20240630'!J753,""ko"",""en"")"),"304600")</f>
        <v>304600</v>
      </c>
    </row>
    <row r="754" spans="1:10" ht="12.5" x14ac:dyDescent="0.25">
      <c r="A754" s="1" t="str">
        <f ca="1">IFERROR(__xludf.DUMMYFUNCTION("GOOGLETRANSLATE('대전도시공사_청년임대주택 현황_20240630'!A754,""ko"",""en"")"),"Goejeong-dong 3-18 (Samyoung Building, youth rental)")</f>
        <v>Goejeong-dong 3-18 (Samyoung Building, youth rental)</v>
      </c>
      <c r="B754" s="1" t="str">
        <f ca="1">IFERROR(__xludf.DUMMYFUNCTION("GOOGLETRANSLATE('대전도시공사_청년임대주택 현황_20240630'!B754,""ko"",""en"")"),"207")</f>
        <v>207</v>
      </c>
      <c r="C754" s="1" t="str">
        <f ca="1">IFERROR(__xludf.DUMMYFUNCTION("GOOGLETRANSLATE('대전도시공사_청년임대주택 현황_20240630'!C754,""ko"",""en"")"),"1")</f>
        <v>1</v>
      </c>
      <c r="D754" s="1" t="str">
        <f ca="1">IFERROR(__xludf.DUMMYFUNCTION("GOOGLETRANSLATE('대전도시공사_청년임대주택 현황_20240630'!D754,""ko"",""en"")"),"1102")</f>
        <v>1102</v>
      </c>
      <c r="E754" s="1" t="str">
        <f ca="1">IFERROR(__xludf.DUMMYFUNCTION("GOOGLETRANSLATE('대전도시공사_청년임대주택 현황_20240630'!E754,""ko"",""en"")"),"64.993")</f>
        <v>64.993</v>
      </c>
      <c r="F754" s="1" t="str">
        <f ca="1">IFERROR(__xludf.DUMMYFUNCTION("GOOGLETRANSLATE('대전도시공사_청년임대주택 현황_20240630'!F754,""ko"",""en"")"),"22.438")</f>
        <v>22.438</v>
      </c>
      <c r="G754" s="1" t="str">
        <f ca="1">IFERROR(__xludf.DUMMYFUNCTION("GOOGLETRANSLATE('대전도시공사_청년임대주택 현황_20240630'!G754,""ko"",""en"")"),"42.554")</f>
        <v>42.554</v>
      </c>
      <c r="H754" s="1" t="str">
        <f ca="1">IFERROR(__xludf.DUMMYFUNCTION("GOOGLETRANSLATE('대전도시공사_청년임대주택 현황_20240630'!H754,""ko"",""en"")"),"3rd place for youth rental")</f>
        <v>3rd place for youth rental</v>
      </c>
      <c r="I754" s="1" t="str">
        <f ca="1">IFERROR(__xludf.DUMMYFUNCTION("GOOGLETRANSLATE('대전도시공사_청년임대주택 현황_20240630'!I754,""ko"",""en"")"),"2000000")</f>
        <v>2000000</v>
      </c>
      <c r="J754" s="1" t="str">
        <f ca="1">IFERROR(__xludf.DUMMYFUNCTION("GOOGLETRANSLATE('대전도시공사_청년임대주택 현황_20240630'!J754,""ko"",""en"")"),"304600")</f>
        <v>304600</v>
      </c>
    </row>
    <row r="755" spans="1:10" ht="12.5" x14ac:dyDescent="0.25">
      <c r="A755" s="1" t="str">
        <f ca="1">IFERROR(__xludf.DUMMYFUNCTION("GOOGLETRANSLATE('대전도시공사_청년임대주택 현황_20240630'!A755,""ko"",""en"")"),"Goejeong-dong 3-18 (Samyoung Building, youth rental)")</f>
        <v>Goejeong-dong 3-18 (Samyoung Building, youth rental)</v>
      </c>
      <c r="B755" s="1" t="str">
        <f ca="1">IFERROR(__xludf.DUMMYFUNCTION("GOOGLETRANSLATE('대전도시공사_청년임대주택 현황_20240630'!B755,""ko"",""en"")"),"208")</f>
        <v>208</v>
      </c>
      <c r="C755" s="1" t="str">
        <f ca="1">IFERROR(__xludf.DUMMYFUNCTION("GOOGLETRANSLATE('대전도시공사_청년임대주택 현황_20240630'!C755,""ko"",""en"")"),"1")</f>
        <v>1</v>
      </c>
      <c r="D755" s="1" t="str">
        <f ca="1">IFERROR(__xludf.DUMMYFUNCTION("GOOGLETRANSLATE('대전도시공사_청년임대주택 현황_20240630'!D755,""ko"",""en"")"),"1103")</f>
        <v>1103</v>
      </c>
      <c r="E755" s="1" t="str">
        <f ca="1">IFERROR(__xludf.DUMMYFUNCTION("GOOGLETRANSLATE('대전도시공사_청년임대주택 현황_20240630'!E755,""ko"",""en"")"),"64.993")</f>
        <v>64.993</v>
      </c>
      <c r="F755" s="1" t="str">
        <f ca="1">IFERROR(__xludf.DUMMYFUNCTION("GOOGLETRANSLATE('대전도시공사_청년임대주택 현황_20240630'!F755,""ko"",""en"")"),"22.438")</f>
        <v>22.438</v>
      </c>
      <c r="G755" s="1" t="str">
        <f ca="1">IFERROR(__xludf.DUMMYFUNCTION("GOOGLETRANSLATE('대전도시공사_청년임대주택 현황_20240630'!G755,""ko"",""en"")"),"42.554")</f>
        <v>42.554</v>
      </c>
      <c r="H755" s="1" t="str">
        <f ca="1">IFERROR(__xludf.DUMMYFUNCTION("GOOGLETRANSLATE('대전도시공사_청년임대주택 현황_20240630'!H755,""ko"",""en"")"),"Youth Rent 1st Place")</f>
        <v>Youth Rent 1st Place</v>
      </c>
      <c r="I755" s="1" t="str">
        <f ca="1">IFERROR(__xludf.DUMMYFUNCTION("GOOGLETRANSLATE('대전도시공사_청년임대주택 현황_20240630'!I755,""ko"",""en"")"),"1000000")</f>
        <v>1000000</v>
      </c>
      <c r="J755" s="1" t="str">
        <f ca="1">IFERROR(__xludf.DUMMYFUNCTION("GOOGLETRANSLATE('대전도시공사_청년임대주택 현황_20240630'!J755,""ko"",""en"")"),"247000")</f>
        <v>247000</v>
      </c>
    </row>
    <row r="756" spans="1:10" ht="12.5" x14ac:dyDescent="0.25">
      <c r="A756" s="1" t="str">
        <f ca="1">IFERROR(__xludf.DUMMYFUNCTION("GOOGLETRANSLATE('대전도시공사_청년임대주택 현황_20240630'!A756,""ko"",""en"")"),"Goejeong-dong 3-18 (Samyoung Building, youth rental)")</f>
        <v>Goejeong-dong 3-18 (Samyoung Building, youth rental)</v>
      </c>
      <c r="B756" s="1" t="str">
        <f ca="1">IFERROR(__xludf.DUMMYFUNCTION("GOOGLETRANSLATE('대전도시공사_청년임대주택 현황_20240630'!B756,""ko"",""en"")"),"209")</f>
        <v>209</v>
      </c>
      <c r="C756" s="1" t="str">
        <f ca="1">IFERROR(__xludf.DUMMYFUNCTION("GOOGLETRANSLATE('대전도시공사_청년임대주택 현황_20240630'!C756,""ko"",""en"")"),"1")</f>
        <v>1</v>
      </c>
      <c r="D756" s="1" t="str">
        <f ca="1">IFERROR(__xludf.DUMMYFUNCTION("GOOGLETRANSLATE('대전도시공사_청년임대주택 현황_20240630'!D756,""ko"",""en"")"),"1103")</f>
        <v>1103</v>
      </c>
      <c r="E756" s="1" t="str">
        <f ca="1">IFERROR(__xludf.DUMMYFUNCTION("GOOGLETRANSLATE('대전도시공사_청년임대주택 현황_20240630'!E756,""ko"",""en"")"),"64.993")</f>
        <v>64.993</v>
      </c>
      <c r="F756" s="1" t="str">
        <f ca="1">IFERROR(__xludf.DUMMYFUNCTION("GOOGLETRANSLATE('대전도시공사_청년임대주택 현황_20240630'!F756,""ko"",""en"")"),"22.438")</f>
        <v>22.438</v>
      </c>
      <c r="G756" s="1" t="str">
        <f ca="1">IFERROR(__xludf.DUMMYFUNCTION("GOOGLETRANSLATE('대전도시공사_청년임대주택 현황_20240630'!G756,""ko"",""en"")"),"42.554")</f>
        <v>42.554</v>
      </c>
      <c r="H756" s="1" t="str">
        <f ca="1">IFERROR(__xludf.DUMMYFUNCTION("GOOGLETRANSLATE('대전도시공사_청년임대주택 현황_20240630'!H756,""ko"",""en"")"),"Youth Rental 2nd Place")</f>
        <v>Youth Rental 2nd Place</v>
      </c>
      <c r="I756" s="1" t="str">
        <f ca="1">IFERROR(__xludf.DUMMYFUNCTION("GOOGLETRANSLATE('대전도시공사_청년임대주택 현황_20240630'!I756,""ko"",""en"")"),"2000000")</f>
        <v>2000000</v>
      </c>
      <c r="J756" s="1" t="str">
        <f ca="1">IFERROR(__xludf.DUMMYFUNCTION("GOOGLETRANSLATE('대전도시공사_청년임대주택 현황_20240630'!J756,""ko"",""en"")"),"304600")</f>
        <v>304600</v>
      </c>
    </row>
    <row r="757" spans="1:10" ht="12.5" x14ac:dyDescent="0.25">
      <c r="A757" s="1" t="str">
        <f ca="1">IFERROR(__xludf.DUMMYFUNCTION("GOOGLETRANSLATE('대전도시공사_청년임대주택 현황_20240630'!A757,""ko"",""en"")"),"Goejeong-dong 3-18 (Samyoung Building, youth rental)")</f>
        <v>Goejeong-dong 3-18 (Samyoung Building, youth rental)</v>
      </c>
      <c r="B757" s="1" t="str">
        <f ca="1">IFERROR(__xludf.DUMMYFUNCTION("GOOGLETRANSLATE('대전도시공사_청년임대주택 현황_20240630'!B757,""ko"",""en"")"),"210")</f>
        <v>210</v>
      </c>
      <c r="C757" s="1" t="str">
        <f ca="1">IFERROR(__xludf.DUMMYFUNCTION("GOOGLETRANSLATE('대전도시공사_청년임대주택 현황_20240630'!C757,""ko"",""en"")"),"1")</f>
        <v>1</v>
      </c>
      <c r="D757" s="1" t="str">
        <f ca="1">IFERROR(__xludf.DUMMYFUNCTION("GOOGLETRANSLATE('대전도시공사_청년임대주택 현황_20240630'!D757,""ko"",""en"")"),"1103")</f>
        <v>1103</v>
      </c>
      <c r="E757" s="1" t="str">
        <f ca="1">IFERROR(__xludf.DUMMYFUNCTION("GOOGLETRANSLATE('대전도시공사_청년임대주택 현황_20240630'!E757,""ko"",""en"")"),"64.993")</f>
        <v>64.993</v>
      </c>
      <c r="F757" s="1" t="str">
        <f ca="1">IFERROR(__xludf.DUMMYFUNCTION("GOOGLETRANSLATE('대전도시공사_청년임대주택 현황_20240630'!F757,""ko"",""en"")"),"22.438")</f>
        <v>22.438</v>
      </c>
      <c r="G757" s="1" t="str">
        <f ca="1">IFERROR(__xludf.DUMMYFUNCTION("GOOGLETRANSLATE('대전도시공사_청년임대주택 현황_20240630'!G757,""ko"",""en"")"),"42.554")</f>
        <v>42.554</v>
      </c>
      <c r="H757" s="1" t="str">
        <f ca="1">IFERROR(__xludf.DUMMYFUNCTION("GOOGLETRANSLATE('대전도시공사_청년임대주택 현황_20240630'!H757,""ko"",""en"")"),"3rd place for youth rental")</f>
        <v>3rd place for youth rental</v>
      </c>
      <c r="I757" s="1" t="str">
        <f ca="1">IFERROR(__xludf.DUMMYFUNCTION("GOOGLETRANSLATE('대전도시공사_청년임대주택 현황_20240630'!I757,""ko"",""en"")"),"2000000")</f>
        <v>2000000</v>
      </c>
      <c r="J757" s="1" t="str">
        <f ca="1">IFERROR(__xludf.DUMMYFUNCTION("GOOGLETRANSLATE('대전도시공사_청년임대주택 현황_20240630'!J757,""ko"",""en"")"),"304600")</f>
        <v>304600</v>
      </c>
    </row>
    <row r="758" spans="1:10" ht="12.5" x14ac:dyDescent="0.25">
      <c r="A758" s="1" t="str">
        <f ca="1">IFERROR(__xludf.DUMMYFUNCTION("GOOGLETRANSLATE('대전도시공사_청년임대주택 현황_20240630'!A758,""ko"",""en"")"),"Goejeong-dong 3-18 (Samyoung Building, youth rental)")</f>
        <v>Goejeong-dong 3-18 (Samyoung Building, youth rental)</v>
      </c>
      <c r="B758" s="1" t="str">
        <f ca="1">IFERROR(__xludf.DUMMYFUNCTION("GOOGLETRANSLATE('대전도시공사_청년임대주택 현황_20240630'!B758,""ko"",""en"")"),"211")</f>
        <v>211</v>
      </c>
      <c r="C758" s="1" t="str">
        <f ca="1">IFERROR(__xludf.DUMMYFUNCTION("GOOGLETRANSLATE('대전도시공사_청년임대주택 현황_20240630'!C758,""ko"",""en"")"),"1")</f>
        <v>1</v>
      </c>
      <c r="D758" s="1" t="str">
        <f ca="1">IFERROR(__xludf.DUMMYFUNCTION("GOOGLETRANSLATE('대전도시공사_청년임대주택 현황_20240630'!D758,""ko"",""en"")"),"1104")</f>
        <v>1104</v>
      </c>
      <c r="E758" s="1" t="str">
        <f ca="1">IFERROR(__xludf.DUMMYFUNCTION("GOOGLETRANSLATE('대전도시공사_청년임대주택 현황_20240630'!E758,""ko"",""en"")"),"64.993")</f>
        <v>64.993</v>
      </c>
      <c r="F758" s="1" t="str">
        <f ca="1">IFERROR(__xludf.DUMMYFUNCTION("GOOGLETRANSLATE('대전도시공사_청년임대주택 현황_20240630'!F758,""ko"",""en"")"),"22.438")</f>
        <v>22.438</v>
      </c>
      <c r="G758" s="1" t="str">
        <f ca="1">IFERROR(__xludf.DUMMYFUNCTION("GOOGLETRANSLATE('대전도시공사_청년임대주택 현황_20240630'!G758,""ko"",""en"")"),"42.554")</f>
        <v>42.554</v>
      </c>
      <c r="H758" s="1" t="str">
        <f ca="1">IFERROR(__xludf.DUMMYFUNCTION("GOOGLETRANSLATE('대전도시공사_청년임대주택 현황_20240630'!H758,""ko"",""en"")"),"Youth Rent 1st Place")</f>
        <v>Youth Rent 1st Place</v>
      </c>
      <c r="I758" s="1" t="str">
        <f ca="1">IFERROR(__xludf.DUMMYFUNCTION("GOOGLETRANSLATE('대전도시공사_청년임대주택 현황_20240630'!I758,""ko"",""en"")"),"1000000")</f>
        <v>1000000</v>
      </c>
      <c r="J758" s="1" t="str">
        <f ca="1">IFERROR(__xludf.DUMMYFUNCTION("GOOGLETRANSLATE('대전도시공사_청년임대주택 현황_20240630'!J758,""ko"",""en"")"),"247000")</f>
        <v>247000</v>
      </c>
    </row>
    <row r="759" spans="1:10" ht="12.5" x14ac:dyDescent="0.25">
      <c r="A759" s="1" t="str">
        <f ca="1">IFERROR(__xludf.DUMMYFUNCTION("GOOGLETRANSLATE('대전도시공사_청년임대주택 현황_20240630'!A759,""ko"",""en"")"),"Goejeong-dong 3-18 (Samyoung Building, youth rental)")</f>
        <v>Goejeong-dong 3-18 (Samyoung Building, youth rental)</v>
      </c>
      <c r="B759" s="1" t="str">
        <f ca="1">IFERROR(__xludf.DUMMYFUNCTION("GOOGLETRANSLATE('대전도시공사_청년임대주택 현황_20240630'!B759,""ko"",""en"")"),"212")</f>
        <v>212</v>
      </c>
      <c r="C759" s="1" t="str">
        <f ca="1">IFERROR(__xludf.DUMMYFUNCTION("GOOGLETRANSLATE('대전도시공사_청년임대주택 현황_20240630'!C759,""ko"",""en"")"),"1")</f>
        <v>1</v>
      </c>
      <c r="D759" s="1" t="str">
        <f ca="1">IFERROR(__xludf.DUMMYFUNCTION("GOOGLETRANSLATE('대전도시공사_청년임대주택 현황_20240630'!D759,""ko"",""en"")"),"1104")</f>
        <v>1104</v>
      </c>
      <c r="E759" s="1" t="str">
        <f ca="1">IFERROR(__xludf.DUMMYFUNCTION("GOOGLETRANSLATE('대전도시공사_청년임대주택 현황_20240630'!E759,""ko"",""en"")"),"64.993")</f>
        <v>64.993</v>
      </c>
      <c r="F759" s="1" t="str">
        <f ca="1">IFERROR(__xludf.DUMMYFUNCTION("GOOGLETRANSLATE('대전도시공사_청년임대주택 현황_20240630'!F759,""ko"",""en"")"),"22.438")</f>
        <v>22.438</v>
      </c>
      <c r="G759" s="1" t="str">
        <f ca="1">IFERROR(__xludf.DUMMYFUNCTION("GOOGLETRANSLATE('대전도시공사_청년임대주택 현황_20240630'!G759,""ko"",""en"")"),"42.554")</f>
        <v>42.554</v>
      </c>
      <c r="H759" s="1" t="str">
        <f ca="1">IFERROR(__xludf.DUMMYFUNCTION("GOOGLETRANSLATE('대전도시공사_청년임대주택 현황_20240630'!H759,""ko"",""en"")"),"Youth Rental 2nd Place")</f>
        <v>Youth Rental 2nd Place</v>
      </c>
      <c r="I759" s="1" t="str">
        <f ca="1">IFERROR(__xludf.DUMMYFUNCTION("GOOGLETRANSLATE('대전도시공사_청년임대주택 현황_20240630'!I759,""ko"",""en"")"),"2000000")</f>
        <v>2000000</v>
      </c>
      <c r="J759" s="1" t="str">
        <f ca="1">IFERROR(__xludf.DUMMYFUNCTION("GOOGLETRANSLATE('대전도시공사_청년임대주택 현황_20240630'!J759,""ko"",""en"")"),"304600")</f>
        <v>304600</v>
      </c>
    </row>
    <row r="760" spans="1:10" ht="12.5" x14ac:dyDescent="0.25">
      <c r="A760" s="1" t="str">
        <f ca="1">IFERROR(__xludf.DUMMYFUNCTION("GOOGLETRANSLATE('대전도시공사_청년임대주택 현황_20240630'!A760,""ko"",""en"")"),"Goejeong-dong 3-18 (Samyoung Building, youth rental)")</f>
        <v>Goejeong-dong 3-18 (Samyoung Building, youth rental)</v>
      </c>
      <c r="B760" s="1" t="str">
        <f ca="1">IFERROR(__xludf.DUMMYFUNCTION("GOOGLETRANSLATE('대전도시공사_청년임대주택 현황_20240630'!B760,""ko"",""en"")"),"213")</f>
        <v>213</v>
      </c>
      <c r="C760" s="1" t="str">
        <f ca="1">IFERROR(__xludf.DUMMYFUNCTION("GOOGLETRANSLATE('대전도시공사_청년임대주택 현황_20240630'!C760,""ko"",""en"")"),"1")</f>
        <v>1</v>
      </c>
      <c r="D760" s="1" t="str">
        <f ca="1">IFERROR(__xludf.DUMMYFUNCTION("GOOGLETRANSLATE('대전도시공사_청년임대주택 현황_20240630'!D760,""ko"",""en"")"),"1104")</f>
        <v>1104</v>
      </c>
      <c r="E760" s="1" t="str">
        <f ca="1">IFERROR(__xludf.DUMMYFUNCTION("GOOGLETRANSLATE('대전도시공사_청년임대주택 현황_20240630'!E760,""ko"",""en"")"),"64.993")</f>
        <v>64.993</v>
      </c>
      <c r="F760" s="1" t="str">
        <f ca="1">IFERROR(__xludf.DUMMYFUNCTION("GOOGLETRANSLATE('대전도시공사_청년임대주택 현황_20240630'!F760,""ko"",""en"")"),"22.438")</f>
        <v>22.438</v>
      </c>
      <c r="G760" s="1" t="str">
        <f ca="1">IFERROR(__xludf.DUMMYFUNCTION("GOOGLETRANSLATE('대전도시공사_청년임대주택 현황_20240630'!G760,""ko"",""en"")"),"42.554")</f>
        <v>42.554</v>
      </c>
      <c r="H760" s="1" t="str">
        <f ca="1">IFERROR(__xludf.DUMMYFUNCTION("GOOGLETRANSLATE('대전도시공사_청년임대주택 현황_20240630'!H760,""ko"",""en"")"),"3rd place for youth rental")</f>
        <v>3rd place for youth rental</v>
      </c>
      <c r="I760" s="1" t="str">
        <f ca="1">IFERROR(__xludf.DUMMYFUNCTION("GOOGLETRANSLATE('대전도시공사_청년임대주택 현황_20240630'!I760,""ko"",""en"")"),"2000000")</f>
        <v>2000000</v>
      </c>
      <c r="J760" s="1" t="str">
        <f ca="1">IFERROR(__xludf.DUMMYFUNCTION("GOOGLETRANSLATE('대전도시공사_청년임대주택 현황_20240630'!J760,""ko"",""en"")"),"304600")</f>
        <v>304600</v>
      </c>
    </row>
    <row r="761" spans="1:10" ht="12.5" x14ac:dyDescent="0.25">
      <c r="A761" s="1" t="str">
        <f ca="1">IFERROR(__xludf.DUMMYFUNCTION("GOOGLETRANSLATE('대전도시공사_청년임대주택 현황_20240630'!A761,""ko"",""en"")"),"Goejeong-dong 3-18 (Samyoung Building, youth rental)")</f>
        <v>Goejeong-dong 3-18 (Samyoung Building, youth rental)</v>
      </c>
      <c r="B761" s="1" t="str">
        <f ca="1">IFERROR(__xludf.DUMMYFUNCTION("GOOGLETRANSLATE('대전도시공사_청년임대주택 현황_20240630'!B761,""ko"",""en"")"),"214")</f>
        <v>214</v>
      </c>
      <c r="C761" s="1" t="str">
        <f ca="1">IFERROR(__xludf.DUMMYFUNCTION("GOOGLETRANSLATE('대전도시공사_청년임대주택 현황_20240630'!C761,""ko"",""en"")"),"1")</f>
        <v>1</v>
      </c>
      <c r="D761" s="1" t="str">
        <f ca="1">IFERROR(__xludf.DUMMYFUNCTION("GOOGLETRANSLATE('대전도시공사_청년임대주택 현황_20240630'!D761,""ko"",""en"")"),"1105")</f>
        <v>1105</v>
      </c>
      <c r="E761" s="1" t="str">
        <f ca="1">IFERROR(__xludf.DUMMYFUNCTION("GOOGLETRANSLATE('대전도시공사_청년임대주택 현황_20240630'!E761,""ko"",""en"")"),"64.993")</f>
        <v>64.993</v>
      </c>
      <c r="F761" s="1" t="str">
        <f ca="1">IFERROR(__xludf.DUMMYFUNCTION("GOOGLETRANSLATE('대전도시공사_청년임대주택 현황_20240630'!F761,""ko"",""en"")"),"22.438")</f>
        <v>22.438</v>
      </c>
      <c r="G761" s="1" t="str">
        <f ca="1">IFERROR(__xludf.DUMMYFUNCTION("GOOGLETRANSLATE('대전도시공사_청년임대주택 현황_20240630'!G761,""ko"",""en"")"),"42.554")</f>
        <v>42.554</v>
      </c>
      <c r="H761" s="1" t="str">
        <f ca="1">IFERROR(__xludf.DUMMYFUNCTION("GOOGLETRANSLATE('대전도시공사_청년임대주택 현황_20240630'!H761,""ko"",""en"")"),"Youth Rent 1st Place")</f>
        <v>Youth Rent 1st Place</v>
      </c>
      <c r="I761" s="1" t="str">
        <f ca="1">IFERROR(__xludf.DUMMYFUNCTION("GOOGLETRANSLATE('대전도시공사_청년임대주택 현황_20240630'!I761,""ko"",""en"")"),"1000000")</f>
        <v>1000000</v>
      </c>
      <c r="J761" s="1" t="str">
        <f ca="1">IFERROR(__xludf.DUMMYFUNCTION("GOOGLETRANSLATE('대전도시공사_청년임대주택 현황_20240630'!J761,""ko"",""en"")"),"247000")</f>
        <v>247000</v>
      </c>
    </row>
    <row r="762" spans="1:10" ht="12.5" x14ac:dyDescent="0.25">
      <c r="A762" s="1" t="str">
        <f ca="1">IFERROR(__xludf.DUMMYFUNCTION("GOOGLETRANSLATE('대전도시공사_청년임대주택 현황_20240630'!A762,""ko"",""en"")"),"Goejeong-dong 3-18 (Samyoung Building, youth rental)")</f>
        <v>Goejeong-dong 3-18 (Samyoung Building, youth rental)</v>
      </c>
      <c r="B762" s="1" t="str">
        <f ca="1">IFERROR(__xludf.DUMMYFUNCTION("GOOGLETRANSLATE('대전도시공사_청년임대주택 현황_20240630'!B762,""ko"",""en"")"),"215")</f>
        <v>215</v>
      </c>
      <c r="C762" s="1" t="str">
        <f ca="1">IFERROR(__xludf.DUMMYFUNCTION("GOOGLETRANSLATE('대전도시공사_청년임대주택 현황_20240630'!C762,""ko"",""en"")"),"1")</f>
        <v>1</v>
      </c>
      <c r="D762" s="1" t="str">
        <f ca="1">IFERROR(__xludf.DUMMYFUNCTION("GOOGLETRANSLATE('대전도시공사_청년임대주택 현황_20240630'!D762,""ko"",""en"")"),"1105")</f>
        <v>1105</v>
      </c>
      <c r="E762" s="1" t="str">
        <f ca="1">IFERROR(__xludf.DUMMYFUNCTION("GOOGLETRANSLATE('대전도시공사_청년임대주택 현황_20240630'!E762,""ko"",""en"")"),"64.993")</f>
        <v>64.993</v>
      </c>
      <c r="F762" s="1" t="str">
        <f ca="1">IFERROR(__xludf.DUMMYFUNCTION("GOOGLETRANSLATE('대전도시공사_청년임대주택 현황_20240630'!F762,""ko"",""en"")"),"22.438")</f>
        <v>22.438</v>
      </c>
      <c r="G762" s="1" t="str">
        <f ca="1">IFERROR(__xludf.DUMMYFUNCTION("GOOGLETRANSLATE('대전도시공사_청년임대주택 현황_20240630'!G762,""ko"",""en"")"),"42.554")</f>
        <v>42.554</v>
      </c>
      <c r="H762" s="1" t="str">
        <f ca="1">IFERROR(__xludf.DUMMYFUNCTION("GOOGLETRANSLATE('대전도시공사_청년임대주택 현황_20240630'!H762,""ko"",""en"")"),"Youth Rental 2nd Place")</f>
        <v>Youth Rental 2nd Place</v>
      </c>
      <c r="I762" s="1" t="str">
        <f ca="1">IFERROR(__xludf.DUMMYFUNCTION("GOOGLETRANSLATE('대전도시공사_청년임대주택 현황_20240630'!I762,""ko"",""en"")"),"2000000")</f>
        <v>2000000</v>
      </c>
      <c r="J762" s="1" t="str">
        <f ca="1">IFERROR(__xludf.DUMMYFUNCTION("GOOGLETRANSLATE('대전도시공사_청년임대주택 현황_20240630'!J762,""ko"",""en"")"),"304600")</f>
        <v>304600</v>
      </c>
    </row>
    <row r="763" spans="1:10" ht="12.5" x14ac:dyDescent="0.25">
      <c r="A763" s="1" t="str">
        <f ca="1">IFERROR(__xludf.DUMMYFUNCTION("GOOGLETRANSLATE('대전도시공사_청년임대주택 현황_20240630'!A763,""ko"",""en"")"),"Goejeong-dong 3-18 (Samyoung Building, youth rental)")</f>
        <v>Goejeong-dong 3-18 (Samyoung Building, youth rental)</v>
      </c>
      <c r="B763" s="1" t="str">
        <f ca="1">IFERROR(__xludf.DUMMYFUNCTION("GOOGLETRANSLATE('대전도시공사_청년임대주택 현황_20240630'!B763,""ko"",""en"")"),"216")</f>
        <v>216</v>
      </c>
      <c r="C763" s="1" t="str">
        <f ca="1">IFERROR(__xludf.DUMMYFUNCTION("GOOGLETRANSLATE('대전도시공사_청년임대주택 현황_20240630'!C763,""ko"",""en"")"),"1")</f>
        <v>1</v>
      </c>
      <c r="D763" s="1" t="str">
        <f ca="1">IFERROR(__xludf.DUMMYFUNCTION("GOOGLETRANSLATE('대전도시공사_청년임대주택 현황_20240630'!D763,""ko"",""en"")"),"1105")</f>
        <v>1105</v>
      </c>
      <c r="E763" s="1" t="str">
        <f ca="1">IFERROR(__xludf.DUMMYFUNCTION("GOOGLETRANSLATE('대전도시공사_청년임대주택 현황_20240630'!E763,""ko"",""en"")"),"64.993")</f>
        <v>64.993</v>
      </c>
      <c r="F763" s="1" t="str">
        <f ca="1">IFERROR(__xludf.DUMMYFUNCTION("GOOGLETRANSLATE('대전도시공사_청년임대주택 현황_20240630'!F763,""ko"",""en"")"),"22.438")</f>
        <v>22.438</v>
      </c>
      <c r="G763" s="1" t="str">
        <f ca="1">IFERROR(__xludf.DUMMYFUNCTION("GOOGLETRANSLATE('대전도시공사_청년임대주택 현황_20240630'!G763,""ko"",""en"")"),"42.554")</f>
        <v>42.554</v>
      </c>
      <c r="H763" s="1" t="str">
        <f ca="1">IFERROR(__xludf.DUMMYFUNCTION("GOOGLETRANSLATE('대전도시공사_청년임대주택 현황_20240630'!H763,""ko"",""en"")"),"3rd place for youth rental")</f>
        <v>3rd place for youth rental</v>
      </c>
      <c r="I763" s="1" t="str">
        <f ca="1">IFERROR(__xludf.DUMMYFUNCTION("GOOGLETRANSLATE('대전도시공사_청년임대주택 현황_20240630'!I763,""ko"",""en"")"),"2000000")</f>
        <v>2000000</v>
      </c>
      <c r="J763" s="1" t="str">
        <f ca="1">IFERROR(__xludf.DUMMYFUNCTION("GOOGLETRANSLATE('대전도시공사_청년임대주택 현황_20240630'!J763,""ko"",""en"")"),"304600")</f>
        <v>304600</v>
      </c>
    </row>
    <row r="764" spans="1:10" ht="12.5" x14ac:dyDescent="0.25">
      <c r="A764" s="1" t="str">
        <f ca="1">IFERROR(__xludf.DUMMYFUNCTION("GOOGLETRANSLATE('대전도시공사_청년임대주택 현황_20240630'!A764,""ko"",""en"")"),"Goejeong-dong 3-18 (Samyoung Building, youth rental)")</f>
        <v>Goejeong-dong 3-18 (Samyoung Building, youth rental)</v>
      </c>
      <c r="B764" s="1" t="str">
        <f ca="1">IFERROR(__xludf.DUMMYFUNCTION("GOOGLETRANSLATE('대전도시공사_청년임대주택 현황_20240630'!B764,""ko"",""en"")"),"217")</f>
        <v>217</v>
      </c>
      <c r="C764" s="1" t="str">
        <f ca="1">IFERROR(__xludf.DUMMYFUNCTION("GOOGLETRANSLATE('대전도시공사_청년임대주택 현황_20240630'!C764,""ko"",""en"")"),"1")</f>
        <v>1</v>
      </c>
      <c r="D764" s="1" t="str">
        <f ca="1">IFERROR(__xludf.DUMMYFUNCTION("GOOGLETRANSLATE('대전도시공사_청년임대주택 현황_20240630'!D764,""ko"",""en"")"),"1106")</f>
        <v>1106</v>
      </c>
      <c r="E764" s="1" t="str">
        <f ca="1">IFERROR(__xludf.DUMMYFUNCTION("GOOGLETRANSLATE('대전도시공사_청년임대주택 현황_20240630'!E764,""ko"",""en"")"),"64.993")</f>
        <v>64.993</v>
      </c>
      <c r="F764" s="1" t="str">
        <f ca="1">IFERROR(__xludf.DUMMYFUNCTION("GOOGLETRANSLATE('대전도시공사_청년임대주택 현황_20240630'!F764,""ko"",""en"")"),"22.438")</f>
        <v>22.438</v>
      </c>
      <c r="G764" s="1" t="str">
        <f ca="1">IFERROR(__xludf.DUMMYFUNCTION("GOOGLETRANSLATE('대전도시공사_청년임대주택 현황_20240630'!G764,""ko"",""en"")"),"42.554")</f>
        <v>42.554</v>
      </c>
      <c r="H764" s="1" t="str">
        <f ca="1">IFERROR(__xludf.DUMMYFUNCTION("GOOGLETRANSLATE('대전도시공사_청년임대주택 현황_20240630'!H764,""ko"",""en"")"),"Youth Rent 1st Place")</f>
        <v>Youth Rent 1st Place</v>
      </c>
      <c r="I764" s="1" t="str">
        <f ca="1">IFERROR(__xludf.DUMMYFUNCTION("GOOGLETRANSLATE('대전도시공사_청년임대주택 현황_20240630'!I764,""ko"",""en"")"),"1000000")</f>
        <v>1000000</v>
      </c>
      <c r="J764" s="1" t="str">
        <f ca="1">IFERROR(__xludf.DUMMYFUNCTION("GOOGLETRANSLATE('대전도시공사_청년임대주택 현황_20240630'!J764,""ko"",""en"")"),"247000")</f>
        <v>247000</v>
      </c>
    </row>
    <row r="765" spans="1:10" ht="12.5" x14ac:dyDescent="0.25">
      <c r="A765" s="1" t="str">
        <f ca="1">IFERROR(__xludf.DUMMYFUNCTION("GOOGLETRANSLATE('대전도시공사_청년임대주택 현황_20240630'!A765,""ko"",""en"")"),"Goejeong-dong 3-18 (Samyoung Building, youth rental)")</f>
        <v>Goejeong-dong 3-18 (Samyoung Building, youth rental)</v>
      </c>
      <c r="B765" s="1" t="str">
        <f ca="1">IFERROR(__xludf.DUMMYFUNCTION("GOOGLETRANSLATE('대전도시공사_청년임대주택 현황_20240630'!B765,""ko"",""en"")"),"218")</f>
        <v>218</v>
      </c>
      <c r="C765" s="1" t="str">
        <f ca="1">IFERROR(__xludf.DUMMYFUNCTION("GOOGLETRANSLATE('대전도시공사_청년임대주택 현황_20240630'!C765,""ko"",""en"")"),"1")</f>
        <v>1</v>
      </c>
      <c r="D765" s="1" t="str">
        <f ca="1">IFERROR(__xludf.DUMMYFUNCTION("GOOGLETRANSLATE('대전도시공사_청년임대주택 현황_20240630'!D765,""ko"",""en"")"),"1106")</f>
        <v>1106</v>
      </c>
      <c r="E765" s="1" t="str">
        <f ca="1">IFERROR(__xludf.DUMMYFUNCTION("GOOGLETRANSLATE('대전도시공사_청년임대주택 현황_20240630'!E765,""ko"",""en"")"),"64.993")</f>
        <v>64.993</v>
      </c>
      <c r="F765" s="1" t="str">
        <f ca="1">IFERROR(__xludf.DUMMYFUNCTION("GOOGLETRANSLATE('대전도시공사_청년임대주택 현황_20240630'!F765,""ko"",""en"")"),"22.438")</f>
        <v>22.438</v>
      </c>
      <c r="G765" s="1" t="str">
        <f ca="1">IFERROR(__xludf.DUMMYFUNCTION("GOOGLETRANSLATE('대전도시공사_청년임대주택 현황_20240630'!G765,""ko"",""en"")"),"42.554")</f>
        <v>42.554</v>
      </c>
      <c r="H765" s="1" t="str">
        <f ca="1">IFERROR(__xludf.DUMMYFUNCTION("GOOGLETRANSLATE('대전도시공사_청년임대주택 현황_20240630'!H765,""ko"",""en"")"),"Youth Rental 2nd Place")</f>
        <v>Youth Rental 2nd Place</v>
      </c>
      <c r="I765" s="1" t="str">
        <f ca="1">IFERROR(__xludf.DUMMYFUNCTION("GOOGLETRANSLATE('대전도시공사_청년임대주택 현황_20240630'!I765,""ko"",""en"")"),"2000000")</f>
        <v>2000000</v>
      </c>
      <c r="J765" s="1" t="str">
        <f ca="1">IFERROR(__xludf.DUMMYFUNCTION("GOOGLETRANSLATE('대전도시공사_청년임대주택 현황_20240630'!J765,""ko"",""en"")"),"304600")</f>
        <v>304600</v>
      </c>
    </row>
    <row r="766" spans="1:10" ht="12.5" x14ac:dyDescent="0.25">
      <c r="A766" s="1" t="str">
        <f ca="1">IFERROR(__xludf.DUMMYFUNCTION("GOOGLETRANSLATE('대전도시공사_청년임대주택 현황_20240630'!A766,""ko"",""en"")"),"Goejeong-dong 3-18 (Samyoung Building, youth rental)")</f>
        <v>Goejeong-dong 3-18 (Samyoung Building, youth rental)</v>
      </c>
      <c r="B766" s="1" t="str">
        <f ca="1">IFERROR(__xludf.DUMMYFUNCTION("GOOGLETRANSLATE('대전도시공사_청년임대주택 현황_20240630'!B766,""ko"",""en"")"),"219")</f>
        <v>219</v>
      </c>
      <c r="C766" s="1" t="str">
        <f ca="1">IFERROR(__xludf.DUMMYFUNCTION("GOOGLETRANSLATE('대전도시공사_청년임대주택 현황_20240630'!C766,""ko"",""en"")"),"1")</f>
        <v>1</v>
      </c>
      <c r="D766" s="1" t="str">
        <f ca="1">IFERROR(__xludf.DUMMYFUNCTION("GOOGLETRANSLATE('대전도시공사_청년임대주택 현황_20240630'!D766,""ko"",""en"")"),"1106")</f>
        <v>1106</v>
      </c>
      <c r="E766" s="1" t="str">
        <f ca="1">IFERROR(__xludf.DUMMYFUNCTION("GOOGLETRANSLATE('대전도시공사_청년임대주택 현황_20240630'!E766,""ko"",""en"")"),"64.993")</f>
        <v>64.993</v>
      </c>
      <c r="F766" s="1" t="str">
        <f ca="1">IFERROR(__xludf.DUMMYFUNCTION("GOOGLETRANSLATE('대전도시공사_청년임대주택 현황_20240630'!F766,""ko"",""en"")"),"22.438")</f>
        <v>22.438</v>
      </c>
      <c r="G766" s="1" t="str">
        <f ca="1">IFERROR(__xludf.DUMMYFUNCTION("GOOGLETRANSLATE('대전도시공사_청년임대주택 현황_20240630'!G766,""ko"",""en"")"),"42.554")</f>
        <v>42.554</v>
      </c>
      <c r="H766" s="1" t="str">
        <f ca="1">IFERROR(__xludf.DUMMYFUNCTION("GOOGLETRANSLATE('대전도시공사_청년임대주택 현황_20240630'!H766,""ko"",""en"")"),"3rd place for youth rental")</f>
        <v>3rd place for youth rental</v>
      </c>
      <c r="I766" s="1" t="str">
        <f ca="1">IFERROR(__xludf.DUMMYFUNCTION("GOOGLETRANSLATE('대전도시공사_청년임대주택 현황_20240630'!I766,""ko"",""en"")"),"2000000")</f>
        <v>2000000</v>
      </c>
      <c r="J766" s="1" t="str">
        <f ca="1">IFERROR(__xludf.DUMMYFUNCTION("GOOGLETRANSLATE('대전도시공사_청년임대주택 현황_20240630'!J766,""ko"",""en"")"),"304600")</f>
        <v>304600</v>
      </c>
    </row>
    <row r="767" spans="1:10" ht="12.5" x14ac:dyDescent="0.25">
      <c r="A767" s="1" t="str">
        <f ca="1">IFERROR(__xludf.DUMMYFUNCTION("GOOGLETRANSLATE('대전도시공사_청년임대주택 현황_20240630'!A767,""ko"",""en"")"),"Goejeong-dong 3-18 (Samyoung Building, youth rental)")</f>
        <v>Goejeong-dong 3-18 (Samyoung Building, youth rental)</v>
      </c>
      <c r="B767" s="1" t="str">
        <f ca="1">IFERROR(__xludf.DUMMYFUNCTION("GOOGLETRANSLATE('대전도시공사_청년임대주택 현황_20240630'!B767,""ko"",""en"")"),"220")</f>
        <v>220</v>
      </c>
      <c r="C767" s="1" t="str">
        <f ca="1">IFERROR(__xludf.DUMMYFUNCTION("GOOGLETRANSLATE('대전도시공사_청년임대주택 현황_20240630'!C767,""ko"",""en"")"),"1")</f>
        <v>1</v>
      </c>
      <c r="D767" s="1" t="str">
        <f ca="1">IFERROR(__xludf.DUMMYFUNCTION("GOOGLETRANSLATE('대전도시공사_청년임대주택 현황_20240630'!D767,""ko"",""en"")"),"1107")</f>
        <v>1107</v>
      </c>
      <c r="E767" s="1" t="str">
        <f ca="1">IFERROR(__xludf.DUMMYFUNCTION("GOOGLETRANSLATE('대전도시공사_청년임대주택 현황_20240630'!E767,""ko"",""en"")"),"64.993")</f>
        <v>64.993</v>
      </c>
      <c r="F767" s="1" t="str">
        <f ca="1">IFERROR(__xludf.DUMMYFUNCTION("GOOGLETRANSLATE('대전도시공사_청년임대주택 현황_20240630'!F767,""ko"",""en"")"),"22.438")</f>
        <v>22.438</v>
      </c>
      <c r="G767" s="1" t="str">
        <f ca="1">IFERROR(__xludf.DUMMYFUNCTION("GOOGLETRANSLATE('대전도시공사_청년임대주택 현황_20240630'!G767,""ko"",""en"")"),"42.554")</f>
        <v>42.554</v>
      </c>
      <c r="H767" s="1" t="str">
        <f ca="1">IFERROR(__xludf.DUMMYFUNCTION("GOOGLETRANSLATE('대전도시공사_청년임대주택 현황_20240630'!H767,""ko"",""en"")"),"Youth Rent 1st Place")</f>
        <v>Youth Rent 1st Place</v>
      </c>
      <c r="I767" s="1" t="str">
        <f ca="1">IFERROR(__xludf.DUMMYFUNCTION("GOOGLETRANSLATE('대전도시공사_청년임대주택 현황_20240630'!I767,""ko"",""en"")"),"1000000")</f>
        <v>1000000</v>
      </c>
      <c r="J767" s="1" t="str">
        <f ca="1">IFERROR(__xludf.DUMMYFUNCTION("GOOGLETRANSLATE('대전도시공사_청년임대주택 현황_20240630'!J767,""ko"",""en"")"),"247000")</f>
        <v>247000</v>
      </c>
    </row>
    <row r="768" spans="1:10" ht="12.5" x14ac:dyDescent="0.25">
      <c r="A768" s="1" t="str">
        <f ca="1">IFERROR(__xludf.DUMMYFUNCTION("GOOGLETRANSLATE('대전도시공사_청년임대주택 현황_20240630'!A768,""ko"",""en"")"),"Goejeong-dong 3-18 (Samyoung Building, youth rental)")</f>
        <v>Goejeong-dong 3-18 (Samyoung Building, youth rental)</v>
      </c>
      <c r="B768" s="1" t="str">
        <f ca="1">IFERROR(__xludf.DUMMYFUNCTION("GOOGLETRANSLATE('대전도시공사_청년임대주택 현황_20240630'!B768,""ko"",""en"")"),"221")</f>
        <v>221</v>
      </c>
      <c r="C768" s="1" t="str">
        <f ca="1">IFERROR(__xludf.DUMMYFUNCTION("GOOGLETRANSLATE('대전도시공사_청년임대주택 현황_20240630'!C768,""ko"",""en"")"),"1")</f>
        <v>1</v>
      </c>
      <c r="D768" s="1" t="str">
        <f ca="1">IFERROR(__xludf.DUMMYFUNCTION("GOOGLETRANSLATE('대전도시공사_청년임대주택 현황_20240630'!D768,""ko"",""en"")"),"1107")</f>
        <v>1107</v>
      </c>
      <c r="E768" s="1" t="str">
        <f ca="1">IFERROR(__xludf.DUMMYFUNCTION("GOOGLETRANSLATE('대전도시공사_청년임대주택 현황_20240630'!E768,""ko"",""en"")"),"64.993")</f>
        <v>64.993</v>
      </c>
      <c r="F768" s="1" t="str">
        <f ca="1">IFERROR(__xludf.DUMMYFUNCTION("GOOGLETRANSLATE('대전도시공사_청년임대주택 현황_20240630'!F768,""ko"",""en"")"),"22.438")</f>
        <v>22.438</v>
      </c>
      <c r="G768" s="1" t="str">
        <f ca="1">IFERROR(__xludf.DUMMYFUNCTION("GOOGLETRANSLATE('대전도시공사_청년임대주택 현황_20240630'!G768,""ko"",""en"")"),"42.554")</f>
        <v>42.554</v>
      </c>
      <c r="H768" s="1" t="str">
        <f ca="1">IFERROR(__xludf.DUMMYFUNCTION("GOOGLETRANSLATE('대전도시공사_청년임대주택 현황_20240630'!H768,""ko"",""en"")"),"Youth Rental 2nd Place")</f>
        <v>Youth Rental 2nd Place</v>
      </c>
      <c r="I768" s="1" t="str">
        <f ca="1">IFERROR(__xludf.DUMMYFUNCTION("GOOGLETRANSLATE('대전도시공사_청년임대주택 현황_20240630'!I768,""ko"",""en"")"),"2000000")</f>
        <v>2000000</v>
      </c>
      <c r="J768" s="1" t="str">
        <f ca="1">IFERROR(__xludf.DUMMYFUNCTION("GOOGLETRANSLATE('대전도시공사_청년임대주택 현황_20240630'!J768,""ko"",""en"")"),"304600")</f>
        <v>304600</v>
      </c>
    </row>
    <row r="769" spans="1:10" ht="12.5" x14ac:dyDescent="0.25">
      <c r="A769" s="1" t="str">
        <f ca="1">IFERROR(__xludf.DUMMYFUNCTION("GOOGLETRANSLATE('대전도시공사_청년임대주택 현황_20240630'!A769,""ko"",""en"")"),"Goejeong-dong 3-18 (Samyoung Building, youth rental)")</f>
        <v>Goejeong-dong 3-18 (Samyoung Building, youth rental)</v>
      </c>
      <c r="B769" s="1" t="str">
        <f ca="1">IFERROR(__xludf.DUMMYFUNCTION("GOOGLETRANSLATE('대전도시공사_청년임대주택 현황_20240630'!B769,""ko"",""en"")"),"222")</f>
        <v>222</v>
      </c>
      <c r="C769" s="1" t="str">
        <f ca="1">IFERROR(__xludf.DUMMYFUNCTION("GOOGLETRANSLATE('대전도시공사_청년임대주택 현황_20240630'!C769,""ko"",""en"")"),"1")</f>
        <v>1</v>
      </c>
      <c r="D769" s="1" t="str">
        <f ca="1">IFERROR(__xludf.DUMMYFUNCTION("GOOGLETRANSLATE('대전도시공사_청년임대주택 현황_20240630'!D769,""ko"",""en"")"),"1107")</f>
        <v>1107</v>
      </c>
      <c r="E769" s="1" t="str">
        <f ca="1">IFERROR(__xludf.DUMMYFUNCTION("GOOGLETRANSLATE('대전도시공사_청년임대주택 현황_20240630'!E769,""ko"",""en"")"),"64.993")</f>
        <v>64.993</v>
      </c>
      <c r="F769" s="1" t="str">
        <f ca="1">IFERROR(__xludf.DUMMYFUNCTION("GOOGLETRANSLATE('대전도시공사_청년임대주택 현황_20240630'!F769,""ko"",""en"")"),"22.438")</f>
        <v>22.438</v>
      </c>
      <c r="G769" s="1" t="str">
        <f ca="1">IFERROR(__xludf.DUMMYFUNCTION("GOOGLETRANSLATE('대전도시공사_청년임대주택 현황_20240630'!G769,""ko"",""en"")"),"42.554")</f>
        <v>42.554</v>
      </c>
      <c r="H769" s="1" t="str">
        <f ca="1">IFERROR(__xludf.DUMMYFUNCTION("GOOGLETRANSLATE('대전도시공사_청년임대주택 현황_20240630'!H769,""ko"",""en"")"),"3rd place for youth rental")</f>
        <v>3rd place for youth rental</v>
      </c>
      <c r="I769" s="1" t="str">
        <f ca="1">IFERROR(__xludf.DUMMYFUNCTION("GOOGLETRANSLATE('대전도시공사_청년임대주택 현황_20240630'!I769,""ko"",""en"")"),"2000000")</f>
        <v>2000000</v>
      </c>
      <c r="J769" s="1" t="str">
        <f ca="1">IFERROR(__xludf.DUMMYFUNCTION("GOOGLETRANSLATE('대전도시공사_청년임대주택 현황_20240630'!J769,""ko"",""en"")"),"304600")</f>
        <v>304600</v>
      </c>
    </row>
    <row r="770" spans="1:10" ht="12.5" x14ac:dyDescent="0.25">
      <c r="A770" s="1" t="str">
        <f ca="1">IFERROR(__xludf.DUMMYFUNCTION("GOOGLETRANSLATE('대전도시공사_청년임대주택 현황_20240630'!A770,""ko"",""en"")"),"Goejeong-dong 3-18 (Samyoung Building, youth rental)")</f>
        <v>Goejeong-dong 3-18 (Samyoung Building, youth rental)</v>
      </c>
      <c r="B770" s="1" t="str">
        <f ca="1">IFERROR(__xludf.DUMMYFUNCTION("GOOGLETRANSLATE('대전도시공사_청년임대주택 현황_20240630'!B770,""ko"",""en"")"),"223")</f>
        <v>223</v>
      </c>
      <c r="C770" s="1" t="str">
        <f ca="1">IFERROR(__xludf.DUMMYFUNCTION("GOOGLETRANSLATE('대전도시공사_청년임대주택 현황_20240630'!C770,""ko"",""en"")"),"1")</f>
        <v>1</v>
      </c>
      <c r="D770" s="1" t="str">
        <f ca="1">IFERROR(__xludf.DUMMYFUNCTION("GOOGLETRANSLATE('대전도시공사_청년임대주택 현황_20240630'!D770,""ko"",""en"")"),"1108")</f>
        <v>1108</v>
      </c>
      <c r="E770" s="1" t="str">
        <f ca="1">IFERROR(__xludf.DUMMYFUNCTION("GOOGLETRANSLATE('대전도시공사_청년임대주택 현황_20240630'!E770,""ko"",""en"")"),"64.993")</f>
        <v>64.993</v>
      </c>
      <c r="F770" s="1" t="str">
        <f ca="1">IFERROR(__xludf.DUMMYFUNCTION("GOOGLETRANSLATE('대전도시공사_청년임대주택 현황_20240630'!F770,""ko"",""en"")"),"22.438")</f>
        <v>22.438</v>
      </c>
      <c r="G770" s="1" t="str">
        <f ca="1">IFERROR(__xludf.DUMMYFUNCTION("GOOGLETRANSLATE('대전도시공사_청년임대주택 현황_20240630'!G770,""ko"",""en"")"),"42.554")</f>
        <v>42.554</v>
      </c>
      <c r="H770" s="1" t="str">
        <f ca="1">IFERROR(__xludf.DUMMYFUNCTION("GOOGLETRANSLATE('대전도시공사_청년임대주택 현황_20240630'!H770,""ko"",""en"")"),"Youth Rent 1st Place")</f>
        <v>Youth Rent 1st Place</v>
      </c>
      <c r="I770" s="1" t="str">
        <f ca="1">IFERROR(__xludf.DUMMYFUNCTION("GOOGLETRANSLATE('대전도시공사_청년임대주택 현황_20240630'!I770,""ko"",""en"")"),"1000000")</f>
        <v>1000000</v>
      </c>
      <c r="J770" s="1" t="str">
        <f ca="1">IFERROR(__xludf.DUMMYFUNCTION("GOOGLETRANSLATE('대전도시공사_청년임대주택 현황_20240630'!J770,""ko"",""en"")"),"247000")</f>
        <v>247000</v>
      </c>
    </row>
    <row r="771" spans="1:10" ht="12.5" x14ac:dyDescent="0.25">
      <c r="A771" s="1" t="str">
        <f ca="1">IFERROR(__xludf.DUMMYFUNCTION("GOOGLETRANSLATE('대전도시공사_청년임대주택 현황_20240630'!A771,""ko"",""en"")"),"Goejeong-dong 3-18 (Samyoung Building, youth rental)")</f>
        <v>Goejeong-dong 3-18 (Samyoung Building, youth rental)</v>
      </c>
      <c r="B771" s="1" t="str">
        <f ca="1">IFERROR(__xludf.DUMMYFUNCTION("GOOGLETRANSLATE('대전도시공사_청년임대주택 현황_20240630'!B771,""ko"",""en"")"),"224")</f>
        <v>224</v>
      </c>
      <c r="C771" s="1" t="str">
        <f ca="1">IFERROR(__xludf.DUMMYFUNCTION("GOOGLETRANSLATE('대전도시공사_청년임대주택 현황_20240630'!C771,""ko"",""en"")"),"1")</f>
        <v>1</v>
      </c>
      <c r="D771" s="1" t="str">
        <f ca="1">IFERROR(__xludf.DUMMYFUNCTION("GOOGLETRANSLATE('대전도시공사_청년임대주택 현황_20240630'!D771,""ko"",""en"")"),"1108")</f>
        <v>1108</v>
      </c>
      <c r="E771" s="1" t="str">
        <f ca="1">IFERROR(__xludf.DUMMYFUNCTION("GOOGLETRANSLATE('대전도시공사_청년임대주택 현황_20240630'!E771,""ko"",""en"")"),"64.993")</f>
        <v>64.993</v>
      </c>
      <c r="F771" s="1" t="str">
        <f ca="1">IFERROR(__xludf.DUMMYFUNCTION("GOOGLETRANSLATE('대전도시공사_청년임대주택 현황_20240630'!F771,""ko"",""en"")"),"22.438")</f>
        <v>22.438</v>
      </c>
      <c r="G771" s="1" t="str">
        <f ca="1">IFERROR(__xludf.DUMMYFUNCTION("GOOGLETRANSLATE('대전도시공사_청년임대주택 현황_20240630'!G771,""ko"",""en"")"),"42.554")</f>
        <v>42.554</v>
      </c>
      <c r="H771" s="1" t="str">
        <f ca="1">IFERROR(__xludf.DUMMYFUNCTION("GOOGLETRANSLATE('대전도시공사_청년임대주택 현황_20240630'!H771,""ko"",""en"")"),"Youth Rental 2nd Place")</f>
        <v>Youth Rental 2nd Place</v>
      </c>
      <c r="I771" s="1" t="str">
        <f ca="1">IFERROR(__xludf.DUMMYFUNCTION("GOOGLETRANSLATE('대전도시공사_청년임대주택 현황_20240630'!I771,""ko"",""en"")"),"2000000")</f>
        <v>2000000</v>
      </c>
      <c r="J771" s="1" t="str">
        <f ca="1">IFERROR(__xludf.DUMMYFUNCTION("GOOGLETRANSLATE('대전도시공사_청년임대주택 현황_20240630'!J771,""ko"",""en"")"),"304600")</f>
        <v>304600</v>
      </c>
    </row>
    <row r="772" spans="1:10" ht="12.5" x14ac:dyDescent="0.25">
      <c r="A772" s="1" t="str">
        <f ca="1">IFERROR(__xludf.DUMMYFUNCTION("GOOGLETRANSLATE('대전도시공사_청년임대주택 현황_20240630'!A772,""ko"",""en"")"),"Goejeong-dong 3-18 (Samyoung Building, youth rental)")</f>
        <v>Goejeong-dong 3-18 (Samyoung Building, youth rental)</v>
      </c>
      <c r="B772" s="1" t="str">
        <f ca="1">IFERROR(__xludf.DUMMYFUNCTION("GOOGLETRANSLATE('대전도시공사_청년임대주택 현황_20240630'!B772,""ko"",""en"")"),"225")</f>
        <v>225</v>
      </c>
      <c r="C772" s="1" t="str">
        <f ca="1">IFERROR(__xludf.DUMMYFUNCTION("GOOGLETRANSLATE('대전도시공사_청년임대주택 현황_20240630'!C772,""ko"",""en"")"),"1")</f>
        <v>1</v>
      </c>
      <c r="D772" s="1" t="str">
        <f ca="1">IFERROR(__xludf.DUMMYFUNCTION("GOOGLETRANSLATE('대전도시공사_청년임대주택 현황_20240630'!D772,""ko"",""en"")"),"1108")</f>
        <v>1108</v>
      </c>
      <c r="E772" s="1" t="str">
        <f ca="1">IFERROR(__xludf.DUMMYFUNCTION("GOOGLETRANSLATE('대전도시공사_청년임대주택 현황_20240630'!E772,""ko"",""en"")"),"64.993")</f>
        <v>64.993</v>
      </c>
      <c r="F772" s="1" t="str">
        <f ca="1">IFERROR(__xludf.DUMMYFUNCTION("GOOGLETRANSLATE('대전도시공사_청년임대주택 현황_20240630'!F772,""ko"",""en"")"),"22.438")</f>
        <v>22.438</v>
      </c>
      <c r="G772" s="1" t="str">
        <f ca="1">IFERROR(__xludf.DUMMYFUNCTION("GOOGLETRANSLATE('대전도시공사_청년임대주택 현황_20240630'!G772,""ko"",""en"")"),"42.554")</f>
        <v>42.554</v>
      </c>
      <c r="H772" s="1" t="str">
        <f ca="1">IFERROR(__xludf.DUMMYFUNCTION("GOOGLETRANSLATE('대전도시공사_청년임대주택 현황_20240630'!H772,""ko"",""en"")"),"3rd place for youth rental")</f>
        <v>3rd place for youth rental</v>
      </c>
      <c r="I772" s="1" t="str">
        <f ca="1">IFERROR(__xludf.DUMMYFUNCTION("GOOGLETRANSLATE('대전도시공사_청년임대주택 현황_20240630'!I772,""ko"",""en"")"),"2000000")</f>
        <v>2000000</v>
      </c>
      <c r="J772" s="1" t="str">
        <f ca="1">IFERROR(__xludf.DUMMYFUNCTION("GOOGLETRANSLATE('대전도시공사_청년임대주택 현황_20240630'!J772,""ko"",""en"")"),"304600")</f>
        <v>304600</v>
      </c>
    </row>
    <row r="773" spans="1:10" ht="12.5" x14ac:dyDescent="0.25">
      <c r="A773" s="1" t="str">
        <f ca="1">IFERROR(__xludf.DUMMYFUNCTION("GOOGLETRANSLATE('대전도시공사_청년임대주택 현황_20240630'!A773,""ko"",""en"")"),"Goejeong-dong 3-18 (Samyoung Building, youth rental)")</f>
        <v>Goejeong-dong 3-18 (Samyoung Building, youth rental)</v>
      </c>
      <c r="B773" s="1" t="str">
        <f ca="1">IFERROR(__xludf.DUMMYFUNCTION("GOOGLETRANSLATE('대전도시공사_청년임대주택 현황_20240630'!B773,""ko"",""en"")"),"226")</f>
        <v>226</v>
      </c>
      <c r="C773" s="1" t="str">
        <f ca="1">IFERROR(__xludf.DUMMYFUNCTION("GOOGLETRANSLATE('대전도시공사_청년임대주택 현황_20240630'!C773,""ko"",""en"")"),"1")</f>
        <v>1</v>
      </c>
      <c r="D773" s="1" t="str">
        <f ca="1">IFERROR(__xludf.DUMMYFUNCTION("GOOGLETRANSLATE('대전도시공사_청년임대주택 현황_20240630'!D773,""ko"",""en"")"),"1109")</f>
        <v>1109</v>
      </c>
      <c r="E773" s="1" t="str">
        <f ca="1">IFERROR(__xludf.DUMMYFUNCTION("GOOGLETRANSLATE('대전도시공사_청년임대주택 현황_20240630'!E773,""ko"",""en"")"),"64.993")</f>
        <v>64.993</v>
      </c>
      <c r="F773" s="1" t="str">
        <f ca="1">IFERROR(__xludf.DUMMYFUNCTION("GOOGLETRANSLATE('대전도시공사_청년임대주택 현황_20240630'!F773,""ko"",""en"")"),"22.438")</f>
        <v>22.438</v>
      </c>
      <c r="G773" s="1" t="str">
        <f ca="1">IFERROR(__xludf.DUMMYFUNCTION("GOOGLETRANSLATE('대전도시공사_청년임대주택 현황_20240630'!G773,""ko"",""en"")"),"42.554")</f>
        <v>42.554</v>
      </c>
      <c r="H773" s="1" t="str">
        <f ca="1">IFERROR(__xludf.DUMMYFUNCTION("GOOGLETRANSLATE('대전도시공사_청년임대주택 현황_20240630'!H773,""ko"",""en"")"),"Youth Rent 1st Place")</f>
        <v>Youth Rent 1st Place</v>
      </c>
      <c r="I773" s="1" t="str">
        <f ca="1">IFERROR(__xludf.DUMMYFUNCTION("GOOGLETRANSLATE('대전도시공사_청년임대주택 현황_20240630'!I773,""ko"",""en"")"),"1000000")</f>
        <v>1000000</v>
      </c>
      <c r="J773" s="1" t="str">
        <f ca="1">IFERROR(__xludf.DUMMYFUNCTION("GOOGLETRANSLATE('대전도시공사_청년임대주택 현황_20240630'!J773,""ko"",""en"")"),"247000")</f>
        <v>247000</v>
      </c>
    </row>
    <row r="774" spans="1:10" ht="12.5" x14ac:dyDescent="0.25">
      <c r="A774" s="1" t="str">
        <f ca="1">IFERROR(__xludf.DUMMYFUNCTION("GOOGLETRANSLATE('대전도시공사_청년임대주택 현황_20240630'!A774,""ko"",""en"")"),"Goejeong-dong 3-18 (Samyoung Building, youth rental)")</f>
        <v>Goejeong-dong 3-18 (Samyoung Building, youth rental)</v>
      </c>
      <c r="B774" s="1" t="str">
        <f ca="1">IFERROR(__xludf.DUMMYFUNCTION("GOOGLETRANSLATE('대전도시공사_청년임대주택 현황_20240630'!B774,""ko"",""en"")"),"227")</f>
        <v>227</v>
      </c>
      <c r="C774" s="1" t="str">
        <f ca="1">IFERROR(__xludf.DUMMYFUNCTION("GOOGLETRANSLATE('대전도시공사_청년임대주택 현황_20240630'!C774,""ko"",""en"")"),"1")</f>
        <v>1</v>
      </c>
      <c r="D774" s="1" t="str">
        <f ca="1">IFERROR(__xludf.DUMMYFUNCTION("GOOGLETRANSLATE('대전도시공사_청년임대주택 현황_20240630'!D774,""ko"",""en"")"),"1109")</f>
        <v>1109</v>
      </c>
      <c r="E774" s="1" t="str">
        <f ca="1">IFERROR(__xludf.DUMMYFUNCTION("GOOGLETRANSLATE('대전도시공사_청년임대주택 현황_20240630'!E774,""ko"",""en"")"),"64.993")</f>
        <v>64.993</v>
      </c>
      <c r="F774" s="1" t="str">
        <f ca="1">IFERROR(__xludf.DUMMYFUNCTION("GOOGLETRANSLATE('대전도시공사_청년임대주택 현황_20240630'!F774,""ko"",""en"")"),"22.438")</f>
        <v>22.438</v>
      </c>
      <c r="G774" s="1" t="str">
        <f ca="1">IFERROR(__xludf.DUMMYFUNCTION("GOOGLETRANSLATE('대전도시공사_청년임대주택 현황_20240630'!G774,""ko"",""en"")"),"42.554")</f>
        <v>42.554</v>
      </c>
      <c r="H774" s="1" t="str">
        <f ca="1">IFERROR(__xludf.DUMMYFUNCTION("GOOGLETRANSLATE('대전도시공사_청년임대주택 현황_20240630'!H774,""ko"",""en"")"),"Youth Rental 2nd Place")</f>
        <v>Youth Rental 2nd Place</v>
      </c>
      <c r="I774" s="1" t="str">
        <f ca="1">IFERROR(__xludf.DUMMYFUNCTION("GOOGLETRANSLATE('대전도시공사_청년임대주택 현황_20240630'!I774,""ko"",""en"")"),"2000000")</f>
        <v>2000000</v>
      </c>
      <c r="J774" s="1" t="str">
        <f ca="1">IFERROR(__xludf.DUMMYFUNCTION("GOOGLETRANSLATE('대전도시공사_청년임대주택 현황_20240630'!J774,""ko"",""en"")"),"304600")</f>
        <v>304600</v>
      </c>
    </row>
    <row r="775" spans="1:10" ht="12.5" x14ac:dyDescent="0.25">
      <c r="A775" s="1" t="str">
        <f ca="1">IFERROR(__xludf.DUMMYFUNCTION("GOOGLETRANSLATE('대전도시공사_청년임대주택 현황_20240630'!A775,""ko"",""en"")"),"Goejeong-dong 3-18 (Samyoung Building, youth rental)")</f>
        <v>Goejeong-dong 3-18 (Samyoung Building, youth rental)</v>
      </c>
      <c r="B775" s="1" t="str">
        <f ca="1">IFERROR(__xludf.DUMMYFUNCTION("GOOGLETRANSLATE('대전도시공사_청년임대주택 현황_20240630'!B775,""ko"",""en"")"),"228")</f>
        <v>228</v>
      </c>
      <c r="C775" s="1" t="str">
        <f ca="1">IFERROR(__xludf.DUMMYFUNCTION("GOOGLETRANSLATE('대전도시공사_청년임대주택 현황_20240630'!C775,""ko"",""en"")"),"1")</f>
        <v>1</v>
      </c>
      <c r="D775" s="1" t="str">
        <f ca="1">IFERROR(__xludf.DUMMYFUNCTION("GOOGLETRANSLATE('대전도시공사_청년임대주택 현황_20240630'!D775,""ko"",""en"")"),"1109")</f>
        <v>1109</v>
      </c>
      <c r="E775" s="1" t="str">
        <f ca="1">IFERROR(__xludf.DUMMYFUNCTION("GOOGLETRANSLATE('대전도시공사_청년임대주택 현황_20240630'!E775,""ko"",""en"")"),"64.993")</f>
        <v>64.993</v>
      </c>
      <c r="F775" s="1" t="str">
        <f ca="1">IFERROR(__xludf.DUMMYFUNCTION("GOOGLETRANSLATE('대전도시공사_청년임대주택 현황_20240630'!F775,""ko"",""en"")"),"22.438")</f>
        <v>22.438</v>
      </c>
      <c r="G775" s="1" t="str">
        <f ca="1">IFERROR(__xludf.DUMMYFUNCTION("GOOGLETRANSLATE('대전도시공사_청년임대주택 현황_20240630'!G775,""ko"",""en"")"),"42.554")</f>
        <v>42.554</v>
      </c>
      <c r="H775" s="1" t="str">
        <f ca="1">IFERROR(__xludf.DUMMYFUNCTION("GOOGLETRANSLATE('대전도시공사_청년임대주택 현황_20240630'!H775,""ko"",""en"")"),"3rd place for youth rental")</f>
        <v>3rd place for youth rental</v>
      </c>
      <c r="I775" s="1" t="str">
        <f ca="1">IFERROR(__xludf.DUMMYFUNCTION("GOOGLETRANSLATE('대전도시공사_청년임대주택 현황_20240630'!I775,""ko"",""en"")"),"2000000")</f>
        <v>2000000</v>
      </c>
      <c r="J775" s="1" t="str">
        <f ca="1">IFERROR(__xludf.DUMMYFUNCTION("GOOGLETRANSLATE('대전도시공사_청년임대주택 현황_20240630'!J775,""ko"",""en"")"),"304600")</f>
        <v>304600</v>
      </c>
    </row>
    <row r="776" spans="1:10" ht="12.5" x14ac:dyDescent="0.25">
      <c r="A776" s="1" t="str">
        <f ca="1">IFERROR(__xludf.DUMMYFUNCTION("GOOGLETRANSLATE('대전도시공사_청년임대주택 현황_20240630'!A776,""ko"",""en"")"),"Goejeong-dong 3-18 (Samyoung Building, youth rental)")</f>
        <v>Goejeong-dong 3-18 (Samyoung Building, youth rental)</v>
      </c>
      <c r="B776" s="1" t="str">
        <f ca="1">IFERROR(__xludf.DUMMYFUNCTION("GOOGLETRANSLATE('대전도시공사_청년임대주택 현황_20240630'!B776,""ko"",""en"")"),"229")</f>
        <v>229</v>
      </c>
      <c r="C776" s="1" t="str">
        <f ca="1">IFERROR(__xludf.DUMMYFUNCTION("GOOGLETRANSLATE('대전도시공사_청년임대주택 현황_20240630'!C776,""ko"",""en"")"),"1")</f>
        <v>1</v>
      </c>
      <c r="D776" s="1" t="str">
        <f ca="1">IFERROR(__xludf.DUMMYFUNCTION("GOOGLETRANSLATE('대전도시공사_청년임대주택 현황_20240630'!D776,""ko"",""en"")"),"1110")</f>
        <v>1110</v>
      </c>
      <c r="E776" s="1" t="str">
        <f ca="1">IFERROR(__xludf.DUMMYFUNCTION("GOOGLETRANSLATE('대전도시공사_청년임대주택 현황_20240630'!E776,""ko"",""en"")"),"64.993")</f>
        <v>64.993</v>
      </c>
      <c r="F776" s="1" t="str">
        <f ca="1">IFERROR(__xludf.DUMMYFUNCTION("GOOGLETRANSLATE('대전도시공사_청년임대주택 현황_20240630'!F776,""ko"",""en"")"),"22.438")</f>
        <v>22.438</v>
      </c>
      <c r="G776" s="1" t="str">
        <f ca="1">IFERROR(__xludf.DUMMYFUNCTION("GOOGLETRANSLATE('대전도시공사_청년임대주택 현황_20240630'!G776,""ko"",""en"")"),"42.554")</f>
        <v>42.554</v>
      </c>
      <c r="H776" s="1" t="str">
        <f ca="1">IFERROR(__xludf.DUMMYFUNCTION("GOOGLETRANSLATE('대전도시공사_청년임대주택 현황_20240630'!H776,""ko"",""en"")"),"Youth Rent 1st Place")</f>
        <v>Youth Rent 1st Place</v>
      </c>
      <c r="I776" s="1" t="str">
        <f ca="1">IFERROR(__xludf.DUMMYFUNCTION("GOOGLETRANSLATE('대전도시공사_청년임대주택 현황_20240630'!I776,""ko"",""en"")"),"1000000")</f>
        <v>1000000</v>
      </c>
      <c r="J776" s="1" t="str">
        <f ca="1">IFERROR(__xludf.DUMMYFUNCTION("GOOGLETRANSLATE('대전도시공사_청년임대주택 현황_20240630'!J776,""ko"",""en"")"),"252100")</f>
        <v>252100</v>
      </c>
    </row>
    <row r="777" spans="1:10" ht="12.5" x14ac:dyDescent="0.25">
      <c r="A777" s="1" t="str">
        <f ca="1">IFERROR(__xludf.DUMMYFUNCTION("GOOGLETRANSLATE('대전도시공사_청년임대주택 현황_20240630'!A777,""ko"",""en"")"),"Goejeong-dong 3-18 (Samyoung Building, youth rental)")</f>
        <v>Goejeong-dong 3-18 (Samyoung Building, youth rental)</v>
      </c>
      <c r="B777" s="1" t="str">
        <f ca="1">IFERROR(__xludf.DUMMYFUNCTION("GOOGLETRANSLATE('대전도시공사_청년임대주택 현황_20240630'!B777,""ko"",""en"")"),"230")</f>
        <v>230</v>
      </c>
      <c r="C777" s="1" t="str">
        <f ca="1">IFERROR(__xludf.DUMMYFUNCTION("GOOGLETRANSLATE('대전도시공사_청년임대주택 현황_20240630'!C777,""ko"",""en"")"),"1")</f>
        <v>1</v>
      </c>
      <c r="D777" s="1" t="str">
        <f ca="1">IFERROR(__xludf.DUMMYFUNCTION("GOOGLETRANSLATE('대전도시공사_청년임대주택 현황_20240630'!D777,""ko"",""en"")"),"1110")</f>
        <v>1110</v>
      </c>
      <c r="E777" s="1" t="str">
        <f ca="1">IFERROR(__xludf.DUMMYFUNCTION("GOOGLETRANSLATE('대전도시공사_청년임대주택 현황_20240630'!E777,""ko"",""en"")"),"64.993")</f>
        <v>64.993</v>
      </c>
      <c r="F777" s="1" t="str">
        <f ca="1">IFERROR(__xludf.DUMMYFUNCTION("GOOGLETRANSLATE('대전도시공사_청년임대주택 현황_20240630'!F777,""ko"",""en"")"),"22.438")</f>
        <v>22.438</v>
      </c>
      <c r="G777" s="1" t="str">
        <f ca="1">IFERROR(__xludf.DUMMYFUNCTION("GOOGLETRANSLATE('대전도시공사_청년임대주택 현황_20240630'!G777,""ko"",""en"")"),"42.554")</f>
        <v>42.554</v>
      </c>
      <c r="H777" s="1" t="str">
        <f ca="1">IFERROR(__xludf.DUMMYFUNCTION("GOOGLETRANSLATE('대전도시공사_청년임대주택 현황_20240630'!H777,""ko"",""en"")"),"Youth Rental 2nd Place")</f>
        <v>Youth Rental 2nd Place</v>
      </c>
      <c r="I777" s="1" t="str">
        <f ca="1">IFERROR(__xludf.DUMMYFUNCTION("GOOGLETRANSLATE('대전도시공사_청년임대주택 현황_20240630'!I777,""ko"",""en"")"),"2000000")</f>
        <v>2000000</v>
      </c>
      <c r="J777" s="1" t="str">
        <f ca="1">IFERROR(__xludf.DUMMYFUNCTION("GOOGLETRANSLATE('대전도시공사_청년임대주택 현황_20240630'!J777,""ko"",""en"")"),"311000")</f>
        <v>311000</v>
      </c>
    </row>
    <row r="778" spans="1:10" ht="12.5" x14ac:dyDescent="0.25">
      <c r="A778" s="1" t="str">
        <f ca="1">IFERROR(__xludf.DUMMYFUNCTION("GOOGLETRANSLATE('대전도시공사_청년임대주택 현황_20240630'!A778,""ko"",""en"")"),"Goejeong-dong 3-18 (Samyoung Building, youth rental)")</f>
        <v>Goejeong-dong 3-18 (Samyoung Building, youth rental)</v>
      </c>
      <c r="B778" s="1" t="str">
        <f ca="1">IFERROR(__xludf.DUMMYFUNCTION("GOOGLETRANSLATE('대전도시공사_청년임대주택 현황_20240630'!B778,""ko"",""en"")"),"231")</f>
        <v>231</v>
      </c>
      <c r="C778" s="1" t="str">
        <f ca="1">IFERROR(__xludf.DUMMYFUNCTION("GOOGLETRANSLATE('대전도시공사_청년임대주택 현황_20240630'!C778,""ko"",""en"")"),"1")</f>
        <v>1</v>
      </c>
      <c r="D778" s="1" t="str">
        <f ca="1">IFERROR(__xludf.DUMMYFUNCTION("GOOGLETRANSLATE('대전도시공사_청년임대주택 현황_20240630'!D778,""ko"",""en"")"),"1110")</f>
        <v>1110</v>
      </c>
      <c r="E778" s="1" t="str">
        <f ca="1">IFERROR(__xludf.DUMMYFUNCTION("GOOGLETRANSLATE('대전도시공사_청년임대주택 현황_20240630'!E778,""ko"",""en"")"),"64.993")</f>
        <v>64.993</v>
      </c>
      <c r="F778" s="1" t="str">
        <f ca="1">IFERROR(__xludf.DUMMYFUNCTION("GOOGLETRANSLATE('대전도시공사_청년임대주택 현황_20240630'!F778,""ko"",""en"")"),"22.438")</f>
        <v>22.438</v>
      </c>
      <c r="G778" s="1" t="str">
        <f ca="1">IFERROR(__xludf.DUMMYFUNCTION("GOOGLETRANSLATE('대전도시공사_청년임대주택 현황_20240630'!G778,""ko"",""en"")"),"42.554")</f>
        <v>42.554</v>
      </c>
      <c r="H778" s="1" t="str">
        <f ca="1">IFERROR(__xludf.DUMMYFUNCTION("GOOGLETRANSLATE('대전도시공사_청년임대주택 현황_20240630'!H778,""ko"",""en"")"),"3rd place for youth rental")</f>
        <v>3rd place for youth rental</v>
      </c>
      <c r="I778" s="1" t="str">
        <f ca="1">IFERROR(__xludf.DUMMYFUNCTION("GOOGLETRANSLATE('대전도시공사_청년임대주택 현황_20240630'!I778,""ko"",""en"")"),"2000000")</f>
        <v>2000000</v>
      </c>
      <c r="J778" s="1" t="str">
        <f ca="1">IFERROR(__xludf.DUMMYFUNCTION("GOOGLETRANSLATE('대전도시공사_청년임대주택 현황_20240630'!J778,""ko"",""en"")"),"311000")</f>
        <v>311000</v>
      </c>
    </row>
    <row r="779" spans="1:10" ht="12.5" x14ac:dyDescent="0.25">
      <c r="A779" s="1" t="str">
        <f ca="1">IFERROR(__xludf.DUMMYFUNCTION("GOOGLETRANSLATE('대전도시공사_청년임대주택 현황_20240630'!A779,""ko"",""en"")"),"Goejeong-dong 3-18 (Samyoung Building, youth rental)")</f>
        <v>Goejeong-dong 3-18 (Samyoung Building, youth rental)</v>
      </c>
      <c r="B779" s="1" t="str">
        <f ca="1">IFERROR(__xludf.DUMMYFUNCTION("GOOGLETRANSLATE('대전도시공사_청년임대주택 현황_20240630'!B779,""ko"",""en"")"),"232")</f>
        <v>232</v>
      </c>
      <c r="C779" s="1" t="str">
        <f ca="1">IFERROR(__xludf.DUMMYFUNCTION("GOOGLETRANSLATE('대전도시공사_청년임대주택 현황_20240630'!C779,""ko"",""en"")"),"1")</f>
        <v>1</v>
      </c>
      <c r="D779" s="1" t="str">
        <f ca="1">IFERROR(__xludf.DUMMYFUNCTION("GOOGLETRANSLATE('대전도시공사_청년임대주택 현황_20240630'!D779,""ko"",""en"")"),"1111")</f>
        <v>1111</v>
      </c>
      <c r="E779" s="1" t="str">
        <f ca="1">IFERROR(__xludf.DUMMYFUNCTION("GOOGLETRANSLATE('대전도시공사_청년임대주택 현황_20240630'!E779,""ko"",""en"")"),"64.993")</f>
        <v>64.993</v>
      </c>
      <c r="F779" s="1" t="str">
        <f ca="1">IFERROR(__xludf.DUMMYFUNCTION("GOOGLETRANSLATE('대전도시공사_청년임대주택 현황_20240630'!F779,""ko"",""en"")"),"22.438")</f>
        <v>22.438</v>
      </c>
      <c r="G779" s="1" t="str">
        <f ca="1">IFERROR(__xludf.DUMMYFUNCTION("GOOGLETRANSLATE('대전도시공사_청년임대주택 현황_20240630'!G779,""ko"",""en"")"),"42.554")</f>
        <v>42.554</v>
      </c>
      <c r="H779" s="1" t="str">
        <f ca="1">IFERROR(__xludf.DUMMYFUNCTION("GOOGLETRANSLATE('대전도시공사_청년임대주택 현황_20240630'!H779,""ko"",""en"")"),"Youth Rent 1st Place")</f>
        <v>Youth Rent 1st Place</v>
      </c>
      <c r="I779" s="1" t="str">
        <f ca="1">IFERROR(__xludf.DUMMYFUNCTION("GOOGLETRANSLATE('대전도시공사_청년임대주택 현황_20240630'!I779,""ko"",""en"")"),"1000000")</f>
        <v>1000000</v>
      </c>
      <c r="J779" s="1" t="str">
        <f ca="1">IFERROR(__xludf.DUMMYFUNCTION("GOOGLETRANSLATE('대전도시공사_청년임대주택 현황_20240630'!J779,""ko"",""en"")"),"252100")</f>
        <v>252100</v>
      </c>
    </row>
    <row r="780" spans="1:10" ht="12.5" x14ac:dyDescent="0.25">
      <c r="A780" s="1" t="str">
        <f ca="1">IFERROR(__xludf.DUMMYFUNCTION("GOOGLETRANSLATE('대전도시공사_청년임대주택 현황_20240630'!A780,""ko"",""en"")"),"Goejeong-dong 3-18 (Samyoung Building, youth rental)")</f>
        <v>Goejeong-dong 3-18 (Samyoung Building, youth rental)</v>
      </c>
      <c r="B780" s="1" t="str">
        <f ca="1">IFERROR(__xludf.DUMMYFUNCTION("GOOGLETRANSLATE('대전도시공사_청년임대주택 현황_20240630'!B780,""ko"",""en"")"),"233")</f>
        <v>233</v>
      </c>
      <c r="C780" s="1" t="str">
        <f ca="1">IFERROR(__xludf.DUMMYFUNCTION("GOOGLETRANSLATE('대전도시공사_청년임대주택 현황_20240630'!C780,""ko"",""en"")"),"1")</f>
        <v>1</v>
      </c>
      <c r="D780" s="1" t="str">
        <f ca="1">IFERROR(__xludf.DUMMYFUNCTION("GOOGLETRANSLATE('대전도시공사_청년임대주택 현황_20240630'!D780,""ko"",""en"")"),"1111")</f>
        <v>1111</v>
      </c>
      <c r="E780" s="1" t="str">
        <f ca="1">IFERROR(__xludf.DUMMYFUNCTION("GOOGLETRANSLATE('대전도시공사_청년임대주택 현황_20240630'!E780,""ko"",""en"")"),"64.993")</f>
        <v>64.993</v>
      </c>
      <c r="F780" s="1" t="str">
        <f ca="1">IFERROR(__xludf.DUMMYFUNCTION("GOOGLETRANSLATE('대전도시공사_청년임대주택 현황_20240630'!F780,""ko"",""en"")"),"22.438")</f>
        <v>22.438</v>
      </c>
      <c r="G780" s="1" t="str">
        <f ca="1">IFERROR(__xludf.DUMMYFUNCTION("GOOGLETRANSLATE('대전도시공사_청년임대주택 현황_20240630'!G780,""ko"",""en"")"),"42.554")</f>
        <v>42.554</v>
      </c>
      <c r="H780" s="1" t="str">
        <f ca="1">IFERROR(__xludf.DUMMYFUNCTION("GOOGLETRANSLATE('대전도시공사_청년임대주택 현황_20240630'!H780,""ko"",""en"")"),"Youth Rental 2nd Place")</f>
        <v>Youth Rental 2nd Place</v>
      </c>
      <c r="I780" s="1" t="str">
        <f ca="1">IFERROR(__xludf.DUMMYFUNCTION("GOOGLETRANSLATE('대전도시공사_청년임대주택 현황_20240630'!I780,""ko"",""en"")"),"2000000")</f>
        <v>2000000</v>
      </c>
      <c r="J780" s="1" t="str">
        <f ca="1">IFERROR(__xludf.DUMMYFUNCTION("GOOGLETRANSLATE('대전도시공사_청년임대주택 현황_20240630'!J780,""ko"",""en"")"),"311000")</f>
        <v>311000</v>
      </c>
    </row>
    <row r="781" spans="1:10" ht="12.5" x14ac:dyDescent="0.25">
      <c r="A781" s="1" t="str">
        <f ca="1">IFERROR(__xludf.DUMMYFUNCTION("GOOGLETRANSLATE('대전도시공사_청년임대주택 현황_20240630'!A781,""ko"",""en"")"),"Goejeong-dong 3-18 (Samyoung Building, youth rental)")</f>
        <v>Goejeong-dong 3-18 (Samyoung Building, youth rental)</v>
      </c>
      <c r="B781" s="1" t="str">
        <f ca="1">IFERROR(__xludf.DUMMYFUNCTION("GOOGLETRANSLATE('대전도시공사_청년임대주택 현황_20240630'!B781,""ko"",""en"")"),"234")</f>
        <v>234</v>
      </c>
      <c r="C781" s="1" t="str">
        <f ca="1">IFERROR(__xludf.DUMMYFUNCTION("GOOGLETRANSLATE('대전도시공사_청년임대주택 현황_20240630'!C781,""ko"",""en"")"),"1")</f>
        <v>1</v>
      </c>
      <c r="D781" s="1" t="str">
        <f ca="1">IFERROR(__xludf.DUMMYFUNCTION("GOOGLETRANSLATE('대전도시공사_청년임대주택 현황_20240630'!D781,""ko"",""en"")"),"1111")</f>
        <v>1111</v>
      </c>
      <c r="E781" s="1" t="str">
        <f ca="1">IFERROR(__xludf.DUMMYFUNCTION("GOOGLETRANSLATE('대전도시공사_청년임대주택 현황_20240630'!E781,""ko"",""en"")"),"64.993")</f>
        <v>64.993</v>
      </c>
      <c r="F781" s="1" t="str">
        <f ca="1">IFERROR(__xludf.DUMMYFUNCTION("GOOGLETRANSLATE('대전도시공사_청년임대주택 현황_20240630'!F781,""ko"",""en"")"),"22.438")</f>
        <v>22.438</v>
      </c>
      <c r="G781" s="1" t="str">
        <f ca="1">IFERROR(__xludf.DUMMYFUNCTION("GOOGLETRANSLATE('대전도시공사_청년임대주택 현황_20240630'!G781,""ko"",""en"")"),"42.554")</f>
        <v>42.554</v>
      </c>
      <c r="H781" s="1" t="str">
        <f ca="1">IFERROR(__xludf.DUMMYFUNCTION("GOOGLETRANSLATE('대전도시공사_청년임대주택 현황_20240630'!H781,""ko"",""en"")"),"3rd place for youth rental")</f>
        <v>3rd place for youth rental</v>
      </c>
      <c r="I781" s="1" t="str">
        <f ca="1">IFERROR(__xludf.DUMMYFUNCTION("GOOGLETRANSLATE('대전도시공사_청년임대주택 현황_20240630'!I781,""ko"",""en"")"),"2000000")</f>
        <v>2000000</v>
      </c>
      <c r="J781" s="1" t="str">
        <f ca="1">IFERROR(__xludf.DUMMYFUNCTION("GOOGLETRANSLATE('대전도시공사_청년임대주택 현황_20240630'!J781,""ko"",""en"")"),"311000")</f>
        <v>311000</v>
      </c>
    </row>
    <row r="782" spans="1:10" ht="12.5" x14ac:dyDescent="0.25">
      <c r="A782" s="1" t="str">
        <f ca="1">IFERROR(__xludf.DUMMYFUNCTION("GOOGLETRANSLATE('대전도시공사_청년임대주택 현황_20240630'!A782,""ko"",""en"")"),"Goejeong-dong 3-18 (Samyoung Building, youth rental)")</f>
        <v>Goejeong-dong 3-18 (Samyoung Building, youth rental)</v>
      </c>
      <c r="B782" s="1" t="str">
        <f ca="1">IFERROR(__xludf.DUMMYFUNCTION("GOOGLETRANSLATE('대전도시공사_청년임대주택 현황_20240630'!B782,""ko"",""en"")"),"235")</f>
        <v>235</v>
      </c>
      <c r="C782" s="1" t="str">
        <f ca="1">IFERROR(__xludf.DUMMYFUNCTION("GOOGLETRANSLATE('대전도시공사_청년임대주택 현황_20240630'!C782,""ko"",""en"")"),"1")</f>
        <v>1</v>
      </c>
      <c r="D782" s="1" t="str">
        <f ca="1">IFERROR(__xludf.DUMMYFUNCTION("GOOGLETRANSLATE('대전도시공사_청년임대주택 현황_20240630'!D782,""ko"",""en"")"),"1112")</f>
        <v>1112</v>
      </c>
      <c r="E782" s="1" t="str">
        <f ca="1">IFERROR(__xludf.DUMMYFUNCTION("GOOGLETRANSLATE('대전도시공사_청년임대주택 현황_20240630'!E782,""ko"",""en"")"),"64.993")</f>
        <v>64.993</v>
      </c>
      <c r="F782" s="1" t="str">
        <f ca="1">IFERROR(__xludf.DUMMYFUNCTION("GOOGLETRANSLATE('대전도시공사_청년임대주택 현황_20240630'!F782,""ko"",""en"")"),"22.438")</f>
        <v>22.438</v>
      </c>
      <c r="G782" s="1" t="str">
        <f ca="1">IFERROR(__xludf.DUMMYFUNCTION("GOOGLETRANSLATE('대전도시공사_청년임대주택 현황_20240630'!G782,""ko"",""en"")"),"42.554")</f>
        <v>42.554</v>
      </c>
      <c r="H782" s="1" t="str">
        <f ca="1">IFERROR(__xludf.DUMMYFUNCTION("GOOGLETRANSLATE('대전도시공사_청년임대주택 현황_20240630'!H782,""ko"",""en"")"),"Youth Rent 1st Place")</f>
        <v>Youth Rent 1st Place</v>
      </c>
      <c r="I782" s="1" t="str">
        <f ca="1">IFERROR(__xludf.DUMMYFUNCTION("GOOGLETRANSLATE('대전도시공사_청년임대주택 현황_20240630'!I782,""ko"",""en"")"),"1000000")</f>
        <v>1000000</v>
      </c>
      <c r="J782" s="1" t="str">
        <f ca="1">IFERROR(__xludf.DUMMYFUNCTION("GOOGLETRANSLATE('대전도시공사_청년임대주택 현황_20240630'!J782,""ko"",""en"")"),"252100")</f>
        <v>252100</v>
      </c>
    </row>
    <row r="783" spans="1:10" ht="12.5" x14ac:dyDescent="0.25">
      <c r="A783" s="1" t="str">
        <f ca="1">IFERROR(__xludf.DUMMYFUNCTION("GOOGLETRANSLATE('대전도시공사_청년임대주택 현황_20240630'!A783,""ko"",""en"")"),"Goejeong-dong 3-18 (Samyoung Building, youth rental)")</f>
        <v>Goejeong-dong 3-18 (Samyoung Building, youth rental)</v>
      </c>
      <c r="B783" s="1" t="str">
        <f ca="1">IFERROR(__xludf.DUMMYFUNCTION("GOOGLETRANSLATE('대전도시공사_청년임대주택 현황_20240630'!B783,""ko"",""en"")"),"236")</f>
        <v>236</v>
      </c>
      <c r="C783" s="1" t="str">
        <f ca="1">IFERROR(__xludf.DUMMYFUNCTION("GOOGLETRANSLATE('대전도시공사_청년임대주택 현황_20240630'!C783,""ko"",""en"")"),"1")</f>
        <v>1</v>
      </c>
      <c r="D783" s="1" t="str">
        <f ca="1">IFERROR(__xludf.DUMMYFUNCTION("GOOGLETRANSLATE('대전도시공사_청년임대주택 현황_20240630'!D783,""ko"",""en"")"),"1112")</f>
        <v>1112</v>
      </c>
      <c r="E783" s="1" t="str">
        <f ca="1">IFERROR(__xludf.DUMMYFUNCTION("GOOGLETRANSLATE('대전도시공사_청년임대주택 현황_20240630'!E783,""ko"",""en"")"),"64.993")</f>
        <v>64.993</v>
      </c>
      <c r="F783" s="1" t="str">
        <f ca="1">IFERROR(__xludf.DUMMYFUNCTION("GOOGLETRANSLATE('대전도시공사_청년임대주택 현황_20240630'!F783,""ko"",""en"")"),"22.438")</f>
        <v>22.438</v>
      </c>
      <c r="G783" s="1" t="str">
        <f ca="1">IFERROR(__xludf.DUMMYFUNCTION("GOOGLETRANSLATE('대전도시공사_청년임대주택 현황_20240630'!G783,""ko"",""en"")"),"42.554")</f>
        <v>42.554</v>
      </c>
      <c r="H783" s="1" t="str">
        <f ca="1">IFERROR(__xludf.DUMMYFUNCTION("GOOGLETRANSLATE('대전도시공사_청년임대주택 현황_20240630'!H783,""ko"",""en"")"),"Youth Rental 2nd Place")</f>
        <v>Youth Rental 2nd Place</v>
      </c>
      <c r="I783" s="1" t="str">
        <f ca="1">IFERROR(__xludf.DUMMYFUNCTION("GOOGLETRANSLATE('대전도시공사_청년임대주택 현황_20240630'!I783,""ko"",""en"")"),"2000000")</f>
        <v>2000000</v>
      </c>
      <c r="J783" s="1" t="str">
        <f ca="1">IFERROR(__xludf.DUMMYFUNCTION("GOOGLETRANSLATE('대전도시공사_청년임대주택 현황_20240630'!J783,""ko"",""en"")"),"311000")</f>
        <v>311000</v>
      </c>
    </row>
    <row r="784" spans="1:10" ht="12.5" x14ac:dyDescent="0.25">
      <c r="A784" s="1" t="str">
        <f ca="1">IFERROR(__xludf.DUMMYFUNCTION("GOOGLETRANSLATE('대전도시공사_청년임대주택 현황_20240630'!A784,""ko"",""en"")"),"Goejeong-dong 3-18 (Samyoung Building, youth rental)")</f>
        <v>Goejeong-dong 3-18 (Samyoung Building, youth rental)</v>
      </c>
      <c r="B784" s="1" t="str">
        <f ca="1">IFERROR(__xludf.DUMMYFUNCTION("GOOGLETRANSLATE('대전도시공사_청년임대주택 현황_20240630'!B784,""ko"",""en"")"),"237")</f>
        <v>237</v>
      </c>
      <c r="C784" s="1" t="str">
        <f ca="1">IFERROR(__xludf.DUMMYFUNCTION("GOOGLETRANSLATE('대전도시공사_청년임대주택 현황_20240630'!C784,""ko"",""en"")"),"1")</f>
        <v>1</v>
      </c>
      <c r="D784" s="1" t="str">
        <f ca="1">IFERROR(__xludf.DUMMYFUNCTION("GOOGLETRANSLATE('대전도시공사_청년임대주택 현황_20240630'!D784,""ko"",""en"")"),"1112")</f>
        <v>1112</v>
      </c>
      <c r="E784" s="1" t="str">
        <f ca="1">IFERROR(__xludf.DUMMYFUNCTION("GOOGLETRANSLATE('대전도시공사_청년임대주택 현황_20240630'!E784,""ko"",""en"")"),"64.993")</f>
        <v>64.993</v>
      </c>
      <c r="F784" s="1" t="str">
        <f ca="1">IFERROR(__xludf.DUMMYFUNCTION("GOOGLETRANSLATE('대전도시공사_청년임대주택 현황_20240630'!F784,""ko"",""en"")"),"22.438")</f>
        <v>22.438</v>
      </c>
      <c r="G784" s="1" t="str">
        <f ca="1">IFERROR(__xludf.DUMMYFUNCTION("GOOGLETRANSLATE('대전도시공사_청년임대주택 현황_20240630'!G784,""ko"",""en"")"),"42.554")</f>
        <v>42.554</v>
      </c>
      <c r="H784" s="1" t="str">
        <f ca="1">IFERROR(__xludf.DUMMYFUNCTION("GOOGLETRANSLATE('대전도시공사_청년임대주택 현황_20240630'!H784,""ko"",""en"")"),"3rd place for youth rental")</f>
        <v>3rd place for youth rental</v>
      </c>
      <c r="I784" s="1" t="str">
        <f ca="1">IFERROR(__xludf.DUMMYFUNCTION("GOOGLETRANSLATE('대전도시공사_청년임대주택 현황_20240630'!I784,""ko"",""en"")"),"2000000")</f>
        <v>2000000</v>
      </c>
      <c r="J784" s="1" t="str">
        <f ca="1">IFERROR(__xludf.DUMMYFUNCTION("GOOGLETRANSLATE('대전도시공사_청년임대주택 현황_20240630'!J784,""ko"",""en"")"),"311000")</f>
        <v>311000</v>
      </c>
    </row>
    <row r="785" spans="1:10" ht="12.5" x14ac:dyDescent="0.25">
      <c r="A785" s="1" t="str">
        <f ca="1">IFERROR(__xludf.DUMMYFUNCTION("GOOGLETRANSLATE('대전도시공사_청년임대주택 현황_20240630'!A785,""ko"",""en"")"),"Goejeong-dong 3-18 (Samyoung Building, youth rental)")</f>
        <v>Goejeong-dong 3-18 (Samyoung Building, youth rental)</v>
      </c>
      <c r="B785" s="1" t="str">
        <f ca="1">IFERROR(__xludf.DUMMYFUNCTION("GOOGLETRANSLATE('대전도시공사_청년임대주택 현황_20240630'!B785,""ko"",""en"")"),"238")</f>
        <v>238</v>
      </c>
      <c r="C785" s="1" t="str">
        <f ca="1">IFERROR(__xludf.DUMMYFUNCTION("GOOGLETRANSLATE('대전도시공사_청년임대주택 현황_20240630'!C785,""ko"",""en"")"),"1")</f>
        <v>1</v>
      </c>
      <c r="D785" s="1" t="str">
        <f ca="1">IFERROR(__xludf.DUMMYFUNCTION("GOOGLETRANSLATE('대전도시공사_청년임대주택 현황_20240630'!D785,""ko"",""en"")"),"1113")</f>
        <v>1113</v>
      </c>
      <c r="E785" s="1" t="str">
        <f ca="1">IFERROR(__xludf.DUMMYFUNCTION("GOOGLETRANSLATE('대전도시공사_청년임대주택 현황_20240630'!E785,""ko"",""en"")"),"64.993")</f>
        <v>64.993</v>
      </c>
      <c r="F785" s="1" t="str">
        <f ca="1">IFERROR(__xludf.DUMMYFUNCTION("GOOGLETRANSLATE('대전도시공사_청년임대주택 현황_20240630'!F785,""ko"",""en"")"),"22.438")</f>
        <v>22.438</v>
      </c>
      <c r="G785" s="1" t="str">
        <f ca="1">IFERROR(__xludf.DUMMYFUNCTION("GOOGLETRANSLATE('대전도시공사_청년임대주택 현황_20240630'!G785,""ko"",""en"")"),"42.554")</f>
        <v>42.554</v>
      </c>
      <c r="H785" s="1" t="str">
        <f ca="1">IFERROR(__xludf.DUMMYFUNCTION("GOOGLETRANSLATE('대전도시공사_청년임대주택 현황_20240630'!H785,""ko"",""en"")"),"Youth Rent 1st Place")</f>
        <v>Youth Rent 1st Place</v>
      </c>
      <c r="I785" s="1" t="str">
        <f ca="1">IFERROR(__xludf.DUMMYFUNCTION("GOOGLETRANSLATE('대전도시공사_청년임대주택 현황_20240630'!I785,""ko"",""en"")"),"1000000")</f>
        <v>1000000</v>
      </c>
      <c r="J785" s="1" t="str">
        <f ca="1">IFERROR(__xludf.DUMMYFUNCTION("GOOGLETRANSLATE('대전도시공사_청년임대주택 현황_20240630'!J785,""ko"",""en"")"),"252100")</f>
        <v>252100</v>
      </c>
    </row>
    <row r="786" spans="1:10" ht="12.5" x14ac:dyDescent="0.25">
      <c r="A786" s="1" t="str">
        <f ca="1">IFERROR(__xludf.DUMMYFUNCTION("GOOGLETRANSLATE('대전도시공사_청년임대주택 현황_20240630'!A786,""ko"",""en"")"),"Goejeong-dong 3-18 (Samyoung Building, youth rental)")</f>
        <v>Goejeong-dong 3-18 (Samyoung Building, youth rental)</v>
      </c>
      <c r="B786" s="1" t="str">
        <f ca="1">IFERROR(__xludf.DUMMYFUNCTION("GOOGLETRANSLATE('대전도시공사_청년임대주택 현황_20240630'!B786,""ko"",""en"")"),"239")</f>
        <v>239</v>
      </c>
      <c r="C786" s="1" t="str">
        <f ca="1">IFERROR(__xludf.DUMMYFUNCTION("GOOGLETRANSLATE('대전도시공사_청년임대주택 현황_20240630'!C786,""ko"",""en"")"),"1")</f>
        <v>1</v>
      </c>
      <c r="D786" s="1" t="str">
        <f ca="1">IFERROR(__xludf.DUMMYFUNCTION("GOOGLETRANSLATE('대전도시공사_청년임대주택 현황_20240630'!D786,""ko"",""en"")"),"1113")</f>
        <v>1113</v>
      </c>
      <c r="E786" s="1" t="str">
        <f ca="1">IFERROR(__xludf.DUMMYFUNCTION("GOOGLETRANSLATE('대전도시공사_청년임대주택 현황_20240630'!E786,""ko"",""en"")"),"64.993")</f>
        <v>64.993</v>
      </c>
      <c r="F786" s="1" t="str">
        <f ca="1">IFERROR(__xludf.DUMMYFUNCTION("GOOGLETRANSLATE('대전도시공사_청년임대주택 현황_20240630'!F786,""ko"",""en"")"),"22.438")</f>
        <v>22.438</v>
      </c>
      <c r="G786" s="1" t="str">
        <f ca="1">IFERROR(__xludf.DUMMYFUNCTION("GOOGLETRANSLATE('대전도시공사_청년임대주택 현황_20240630'!G786,""ko"",""en"")"),"42.554")</f>
        <v>42.554</v>
      </c>
      <c r="H786" s="1" t="str">
        <f ca="1">IFERROR(__xludf.DUMMYFUNCTION("GOOGLETRANSLATE('대전도시공사_청년임대주택 현황_20240630'!H786,""ko"",""en"")"),"Youth Rental 2nd Place")</f>
        <v>Youth Rental 2nd Place</v>
      </c>
      <c r="I786" s="1" t="str">
        <f ca="1">IFERROR(__xludf.DUMMYFUNCTION("GOOGLETRANSLATE('대전도시공사_청년임대주택 현황_20240630'!I786,""ko"",""en"")"),"2000000")</f>
        <v>2000000</v>
      </c>
      <c r="J786" s="1" t="str">
        <f ca="1">IFERROR(__xludf.DUMMYFUNCTION("GOOGLETRANSLATE('대전도시공사_청년임대주택 현황_20240630'!J786,""ko"",""en"")"),"311000")</f>
        <v>311000</v>
      </c>
    </row>
    <row r="787" spans="1:10" ht="12.5" x14ac:dyDescent="0.25">
      <c r="A787" s="1" t="str">
        <f ca="1">IFERROR(__xludf.DUMMYFUNCTION("GOOGLETRANSLATE('대전도시공사_청년임대주택 현황_20240630'!A787,""ko"",""en"")"),"Goejeong-dong 3-18 (Samyoung Building, youth rental)")</f>
        <v>Goejeong-dong 3-18 (Samyoung Building, youth rental)</v>
      </c>
      <c r="B787" s="1" t="str">
        <f ca="1">IFERROR(__xludf.DUMMYFUNCTION("GOOGLETRANSLATE('대전도시공사_청년임대주택 현황_20240630'!B787,""ko"",""en"")"),"240")</f>
        <v>240</v>
      </c>
      <c r="C787" s="1" t="str">
        <f ca="1">IFERROR(__xludf.DUMMYFUNCTION("GOOGLETRANSLATE('대전도시공사_청년임대주택 현황_20240630'!C787,""ko"",""en"")"),"1")</f>
        <v>1</v>
      </c>
      <c r="D787" s="1" t="str">
        <f ca="1">IFERROR(__xludf.DUMMYFUNCTION("GOOGLETRANSLATE('대전도시공사_청년임대주택 현황_20240630'!D787,""ko"",""en"")"),"1113")</f>
        <v>1113</v>
      </c>
      <c r="E787" s="1" t="str">
        <f ca="1">IFERROR(__xludf.DUMMYFUNCTION("GOOGLETRANSLATE('대전도시공사_청년임대주택 현황_20240630'!E787,""ko"",""en"")"),"64.993")</f>
        <v>64.993</v>
      </c>
      <c r="F787" s="1" t="str">
        <f ca="1">IFERROR(__xludf.DUMMYFUNCTION("GOOGLETRANSLATE('대전도시공사_청년임대주택 현황_20240630'!F787,""ko"",""en"")"),"22.438")</f>
        <v>22.438</v>
      </c>
      <c r="G787" s="1" t="str">
        <f ca="1">IFERROR(__xludf.DUMMYFUNCTION("GOOGLETRANSLATE('대전도시공사_청년임대주택 현황_20240630'!G787,""ko"",""en"")"),"42.554")</f>
        <v>42.554</v>
      </c>
      <c r="H787" s="1" t="str">
        <f ca="1">IFERROR(__xludf.DUMMYFUNCTION("GOOGLETRANSLATE('대전도시공사_청년임대주택 현황_20240630'!H787,""ko"",""en"")"),"3rd place for youth rental")</f>
        <v>3rd place for youth rental</v>
      </c>
      <c r="I787" s="1" t="str">
        <f ca="1">IFERROR(__xludf.DUMMYFUNCTION("GOOGLETRANSLATE('대전도시공사_청년임대주택 현황_20240630'!I787,""ko"",""en"")"),"2000000")</f>
        <v>2000000</v>
      </c>
      <c r="J787" s="1" t="str">
        <f ca="1">IFERROR(__xludf.DUMMYFUNCTION("GOOGLETRANSLATE('대전도시공사_청년임대주택 현황_20240630'!J787,""ko"",""en"")"),"311000")</f>
        <v>311000</v>
      </c>
    </row>
    <row r="788" spans="1:10" ht="12.5" x14ac:dyDescent="0.25">
      <c r="A788" s="1" t="str">
        <f ca="1">IFERROR(__xludf.DUMMYFUNCTION("GOOGLETRANSLATE('대전도시공사_청년임대주택 현황_20240630'!A788,""ko"",""en"")"),"Goejeong-dong 3-18 (Samyoung Building, youth rental)")</f>
        <v>Goejeong-dong 3-18 (Samyoung Building, youth rental)</v>
      </c>
      <c r="B788" s="1" t="str">
        <f ca="1">IFERROR(__xludf.DUMMYFUNCTION("GOOGLETRANSLATE('대전도시공사_청년임대주택 현황_20240630'!B788,""ko"",""en"")"),"241")</f>
        <v>241</v>
      </c>
      <c r="C788" s="1" t="str">
        <f ca="1">IFERROR(__xludf.DUMMYFUNCTION("GOOGLETRANSLATE('대전도시공사_청년임대주택 현황_20240630'!C788,""ko"",""en"")"),"1")</f>
        <v>1</v>
      </c>
      <c r="D788" s="1" t="str">
        <f ca="1">IFERROR(__xludf.DUMMYFUNCTION("GOOGLETRANSLATE('대전도시공사_청년임대주택 현황_20240630'!D788,""ko"",""en"")"),"1114")</f>
        <v>1114</v>
      </c>
      <c r="E788" s="1" t="str">
        <f ca="1">IFERROR(__xludf.DUMMYFUNCTION("GOOGLETRANSLATE('대전도시공사_청년임대주택 현황_20240630'!E788,""ko"",""en"")"),"64.993")</f>
        <v>64.993</v>
      </c>
      <c r="F788" s="1" t="str">
        <f ca="1">IFERROR(__xludf.DUMMYFUNCTION("GOOGLETRANSLATE('대전도시공사_청년임대주택 현황_20240630'!F788,""ko"",""en"")"),"22.438")</f>
        <v>22.438</v>
      </c>
      <c r="G788" s="1" t="str">
        <f ca="1">IFERROR(__xludf.DUMMYFUNCTION("GOOGLETRANSLATE('대전도시공사_청년임대주택 현황_20240630'!G788,""ko"",""en"")"),"42.554")</f>
        <v>42.554</v>
      </c>
      <c r="H788" s="1" t="str">
        <f ca="1">IFERROR(__xludf.DUMMYFUNCTION("GOOGLETRANSLATE('대전도시공사_청년임대주택 현황_20240630'!H788,""ko"",""en"")"),"Youth Rent 1st Place")</f>
        <v>Youth Rent 1st Place</v>
      </c>
      <c r="I788" s="1" t="str">
        <f ca="1">IFERROR(__xludf.DUMMYFUNCTION("GOOGLETRANSLATE('대전도시공사_청년임대주택 현황_20240630'!I788,""ko"",""en"")"),"1000000")</f>
        <v>1000000</v>
      </c>
      <c r="J788" s="1" t="str">
        <f ca="1">IFERROR(__xludf.DUMMYFUNCTION("GOOGLETRANSLATE('대전도시공사_청년임대주택 현황_20240630'!J788,""ko"",""en"")"),"252100")</f>
        <v>252100</v>
      </c>
    </row>
    <row r="789" spans="1:10" ht="12.5" x14ac:dyDescent="0.25">
      <c r="A789" s="1" t="str">
        <f ca="1">IFERROR(__xludf.DUMMYFUNCTION("GOOGLETRANSLATE('대전도시공사_청년임대주택 현황_20240630'!A789,""ko"",""en"")"),"Goejeong-dong 3-18 (Samyoung Building, youth rental)")</f>
        <v>Goejeong-dong 3-18 (Samyoung Building, youth rental)</v>
      </c>
      <c r="B789" s="1" t="str">
        <f ca="1">IFERROR(__xludf.DUMMYFUNCTION("GOOGLETRANSLATE('대전도시공사_청년임대주택 현황_20240630'!B789,""ko"",""en"")"),"242")</f>
        <v>242</v>
      </c>
      <c r="C789" s="1" t="str">
        <f ca="1">IFERROR(__xludf.DUMMYFUNCTION("GOOGLETRANSLATE('대전도시공사_청년임대주택 현황_20240630'!C789,""ko"",""en"")"),"1")</f>
        <v>1</v>
      </c>
      <c r="D789" s="1" t="str">
        <f ca="1">IFERROR(__xludf.DUMMYFUNCTION("GOOGLETRANSLATE('대전도시공사_청년임대주택 현황_20240630'!D789,""ko"",""en"")"),"1114")</f>
        <v>1114</v>
      </c>
      <c r="E789" s="1" t="str">
        <f ca="1">IFERROR(__xludf.DUMMYFUNCTION("GOOGLETRANSLATE('대전도시공사_청년임대주택 현황_20240630'!E789,""ko"",""en"")"),"64.993")</f>
        <v>64.993</v>
      </c>
      <c r="F789" s="1" t="str">
        <f ca="1">IFERROR(__xludf.DUMMYFUNCTION("GOOGLETRANSLATE('대전도시공사_청년임대주택 현황_20240630'!F789,""ko"",""en"")"),"22.438")</f>
        <v>22.438</v>
      </c>
      <c r="G789" s="1" t="str">
        <f ca="1">IFERROR(__xludf.DUMMYFUNCTION("GOOGLETRANSLATE('대전도시공사_청년임대주택 현황_20240630'!G789,""ko"",""en"")"),"42.554")</f>
        <v>42.554</v>
      </c>
      <c r="H789" s="1" t="str">
        <f ca="1">IFERROR(__xludf.DUMMYFUNCTION("GOOGLETRANSLATE('대전도시공사_청년임대주택 현황_20240630'!H789,""ko"",""en"")"),"Youth Rental 2nd Place")</f>
        <v>Youth Rental 2nd Place</v>
      </c>
      <c r="I789" s="1" t="str">
        <f ca="1">IFERROR(__xludf.DUMMYFUNCTION("GOOGLETRANSLATE('대전도시공사_청년임대주택 현황_20240630'!I789,""ko"",""en"")"),"2000000")</f>
        <v>2000000</v>
      </c>
      <c r="J789" s="1" t="str">
        <f ca="1">IFERROR(__xludf.DUMMYFUNCTION("GOOGLETRANSLATE('대전도시공사_청년임대주택 현황_20240630'!J789,""ko"",""en"")"),"311000")</f>
        <v>311000</v>
      </c>
    </row>
    <row r="790" spans="1:10" ht="12.5" x14ac:dyDescent="0.25">
      <c r="A790" s="1" t="str">
        <f ca="1">IFERROR(__xludf.DUMMYFUNCTION("GOOGLETRANSLATE('대전도시공사_청년임대주택 현황_20240630'!A790,""ko"",""en"")"),"Goejeong-dong 3-18 (Samyoung Building, youth rental)")</f>
        <v>Goejeong-dong 3-18 (Samyoung Building, youth rental)</v>
      </c>
      <c r="B790" s="1" t="str">
        <f ca="1">IFERROR(__xludf.DUMMYFUNCTION("GOOGLETRANSLATE('대전도시공사_청년임대주택 현황_20240630'!B790,""ko"",""en"")"),"243")</f>
        <v>243</v>
      </c>
      <c r="C790" s="1" t="str">
        <f ca="1">IFERROR(__xludf.DUMMYFUNCTION("GOOGLETRANSLATE('대전도시공사_청년임대주택 현황_20240630'!C790,""ko"",""en"")"),"1")</f>
        <v>1</v>
      </c>
      <c r="D790" s="1" t="str">
        <f ca="1">IFERROR(__xludf.DUMMYFUNCTION("GOOGLETRANSLATE('대전도시공사_청년임대주택 현황_20240630'!D790,""ko"",""en"")"),"1114")</f>
        <v>1114</v>
      </c>
      <c r="E790" s="1" t="str">
        <f ca="1">IFERROR(__xludf.DUMMYFUNCTION("GOOGLETRANSLATE('대전도시공사_청년임대주택 현황_20240630'!E790,""ko"",""en"")"),"64.993")</f>
        <v>64.993</v>
      </c>
      <c r="F790" s="1" t="str">
        <f ca="1">IFERROR(__xludf.DUMMYFUNCTION("GOOGLETRANSLATE('대전도시공사_청년임대주택 현황_20240630'!F790,""ko"",""en"")"),"22.438")</f>
        <v>22.438</v>
      </c>
      <c r="G790" s="1" t="str">
        <f ca="1">IFERROR(__xludf.DUMMYFUNCTION("GOOGLETRANSLATE('대전도시공사_청년임대주택 현황_20240630'!G790,""ko"",""en"")"),"42.554")</f>
        <v>42.554</v>
      </c>
      <c r="H790" s="1" t="str">
        <f ca="1">IFERROR(__xludf.DUMMYFUNCTION("GOOGLETRANSLATE('대전도시공사_청년임대주택 현황_20240630'!H790,""ko"",""en"")"),"3rd place for youth rental")</f>
        <v>3rd place for youth rental</v>
      </c>
      <c r="I790" s="1" t="str">
        <f ca="1">IFERROR(__xludf.DUMMYFUNCTION("GOOGLETRANSLATE('대전도시공사_청년임대주택 현황_20240630'!I790,""ko"",""en"")"),"2000000")</f>
        <v>2000000</v>
      </c>
      <c r="J790" s="1" t="str">
        <f ca="1">IFERROR(__xludf.DUMMYFUNCTION("GOOGLETRANSLATE('대전도시공사_청년임대주택 현황_20240630'!J790,""ko"",""en"")"),"311000")</f>
        <v>311000</v>
      </c>
    </row>
    <row r="791" spans="1:10" ht="12.5" x14ac:dyDescent="0.25">
      <c r="A791" s="1" t="str">
        <f ca="1">IFERROR(__xludf.DUMMYFUNCTION("GOOGLETRANSLATE('대전도시공사_청년임대주택 현황_20240630'!A791,""ko"",""en"")"),"Goejeong-dong 3-18 (Samyoung Building, youth rental)")</f>
        <v>Goejeong-dong 3-18 (Samyoung Building, youth rental)</v>
      </c>
      <c r="B791" s="1" t="str">
        <f ca="1">IFERROR(__xludf.DUMMYFUNCTION("GOOGLETRANSLATE('대전도시공사_청년임대주택 현황_20240630'!B791,""ko"",""en"")"),"244")</f>
        <v>244</v>
      </c>
      <c r="C791" s="1" t="str">
        <f ca="1">IFERROR(__xludf.DUMMYFUNCTION("GOOGLETRANSLATE('대전도시공사_청년임대주택 현황_20240630'!C791,""ko"",""en"")"),"1")</f>
        <v>1</v>
      </c>
      <c r="D791" s="1" t="str">
        <f ca="1">IFERROR(__xludf.DUMMYFUNCTION("GOOGLETRANSLATE('대전도시공사_청년임대주택 현황_20240630'!D791,""ko"",""en"")"),"1115")</f>
        <v>1115</v>
      </c>
      <c r="E791" s="1" t="str">
        <f ca="1">IFERROR(__xludf.DUMMYFUNCTION("GOOGLETRANSLATE('대전도시공사_청년임대주택 현황_20240630'!E791,""ko"",""en"")"),"64.993")</f>
        <v>64.993</v>
      </c>
      <c r="F791" s="1" t="str">
        <f ca="1">IFERROR(__xludf.DUMMYFUNCTION("GOOGLETRANSLATE('대전도시공사_청년임대주택 현황_20240630'!F791,""ko"",""en"")"),"22.438")</f>
        <v>22.438</v>
      </c>
      <c r="G791" s="1" t="str">
        <f ca="1">IFERROR(__xludf.DUMMYFUNCTION("GOOGLETRANSLATE('대전도시공사_청년임대주택 현황_20240630'!G791,""ko"",""en"")"),"42.554")</f>
        <v>42.554</v>
      </c>
      <c r="H791" s="1" t="str">
        <f ca="1">IFERROR(__xludf.DUMMYFUNCTION("GOOGLETRANSLATE('대전도시공사_청년임대주택 현황_20240630'!H791,""ko"",""en"")"),"Youth Rent 1st Place")</f>
        <v>Youth Rent 1st Place</v>
      </c>
      <c r="I791" s="1" t="str">
        <f ca="1">IFERROR(__xludf.DUMMYFUNCTION("GOOGLETRANSLATE('대전도시공사_청년임대주택 현황_20240630'!I791,""ko"",""en"")"),"1000000")</f>
        <v>1000000</v>
      </c>
      <c r="J791" s="1" t="str">
        <f ca="1">IFERROR(__xludf.DUMMYFUNCTION("GOOGLETRANSLATE('대전도시공사_청년임대주택 현황_20240630'!J791,""ko"",""en"")"),"252100")</f>
        <v>252100</v>
      </c>
    </row>
    <row r="792" spans="1:10" ht="12.5" x14ac:dyDescent="0.25">
      <c r="A792" s="1" t="str">
        <f ca="1">IFERROR(__xludf.DUMMYFUNCTION("GOOGLETRANSLATE('대전도시공사_청년임대주택 현황_20240630'!A792,""ko"",""en"")"),"Goejeong-dong 3-18 (Samyoung Building, youth rental)")</f>
        <v>Goejeong-dong 3-18 (Samyoung Building, youth rental)</v>
      </c>
      <c r="B792" s="1" t="str">
        <f ca="1">IFERROR(__xludf.DUMMYFUNCTION("GOOGLETRANSLATE('대전도시공사_청년임대주택 현황_20240630'!B792,""ko"",""en"")"),"245")</f>
        <v>245</v>
      </c>
      <c r="C792" s="1" t="str">
        <f ca="1">IFERROR(__xludf.DUMMYFUNCTION("GOOGLETRANSLATE('대전도시공사_청년임대주택 현황_20240630'!C792,""ko"",""en"")"),"1")</f>
        <v>1</v>
      </c>
      <c r="D792" s="1" t="str">
        <f ca="1">IFERROR(__xludf.DUMMYFUNCTION("GOOGLETRANSLATE('대전도시공사_청년임대주택 현황_20240630'!D792,""ko"",""en"")"),"1115")</f>
        <v>1115</v>
      </c>
      <c r="E792" s="1" t="str">
        <f ca="1">IFERROR(__xludf.DUMMYFUNCTION("GOOGLETRANSLATE('대전도시공사_청년임대주택 현황_20240630'!E792,""ko"",""en"")"),"64.993")</f>
        <v>64.993</v>
      </c>
      <c r="F792" s="1" t="str">
        <f ca="1">IFERROR(__xludf.DUMMYFUNCTION("GOOGLETRANSLATE('대전도시공사_청년임대주택 현황_20240630'!F792,""ko"",""en"")"),"22.438")</f>
        <v>22.438</v>
      </c>
      <c r="G792" s="1" t="str">
        <f ca="1">IFERROR(__xludf.DUMMYFUNCTION("GOOGLETRANSLATE('대전도시공사_청년임대주택 현황_20240630'!G792,""ko"",""en"")"),"42.554")</f>
        <v>42.554</v>
      </c>
      <c r="H792" s="1" t="str">
        <f ca="1">IFERROR(__xludf.DUMMYFUNCTION("GOOGLETRANSLATE('대전도시공사_청년임대주택 현황_20240630'!H792,""ko"",""en"")"),"Youth Rental 2nd Place")</f>
        <v>Youth Rental 2nd Place</v>
      </c>
      <c r="I792" s="1" t="str">
        <f ca="1">IFERROR(__xludf.DUMMYFUNCTION("GOOGLETRANSLATE('대전도시공사_청년임대주택 현황_20240630'!I792,""ko"",""en"")"),"2000000")</f>
        <v>2000000</v>
      </c>
      <c r="J792" s="1" t="str">
        <f ca="1">IFERROR(__xludf.DUMMYFUNCTION("GOOGLETRANSLATE('대전도시공사_청년임대주택 현황_20240630'!J792,""ko"",""en"")"),"311000")</f>
        <v>311000</v>
      </c>
    </row>
    <row r="793" spans="1:10" ht="12.5" x14ac:dyDescent="0.25">
      <c r="A793" s="1" t="str">
        <f ca="1">IFERROR(__xludf.DUMMYFUNCTION("GOOGLETRANSLATE('대전도시공사_청년임대주택 현황_20240630'!A793,""ko"",""en"")"),"Goejeong-dong 3-18 (Samyoung Building, youth rental)")</f>
        <v>Goejeong-dong 3-18 (Samyoung Building, youth rental)</v>
      </c>
      <c r="B793" s="1" t="str">
        <f ca="1">IFERROR(__xludf.DUMMYFUNCTION("GOOGLETRANSLATE('대전도시공사_청년임대주택 현황_20240630'!B793,""ko"",""en"")"),"246")</f>
        <v>246</v>
      </c>
      <c r="C793" s="1" t="str">
        <f ca="1">IFERROR(__xludf.DUMMYFUNCTION("GOOGLETRANSLATE('대전도시공사_청년임대주택 현황_20240630'!C793,""ko"",""en"")"),"1")</f>
        <v>1</v>
      </c>
      <c r="D793" s="1" t="str">
        <f ca="1">IFERROR(__xludf.DUMMYFUNCTION("GOOGLETRANSLATE('대전도시공사_청년임대주택 현황_20240630'!D793,""ko"",""en"")"),"1115")</f>
        <v>1115</v>
      </c>
      <c r="E793" s="1" t="str">
        <f ca="1">IFERROR(__xludf.DUMMYFUNCTION("GOOGLETRANSLATE('대전도시공사_청년임대주택 현황_20240630'!E793,""ko"",""en"")"),"64.993")</f>
        <v>64.993</v>
      </c>
      <c r="F793" s="1" t="str">
        <f ca="1">IFERROR(__xludf.DUMMYFUNCTION("GOOGLETRANSLATE('대전도시공사_청년임대주택 현황_20240630'!F793,""ko"",""en"")"),"22.438")</f>
        <v>22.438</v>
      </c>
      <c r="G793" s="1" t="str">
        <f ca="1">IFERROR(__xludf.DUMMYFUNCTION("GOOGLETRANSLATE('대전도시공사_청년임대주택 현황_20240630'!G793,""ko"",""en"")"),"42.554")</f>
        <v>42.554</v>
      </c>
      <c r="H793" s="1" t="str">
        <f ca="1">IFERROR(__xludf.DUMMYFUNCTION("GOOGLETRANSLATE('대전도시공사_청년임대주택 현황_20240630'!H793,""ko"",""en"")"),"3rd place for youth rental")</f>
        <v>3rd place for youth rental</v>
      </c>
      <c r="I793" s="1" t="str">
        <f ca="1">IFERROR(__xludf.DUMMYFUNCTION("GOOGLETRANSLATE('대전도시공사_청년임대주택 현황_20240630'!I793,""ko"",""en"")"),"2000000")</f>
        <v>2000000</v>
      </c>
      <c r="J793" s="1" t="str">
        <f ca="1">IFERROR(__xludf.DUMMYFUNCTION("GOOGLETRANSLATE('대전도시공사_청년임대주택 현황_20240630'!J793,""ko"",""en"")"),"311000")</f>
        <v>311000</v>
      </c>
    </row>
    <row r="794" spans="1:10" ht="12.5" x14ac:dyDescent="0.25">
      <c r="A794" s="1" t="str">
        <f ca="1">IFERROR(__xludf.DUMMYFUNCTION("GOOGLETRANSLATE('대전도시공사_청년임대주택 현황_20240630'!A794,""ko"",""en"")"),"Goejeong-dong 3-18 (Samyoung Building, youth rental)")</f>
        <v>Goejeong-dong 3-18 (Samyoung Building, youth rental)</v>
      </c>
      <c r="B794" s="1" t="str">
        <f ca="1">IFERROR(__xludf.DUMMYFUNCTION("GOOGLETRANSLATE('대전도시공사_청년임대주택 현황_20240630'!B794,""ko"",""en"")"),"247")</f>
        <v>247</v>
      </c>
      <c r="C794" s="1" t="str">
        <f ca="1">IFERROR(__xludf.DUMMYFUNCTION("GOOGLETRANSLATE('대전도시공사_청년임대주택 현황_20240630'!C794,""ko"",""en"")"),"1")</f>
        <v>1</v>
      </c>
      <c r="D794" s="1" t="str">
        <f ca="1">IFERROR(__xludf.DUMMYFUNCTION("GOOGLETRANSLATE('대전도시공사_청년임대주택 현황_20240630'!D794,""ko"",""en"")"),"1116")</f>
        <v>1116</v>
      </c>
      <c r="E794" s="1" t="str">
        <f ca="1">IFERROR(__xludf.DUMMYFUNCTION("GOOGLETRANSLATE('대전도시공사_청년임대주택 현황_20240630'!E794,""ko"",""en"")"),"64.993")</f>
        <v>64.993</v>
      </c>
      <c r="F794" s="1" t="str">
        <f ca="1">IFERROR(__xludf.DUMMYFUNCTION("GOOGLETRANSLATE('대전도시공사_청년임대주택 현황_20240630'!F794,""ko"",""en"")"),"22.438")</f>
        <v>22.438</v>
      </c>
      <c r="G794" s="1" t="str">
        <f ca="1">IFERROR(__xludf.DUMMYFUNCTION("GOOGLETRANSLATE('대전도시공사_청년임대주택 현황_20240630'!G794,""ko"",""en"")"),"42.554")</f>
        <v>42.554</v>
      </c>
      <c r="H794" s="1" t="str">
        <f ca="1">IFERROR(__xludf.DUMMYFUNCTION("GOOGLETRANSLATE('대전도시공사_청년임대주택 현황_20240630'!H794,""ko"",""en"")"),"Youth Rent 1st Place")</f>
        <v>Youth Rent 1st Place</v>
      </c>
      <c r="I794" s="1" t="str">
        <f ca="1">IFERROR(__xludf.DUMMYFUNCTION("GOOGLETRANSLATE('대전도시공사_청년임대주택 현황_20240630'!I794,""ko"",""en"")"),"1000000")</f>
        <v>1000000</v>
      </c>
      <c r="J794" s="1" t="str">
        <f ca="1">IFERROR(__xludf.DUMMYFUNCTION("GOOGLETRANSLATE('대전도시공사_청년임대주택 현황_20240630'!J794,""ko"",""en"")"),"252100")</f>
        <v>252100</v>
      </c>
    </row>
    <row r="795" spans="1:10" ht="12.5" x14ac:dyDescent="0.25">
      <c r="A795" s="1" t="str">
        <f ca="1">IFERROR(__xludf.DUMMYFUNCTION("GOOGLETRANSLATE('대전도시공사_청년임대주택 현황_20240630'!A795,""ko"",""en"")"),"Goejeong-dong 3-18 (Samyoung Building, youth rental)")</f>
        <v>Goejeong-dong 3-18 (Samyoung Building, youth rental)</v>
      </c>
      <c r="B795" s="1" t="str">
        <f ca="1">IFERROR(__xludf.DUMMYFUNCTION("GOOGLETRANSLATE('대전도시공사_청년임대주택 현황_20240630'!B795,""ko"",""en"")"),"248")</f>
        <v>248</v>
      </c>
      <c r="C795" s="1" t="str">
        <f ca="1">IFERROR(__xludf.DUMMYFUNCTION("GOOGLETRANSLATE('대전도시공사_청년임대주택 현황_20240630'!C795,""ko"",""en"")"),"1")</f>
        <v>1</v>
      </c>
      <c r="D795" s="1" t="str">
        <f ca="1">IFERROR(__xludf.DUMMYFUNCTION("GOOGLETRANSLATE('대전도시공사_청년임대주택 현황_20240630'!D795,""ko"",""en"")"),"1116")</f>
        <v>1116</v>
      </c>
      <c r="E795" s="1" t="str">
        <f ca="1">IFERROR(__xludf.DUMMYFUNCTION("GOOGLETRANSLATE('대전도시공사_청년임대주택 현황_20240630'!E795,""ko"",""en"")"),"64.993")</f>
        <v>64.993</v>
      </c>
      <c r="F795" s="1" t="str">
        <f ca="1">IFERROR(__xludf.DUMMYFUNCTION("GOOGLETRANSLATE('대전도시공사_청년임대주택 현황_20240630'!F795,""ko"",""en"")"),"22.438")</f>
        <v>22.438</v>
      </c>
      <c r="G795" s="1" t="str">
        <f ca="1">IFERROR(__xludf.DUMMYFUNCTION("GOOGLETRANSLATE('대전도시공사_청년임대주택 현황_20240630'!G795,""ko"",""en"")"),"42.554")</f>
        <v>42.554</v>
      </c>
      <c r="H795" s="1" t="str">
        <f ca="1">IFERROR(__xludf.DUMMYFUNCTION("GOOGLETRANSLATE('대전도시공사_청년임대주택 현황_20240630'!H795,""ko"",""en"")"),"Youth Rental 2nd Place")</f>
        <v>Youth Rental 2nd Place</v>
      </c>
      <c r="I795" s="1" t="str">
        <f ca="1">IFERROR(__xludf.DUMMYFUNCTION("GOOGLETRANSLATE('대전도시공사_청년임대주택 현황_20240630'!I795,""ko"",""en"")"),"2000000")</f>
        <v>2000000</v>
      </c>
      <c r="J795" s="1" t="str">
        <f ca="1">IFERROR(__xludf.DUMMYFUNCTION("GOOGLETRANSLATE('대전도시공사_청년임대주택 현황_20240630'!J795,""ko"",""en"")"),"311000")</f>
        <v>311000</v>
      </c>
    </row>
    <row r="796" spans="1:10" ht="12.5" x14ac:dyDescent="0.25">
      <c r="A796" s="1" t="str">
        <f ca="1">IFERROR(__xludf.DUMMYFUNCTION("GOOGLETRANSLATE('대전도시공사_청년임대주택 현황_20240630'!A796,""ko"",""en"")"),"Goejeong-dong 3-18 (Samyoung Building, youth rental)")</f>
        <v>Goejeong-dong 3-18 (Samyoung Building, youth rental)</v>
      </c>
      <c r="B796" s="1" t="str">
        <f ca="1">IFERROR(__xludf.DUMMYFUNCTION("GOOGLETRANSLATE('대전도시공사_청년임대주택 현황_20240630'!B796,""ko"",""en"")"),"249")</f>
        <v>249</v>
      </c>
      <c r="C796" s="1" t="str">
        <f ca="1">IFERROR(__xludf.DUMMYFUNCTION("GOOGLETRANSLATE('대전도시공사_청년임대주택 현황_20240630'!C796,""ko"",""en"")"),"1")</f>
        <v>1</v>
      </c>
      <c r="D796" s="1" t="str">
        <f ca="1">IFERROR(__xludf.DUMMYFUNCTION("GOOGLETRANSLATE('대전도시공사_청년임대주택 현황_20240630'!D796,""ko"",""en"")"),"1116")</f>
        <v>1116</v>
      </c>
      <c r="E796" s="1" t="str">
        <f ca="1">IFERROR(__xludf.DUMMYFUNCTION("GOOGLETRANSLATE('대전도시공사_청년임대주택 현황_20240630'!E796,""ko"",""en"")"),"64.993")</f>
        <v>64.993</v>
      </c>
      <c r="F796" s="1" t="str">
        <f ca="1">IFERROR(__xludf.DUMMYFUNCTION("GOOGLETRANSLATE('대전도시공사_청년임대주택 현황_20240630'!F796,""ko"",""en"")"),"22.438")</f>
        <v>22.438</v>
      </c>
      <c r="G796" s="1" t="str">
        <f ca="1">IFERROR(__xludf.DUMMYFUNCTION("GOOGLETRANSLATE('대전도시공사_청년임대주택 현황_20240630'!G796,""ko"",""en"")"),"42.554")</f>
        <v>42.554</v>
      </c>
      <c r="H796" s="1" t="str">
        <f ca="1">IFERROR(__xludf.DUMMYFUNCTION("GOOGLETRANSLATE('대전도시공사_청년임대주택 현황_20240630'!H796,""ko"",""en"")"),"3rd place for youth rental")</f>
        <v>3rd place for youth rental</v>
      </c>
      <c r="I796" s="1" t="str">
        <f ca="1">IFERROR(__xludf.DUMMYFUNCTION("GOOGLETRANSLATE('대전도시공사_청년임대주택 현황_20240630'!I796,""ko"",""en"")"),"2000000")</f>
        <v>2000000</v>
      </c>
      <c r="J796" s="1" t="str">
        <f ca="1">IFERROR(__xludf.DUMMYFUNCTION("GOOGLETRANSLATE('대전도시공사_청년임대주택 현황_20240630'!J796,""ko"",""en"")"),"311000")</f>
        <v>311000</v>
      </c>
    </row>
    <row r="797" spans="1:10" ht="12.5" x14ac:dyDescent="0.25">
      <c r="A797" s="1" t="str">
        <f ca="1">IFERROR(__xludf.DUMMYFUNCTION("GOOGLETRANSLATE('대전도시공사_청년임대주택 현황_20240630'!A797,""ko"",""en"")"),"Goejeong-dong 3-18 (Samyoung Building, youth rental)")</f>
        <v>Goejeong-dong 3-18 (Samyoung Building, youth rental)</v>
      </c>
      <c r="B797" s="1" t="str">
        <f ca="1">IFERROR(__xludf.DUMMYFUNCTION("GOOGLETRANSLATE('대전도시공사_청년임대주택 현황_20240630'!B797,""ko"",""en"")"),"250")</f>
        <v>250</v>
      </c>
      <c r="C797" s="1" t="str">
        <f ca="1">IFERROR(__xludf.DUMMYFUNCTION("GOOGLETRANSLATE('대전도시공사_청년임대주택 현황_20240630'!C797,""ko"",""en"")"),"1")</f>
        <v>1</v>
      </c>
      <c r="D797" s="1" t="str">
        <f ca="1">IFERROR(__xludf.DUMMYFUNCTION("GOOGLETRANSLATE('대전도시공사_청년임대주택 현황_20240630'!D797,""ko"",""en"")"),"1117")</f>
        <v>1117</v>
      </c>
      <c r="E797" s="1" t="str">
        <f ca="1">IFERROR(__xludf.DUMMYFUNCTION("GOOGLETRANSLATE('대전도시공사_청년임대주택 현황_20240630'!E797,""ko"",""en"")"),"64.993")</f>
        <v>64.993</v>
      </c>
      <c r="F797" s="1" t="str">
        <f ca="1">IFERROR(__xludf.DUMMYFUNCTION("GOOGLETRANSLATE('대전도시공사_청년임대주택 현황_20240630'!F797,""ko"",""en"")"),"22.438")</f>
        <v>22.438</v>
      </c>
      <c r="G797" s="1" t="str">
        <f ca="1">IFERROR(__xludf.DUMMYFUNCTION("GOOGLETRANSLATE('대전도시공사_청년임대주택 현황_20240630'!G797,""ko"",""en"")"),"42.554")</f>
        <v>42.554</v>
      </c>
      <c r="H797" s="1" t="str">
        <f ca="1">IFERROR(__xludf.DUMMYFUNCTION("GOOGLETRANSLATE('대전도시공사_청년임대주택 현황_20240630'!H797,""ko"",""en"")"),"Youth Rent 1st Place")</f>
        <v>Youth Rent 1st Place</v>
      </c>
      <c r="I797" s="1" t="str">
        <f ca="1">IFERROR(__xludf.DUMMYFUNCTION("GOOGLETRANSLATE('대전도시공사_청년임대주택 현황_20240630'!I797,""ko"",""en"")"),"1000000")</f>
        <v>1000000</v>
      </c>
      <c r="J797" s="1" t="str">
        <f ca="1">IFERROR(__xludf.DUMMYFUNCTION("GOOGLETRANSLATE('대전도시공사_청년임대주택 현황_20240630'!J797,""ko"",""en"")"),"252100")</f>
        <v>252100</v>
      </c>
    </row>
    <row r="798" spans="1:10" ht="12.5" x14ac:dyDescent="0.25">
      <c r="A798" s="1" t="str">
        <f ca="1">IFERROR(__xludf.DUMMYFUNCTION("GOOGLETRANSLATE('대전도시공사_청년임대주택 현황_20240630'!A798,""ko"",""en"")"),"Goejeong-dong 3-18 (Samyoung Building, youth rental)")</f>
        <v>Goejeong-dong 3-18 (Samyoung Building, youth rental)</v>
      </c>
      <c r="B798" s="1" t="str">
        <f ca="1">IFERROR(__xludf.DUMMYFUNCTION("GOOGLETRANSLATE('대전도시공사_청년임대주택 현황_20240630'!B798,""ko"",""en"")"),"251")</f>
        <v>251</v>
      </c>
      <c r="C798" s="1" t="str">
        <f ca="1">IFERROR(__xludf.DUMMYFUNCTION("GOOGLETRANSLATE('대전도시공사_청년임대주택 현황_20240630'!C798,""ko"",""en"")"),"1")</f>
        <v>1</v>
      </c>
      <c r="D798" s="1" t="str">
        <f ca="1">IFERROR(__xludf.DUMMYFUNCTION("GOOGLETRANSLATE('대전도시공사_청년임대주택 현황_20240630'!D798,""ko"",""en"")"),"1117")</f>
        <v>1117</v>
      </c>
      <c r="E798" s="1" t="str">
        <f ca="1">IFERROR(__xludf.DUMMYFUNCTION("GOOGLETRANSLATE('대전도시공사_청년임대주택 현황_20240630'!E798,""ko"",""en"")"),"64.993")</f>
        <v>64.993</v>
      </c>
      <c r="F798" s="1" t="str">
        <f ca="1">IFERROR(__xludf.DUMMYFUNCTION("GOOGLETRANSLATE('대전도시공사_청년임대주택 현황_20240630'!F798,""ko"",""en"")"),"22.438")</f>
        <v>22.438</v>
      </c>
      <c r="G798" s="1" t="str">
        <f ca="1">IFERROR(__xludf.DUMMYFUNCTION("GOOGLETRANSLATE('대전도시공사_청년임대주택 현황_20240630'!G798,""ko"",""en"")"),"42.554")</f>
        <v>42.554</v>
      </c>
      <c r="H798" s="1" t="str">
        <f ca="1">IFERROR(__xludf.DUMMYFUNCTION("GOOGLETRANSLATE('대전도시공사_청년임대주택 현황_20240630'!H798,""ko"",""en"")"),"Youth Rental 2nd Place")</f>
        <v>Youth Rental 2nd Place</v>
      </c>
      <c r="I798" s="1" t="str">
        <f ca="1">IFERROR(__xludf.DUMMYFUNCTION("GOOGLETRANSLATE('대전도시공사_청년임대주택 현황_20240630'!I798,""ko"",""en"")"),"2000000")</f>
        <v>2000000</v>
      </c>
      <c r="J798" s="1" t="str">
        <f ca="1">IFERROR(__xludf.DUMMYFUNCTION("GOOGLETRANSLATE('대전도시공사_청년임대주택 현황_20240630'!J798,""ko"",""en"")"),"311000")</f>
        <v>311000</v>
      </c>
    </row>
    <row r="799" spans="1:10" ht="12.5" x14ac:dyDescent="0.25">
      <c r="A799" s="1" t="str">
        <f ca="1">IFERROR(__xludf.DUMMYFUNCTION("GOOGLETRANSLATE('대전도시공사_청년임대주택 현황_20240630'!A799,""ko"",""en"")"),"Goejeong-dong 3-18 (Samyoung Building, youth rental)")</f>
        <v>Goejeong-dong 3-18 (Samyoung Building, youth rental)</v>
      </c>
      <c r="B799" s="1" t="str">
        <f ca="1">IFERROR(__xludf.DUMMYFUNCTION("GOOGLETRANSLATE('대전도시공사_청년임대주택 현황_20240630'!B799,""ko"",""en"")"),"252")</f>
        <v>252</v>
      </c>
      <c r="C799" s="1" t="str">
        <f ca="1">IFERROR(__xludf.DUMMYFUNCTION("GOOGLETRANSLATE('대전도시공사_청년임대주택 현황_20240630'!C799,""ko"",""en"")"),"1")</f>
        <v>1</v>
      </c>
      <c r="D799" s="1" t="str">
        <f ca="1">IFERROR(__xludf.DUMMYFUNCTION("GOOGLETRANSLATE('대전도시공사_청년임대주택 현황_20240630'!D799,""ko"",""en"")"),"1117")</f>
        <v>1117</v>
      </c>
      <c r="E799" s="1" t="str">
        <f ca="1">IFERROR(__xludf.DUMMYFUNCTION("GOOGLETRANSLATE('대전도시공사_청년임대주택 현황_20240630'!E799,""ko"",""en"")"),"64.993")</f>
        <v>64.993</v>
      </c>
      <c r="F799" s="1" t="str">
        <f ca="1">IFERROR(__xludf.DUMMYFUNCTION("GOOGLETRANSLATE('대전도시공사_청년임대주택 현황_20240630'!F799,""ko"",""en"")"),"22.438")</f>
        <v>22.438</v>
      </c>
      <c r="G799" s="1" t="str">
        <f ca="1">IFERROR(__xludf.DUMMYFUNCTION("GOOGLETRANSLATE('대전도시공사_청년임대주택 현황_20240630'!G799,""ko"",""en"")"),"42.554")</f>
        <v>42.554</v>
      </c>
      <c r="H799" s="1" t="str">
        <f ca="1">IFERROR(__xludf.DUMMYFUNCTION("GOOGLETRANSLATE('대전도시공사_청년임대주택 현황_20240630'!H799,""ko"",""en"")"),"3rd place for youth rental")</f>
        <v>3rd place for youth rental</v>
      </c>
      <c r="I799" s="1" t="str">
        <f ca="1">IFERROR(__xludf.DUMMYFUNCTION("GOOGLETRANSLATE('대전도시공사_청년임대주택 현황_20240630'!I799,""ko"",""en"")"),"2000000")</f>
        <v>2000000</v>
      </c>
      <c r="J799" s="1" t="str">
        <f ca="1">IFERROR(__xludf.DUMMYFUNCTION("GOOGLETRANSLATE('대전도시공사_청년임대주택 현황_20240630'!J799,""ko"",""en"")"),"311000")</f>
        <v>311000</v>
      </c>
    </row>
    <row r="800" spans="1:10" ht="12.5" x14ac:dyDescent="0.25">
      <c r="A800" s="1" t="str">
        <f ca="1">IFERROR(__xludf.DUMMYFUNCTION("GOOGLETRANSLATE('대전도시공사_청년임대주택 현황_20240630'!A800,""ko"",""en"")"),"Goejeong-dong 3-18 (Samyoung Building, youth rental)")</f>
        <v>Goejeong-dong 3-18 (Samyoung Building, youth rental)</v>
      </c>
      <c r="B800" s="1" t="str">
        <f ca="1">IFERROR(__xludf.DUMMYFUNCTION("GOOGLETRANSLATE('대전도시공사_청년임대주택 현황_20240630'!B800,""ko"",""en"")"),"253")</f>
        <v>253</v>
      </c>
      <c r="C800" s="1" t="str">
        <f ca="1">IFERROR(__xludf.DUMMYFUNCTION("GOOGLETRANSLATE('대전도시공사_청년임대주택 현황_20240630'!C800,""ko"",""en"")"),"1")</f>
        <v>1</v>
      </c>
      <c r="D800" s="1" t="str">
        <f ca="1">IFERROR(__xludf.DUMMYFUNCTION("GOOGLETRANSLATE('대전도시공사_청년임대주택 현황_20240630'!D800,""ko"",""en"")"),"1118")</f>
        <v>1118</v>
      </c>
      <c r="E800" s="1" t="str">
        <f ca="1">IFERROR(__xludf.DUMMYFUNCTION("GOOGLETRANSLATE('대전도시공사_청년임대주택 현황_20240630'!E800,""ko"",""en"")"),"97.512")</f>
        <v>97.512</v>
      </c>
      <c r="F800" s="1" t="str">
        <f ca="1">IFERROR(__xludf.DUMMYFUNCTION("GOOGLETRANSLATE('대전도시공사_청년임대주택 현황_20240630'!F800,""ko"",""en"")"),"33.695")</f>
        <v>33.695</v>
      </c>
      <c r="G800" s="1" t="str">
        <f ca="1">IFERROR(__xludf.DUMMYFUNCTION("GOOGLETRANSLATE('대전도시공사_청년임대주택 현황_20240630'!G800,""ko"",""en"")"),"63.816")</f>
        <v>63.816</v>
      </c>
      <c r="H800" s="1" t="str">
        <f ca="1">IFERROR(__xludf.DUMMYFUNCTION("GOOGLETRANSLATE('대전도시공사_청년임대주택 현황_20240630'!H800,""ko"",""en"")"),"Youth Rent 1st Place")</f>
        <v>Youth Rent 1st Place</v>
      </c>
      <c r="I800" s="1" t="str">
        <f ca="1">IFERROR(__xludf.DUMMYFUNCTION("GOOGLETRANSLATE('대전도시공사_청년임대주택 현황_20240630'!I800,""ko"",""en"")"),"1000000")</f>
        <v>1000000</v>
      </c>
      <c r="J800" s="1" t="str">
        <f ca="1">IFERROR(__xludf.DUMMYFUNCTION("GOOGLETRANSLATE('대전도시공사_청년임대주택 현황_20240630'!J800,""ko"",""en"")"),"359700")</f>
        <v>359700</v>
      </c>
    </row>
    <row r="801" spans="1:10" ht="12.5" x14ac:dyDescent="0.25">
      <c r="A801" s="1" t="str">
        <f ca="1">IFERROR(__xludf.DUMMYFUNCTION("GOOGLETRANSLATE('대전도시공사_청년임대주택 현황_20240630'!A801,""ko"",""en"")"),"Goejeong-dong 3-18 (Samyoung Building, youth rental)")</f>
        <v>Goejeong-dong 3-18 (Samyoung Building, youth rental)</v>
      </c>
      <c r="B801" s="1" t="str">
        <f ca="1">IFERROR(__xludf.DUMMYFUNCTION("GOOGLETRANSLATE('대전도시공사_청년임대주택 현황_20240630'!B801,""ko"",""en"")"),"254")</f>
        <v>254</v>
      </c>
      <c r="C801" s="1" t="str">
        <f ca="1">IFERROR(__xludf.DUMMYFUNCTION("GOOGLETRANSLATE('대전도시공사_청년임대주택 현황_20240630'!C801,""ko"",""en"")"),"1")</f>
        <v>1</v>
      </c>
      <c r="D801" s="1" t="str">
        <f ca="1">IFERROR(__xludf.DUMMYFUNCTION("GOOGLETRANSLATE('대전도시공사_청년임대주택 현황_20240630'!D801,""ko"",""en"")"),"1118")</f>
        <v>1118</v>
      </c>
      <c r="E801" s="1" t="str">
        <f ca="1">IFERROR(__xludf.DUMMYFUNCTION("GOOGLETRANSLATE('대전도시공사_청년임대주택 현황_20240630'!E801,""ko"",""en"")"),"97.512")</f>
        <v>97.512</v>
      </c>
      <c r="F801" s="1" t="str">
        <f ca="1">IFERROR(__xludf.DUMMYFUNCTION("GOOGLETRANSLATE('대전도시공사_청년임대주택 현황_20240630'!F801,""ko"",""en"")"),"33.695")</f>
        <v>33.695</v>
      </c>
      <c r="G801" s="1" t="str">
        <f ca="1">IFERROR(__xludf.DUMMYFUNCTION("GOOGLETRANSLATE('대전도시공사_청년임대주택 현황_20240630'!G801,""ko"",""en"")"),"63.816")</f>
        <v>63.816</v>
      </c>
      <c r="H801" s="1" t="str">
        <f ca="1">IFERROR(__xludf.DUMMYFUNCTION("GOOGLETRANSLATE('대전도시공사_청년임대주택 현황_20240630'!H801,""ko"",""en"")"),"Youth Rental 2nd Place")</f>
        <v>Youth Rental 2nd Place</v>
      </c>
      <c r="I801" s="1" t="str">
        <f ca="1">IFERROR(__xludf.DUMMYFUNCTION("GOOGLETRANSLATE('대전도시공사_청년임대주택 현황_20240630'!I801,""ko"",""en"")"),"2000000")</f>
        <v>2000000</v>
      </c>
      <c r="J801" s="1" t="str">
        <f ca="1">IFERROR(__xludf.DUMMYFUNCTION("GOOGLETRANSLATE('대전도시공사_청년임대주택 현황_20240630'!J801,""ko"",""en"")"),"445300")</f>
        <v>445300</v>
      </c>
    </row>
    <row r="802" spans="1:10" ht="12.5" x14ac:dyDescent="0.25">
      <c r="A802" s="1" t="str">
        <f ca="1">IFERROR(__xludf.DUMMYFUNCTION("GOOGLETRANSLATE('대전도시공사_청년임대주택 현황_20240630'!A802,""ko"",""en"")"),"Goejeong-dong 3-18 (Samyoung Building, youth rental)")</f>
        <v>Goejeong-dong 3-18 (Samyoung Building, youth rental)</v>
      </c>
      <c r="B802" s="1" t="str">
        <f ca="1">IFERROR(__xludf.DUMMYFUNCTION("GOOGLETRANSLATE('대전도시공사_청년임대주택 현황_20240630'!B802,""ko"",""en"")"),"255")</f>
        <v>255</v>
      </c>
      <c r="C802" s="1" t="str">
        <f ca="1">IFERROR(__xludf.DUMMYFUNCTION("GOOGLETRANSLATE('대전도시공사_청년임대주택 현황_20240630'!C802,""ko"",""en"")"),"1")</f>
        <v>1</v>
      </c>
      <c r="D802" s="1" t="str">
        <f ca="1">IFERROR(__xludf.DUMMYFUNCTION("GOOGLETRANSLATE('대전도시공사_청년임대주택 현황_20240630'!D802,""ko"",""en"")"),"1118")</f>
        <v>1118</v>
      </c>
      <c r="E802" s="1" t="str">
        <f ca="1">IFERROR(__xludf.DUMMYFUNCTION("GOOGLETRANSLATE('대전도시공사_청년임대주택 현황_20240630'!E802,""ko"",""en"")"),"97.512")</f>
        <v>97.512</v>
      </c>
      <c r="F802" s="1" t="str">
        <f ca="1">IFERROR(__xludf.DUMMYFUNCTION("GOOGLETRANSLATE('대전도시공사_청년임대주택 현황_20240630'!F802,""ko"",""en"")"),"33.695")</f>
        <v>33.695</v>
      </c>
      <c r="G802" s="1" t="str">
        <f ca="1">IFERROR(__xludf.DUMMYFUNCTION("GOOGLETRANSLATE('대전도시공사_청년임대주택 현황_20240630'!G802,""ko"",""en"")"),"63.816")</f>
        <v>63.816</v>
      </c>
      <c r="H802" s="1" t="str">
        <f ca="1">IFERROR(__xludf.DUMMYFUNCTION("GOOGLETRANSLATE('대전도시공사_청년임대주택 현황_20240630'!H802,""ko"",""en"")"),"3rd place for youth rental")</f>
        <v>3rd place for youth rental</v>
      </c>
      <c r="I802" s="1" t="str">
        <f ca="1">IFERROR(__xludf.DUMMYFUNCTION("GOOGLETRANSLATE('대전도시공사_청년임대주택 현황_20240630'!I802,""ko"",""en"")"),"2000000")</f>
        <v>2000000</v>
      </c>
      <c r="J802" s="1" t="str">
        <f ca="1">IFERROR(__xludf.DUMMYFUNCTION("GOOGLETRANSLATE('대전도시공사_청년임대주택 현황_20240630'!J802,""ko"",""en"")"),"445300")</f>
        <v>445300</v>
      </c>
    </row>
    <row r="803" spans="1:10" ht="12.5" x14ac:dyDescent="0.25">
      <c r="A803" s="1" t="str">
        <f ca="1">IFERROR(__xludf.DUMMYFUNCTION("GOOGLETRANSLATE('대전도시공사_청년임대주택 현황_20240630'!A803,""ko"",""en"")"),"Goejeong-dong 3-1 (Samyoung Building 2, Youth Rental)")</f>
        <v>Goejeong-dong 3-1 (Samyoung Building 2, Youth Rental)</v>
      </c>
      <c r="B803" s="1" t="str">
        <f ca="1">IFERROR(__xludf.DUMMYFUNCTION("GOOGLETRANSLATE('대전도시공사_청년임대주택 현황_20240630'!B803,""ko"",""en"")"),"4")</f>
        <v>4</v>
      </c>
      <c r="C803" s="1" t="str">
        <f ca="1">IFERROR(__xludf.DUMMYFUNCTION("GOOGLETRANSLATE('대전도시공사_청년임대주택 현황_20240630'!C803,""ko"",""en"")"),"1")</f>
        <v>1</v>
      </c>
      <c r="D803" s="1" t="str">
        <f ca="1">IFERROR(__xludf.DUMMYFUNCTION("GOOGLETRANSLATE('대전도시공사_청년임대주택 현황_20240630'!D803,""ko"",""en"")"),"702")</f>
        <v>702</v>
      </c>
      <c r="E803" s="1" t="str">
        <f ca="1">IFERROR(__xludf.DUMMYFUNCTION("GOOGLETRANSLATE('대전도시공사_청년임대주택 현황_20240630'!E803,""ko"",""en"")"),"64.993")</f>
        <v>64.993</v>
      </c>
      <c r="F803" s="1" t="str">
        <f ca="1">IFERROR(__xludf.DUMMYFUNCTION("GOOGLETRANSLATE('대전도시공사_청년임대주택 현황_20240630'!F803,""ko"",""en"")"),"22.438")</f>
        <v>22.438</v>
      </c>
      <c r="G803" s="1" t="str">
        <f ca="1">IFERROR(__xludf.DUMMYFUNCTION("GOOGLETRANSLATE('대전도시공사_청년임대주택 현황_20240630'!G803,""ko"",""en"")"),"42.554")</f>
        <v>42.554</v>
      </c>
      <c r="H803" s="1" t="str">
        <f ca="1">IFERROR(__xludf.DUMMYFUNCTION("GOOGLETRANSLATE('대전도시공사_청년임대주택 현황_20240630'!H803,""ko"",""en"")"),"Beneficiary")</f>
        <v>Beneficiary</v>
      </c>
      <c r="I803" s="1" t="str">
        <f ca="1">IFERROR(__xludf.DUMMYFUNCTION("GOOGLETRANSLATE('대전도시공사_청년임대주택 현황_20240630'!I803,""ko"",""en"")"),"1000000")</f>
        <v>1000000</v>
      </c>
      <c r="J803" s="1" t="str">
        <f ca="1">IFERROR(__xludf.DUMMYFUNCTION("GOOGLETRANSLATE('대전도시공사_청년임대주택 현황_20240630'!J803,""ko"",""en"")"),"231700")</f>
        <v>231700</v>
      </c>
    </row>
    <row r="804" spans="1:10" ht="12.5" x14ac:dyDescent="0.25">
      <c r="A804" s="1" t="str">
        <f ca="1">IFERROR(__xludf.DUMMYFUNCTION("GOOGLETRANSLATE('대전도시공사_청년임대주택 현황_20240630'!A804,""ko"",""en"")"),"Goejeong-dong 3-1 (Samyoung Building 2, Youth Rental)")</f>
        <v>Goejeong-dong 3-1 (Samyoung Building 2, Youth Rental)</v>
      </c>
      <c r="B804" s="1" t="str">
        <f ca="1">IFERROR(__xludf.DUMMYFUNCTION("GOOGLETRANSLATE('대전도시공사_청년임대주택 현황_20240630'!B804,""ko"",""en"")"),"5")</f>
        <v>5</v>
      </c>
      <c r="C804" s="1" t="str">
        <f ca="1">IFERROR(__xludf.DUMMYFUNCTION("GOOGLETRANSLATE('대전도시공사_청년임대주택 현황_20240630'!C804,""ko"",""en"")"),"1")</f>
        <v>1</v>
      </c>
      <c r="D804" s="1" t="str">
        <f ca="1">IFERROR(__xludf.DUMMYFUNCTION("GOOGLETRANSLATE('대전도시공사_청년임대주택 현황_20240630'!D804,""ko"",""en"")"),"702")</f>
        <v>702</v>
      </c>
      <c r="E804" s="1" t="str">
        <f ca="1">IFERROR(__xludf.DUMMYFUNCTION("GOOGLETRANSLATE('대전도시공사_청년임대주택 현황_20240630'!E804,""ko"",""en"")"),"64.993")</f>
        <v>64.993</v>
      </c>
      <c r="F804" s="1" t="str">
        <f ca="1">IFERROR(__xludf.DUMMYFUNCTION("GOOGLETRANSLATE('대전도시공사_청년임대주택 현황_20240630'!F804,""ko"",""en"")"),"22.438")</f>
        <v>22.438</v>
      </c>
      <c r="G804" s="1" t="str">
        <f ca="1">IFERROR(__xludf.DUMMYFUNCTION("GOOGLETRANSLATE('대전도시공사_청년임대주택 현황_20240630'!G804,""ko"",""en"")"),"42.554")</f>
        <v>42.554</v>
      </c>
      <c r="H804" s="1" t="str">
        <f ca="1">IFERROR(__xludf.DUMMYFUNCTION("GOOGLETRANSLATE('대전도시공사_청년임대주택 현황_20240630'!H804,""ko"",""en"")"),"Youth Rental 2nd Place")</f>
        <v>Youth Rental 2nd Place</v>
      </c>
      <c r="I804" s="1" t="str">
        <f ca="1">IFERROR(__xludf.DUMMYFUNCTION("GOOGLETRANSLATE('대전도시공사_청년임대주택 현황_20240630'!I804,""ko"",""en"")"),"2000000")</f>
        <v>2000000</v>
      </c>
      <c r="J804" s="1" t="str">
        <f ca="1">IFERROR(__xludf.DUMMYFUNCTION("GOOGLETRANSLATE('대전도시공사_청년임대주택 현황_20240630'!J804,""ko"",""en"")"),"285400")</f>
        <v>285400</v>
      </c>
    </row>
    <row r="805" spans="1:10" ht="12.5" x14ac:dyDescent="0.25">
      <c r="A805" s="1" t="str">
        <f ca="1">IFERROR(__xludf.DUMMYFUNCTION("GOOGLETRANSLATE('대전도시공사_청년임대주택 현황_20240630'!A805,""ko"",""en"")"),"Goejeong-dong 3-1 (Samyoung Building 2, Youth Rental)")</f>
        <v>Goejeong-dong 3-1 (Samyoung Building 2, Youth Rental)</v>
      </c>
      <c r="B805" s="1" t="str">
        <f ca="1">IFERROR(__xludf.DUMMYFUNCTION("GOOGLETRANSLATE('대전도시공사_청년임대주택 현황_20240630'!B805,""ko"",""en"")"),"6")</f>
        <v>6</v>
      </c>
      <c r="C805" s="1" t="str">
        <f ca="1">IFERROR(__xludf.DUMMYFUNCTION("GOOGLETRANSLATE('대전도시공사_청년임대주택 현황_20240630'!C805,""ko"",""en"")"),"1")</f>
        <v>1</v>
      </c>
      <c r="D805" s="1" t="str">
        <f ca="1">IFERROR(__xludf.DUMMYFUNCTION("GOOGLETRANSLATE('대전도시공사_청년임대주택 현황_20240630'!D805,""ko"",""en"")"),"702")</f>
        <v>702</v>
      </c>
      <c r="E805" s="1" t="str">
        <f ca="1">IFERROR(__xludf.DUMMYFUNCTION("GOOGLETRANSLATE('대전도시공사_청년임대주택 현황_20240630'!E805,""ko"",""en"")"),"64.993")</f>
        <v>64.993</v>
      </c>
      <c r="F805" s="1" t="str">
        <f ca="1">IFERROR(__xludf.DUMMYFUNCTION("GOOGLETRANSLATE('대전도시공사_청년임대주택 현황_20240630'!F805,""ko"",""en"")"),"22.438")</f>
        <v>22.438</v>
      </c>
      <c r="G805" s="1" t="str">
        <f ca="1">IFERROR(__xludf.DUMMYFUNCTION("GOOGLETRANSLATE('대전도시공사_청년임대주택 현황_20240630'!G805,""ko"",""en"")"),"42.554")</f>
        <v>42.554</v>
      </c>
      <c r="H805" s="1" t="str">
        <f ca="1">IFERROR(__xludf.DUMMYFUNCTION("GOOGLETRANSLATE('대전도시공사_청년임대주택 현황_20240630'!H805,""ko"",""en"")"),"3rd place for youth rental")</f>
        <v>3rd place for youth rental</v>
      </c>
      <c r="I805" s="1" t="str">
        <f ca="1">IFERROR(__xludf.DUMMYFUNCTION("GOOGLETRANSLATE('대전도시공사_청년임대주택 현황_20240630'!I805,""ko"",""en"")"),"2000000")</f>
        <v>2000000</v>
      </c>
      <c r="J805" s="1" t="str">
        <f ca="1">IFERROR(__xludf.DUMMYFUNCTION("GOOGLETRANSLATE('대전도시공사_청년임대주택 현황_20240630'!J805,""ko"",""en"")"),"285400")</f>
        <v>285400</v>
      </c>
    </row>
    <row r="806" spans="1:10" ht="12.5" x14ac:dyDescent="0.25">
      <c r="A806" s="1" t="str">
        <f ca="1">IFERROR(__xludf.DUMMYFUNCTION("GOOGLETRANSLATE('대전도시공사_청년임대주택 현황_20240630'!A806,""ko"",""en"")"),"Goejeong-dong 3-1 (Samyoung Building 2, Youth Rental)")</f>
        <v>Goejeong-dong 3-1 (Samyoung Building 2, Youth Rental)</v>
      </c>
      <c r="B806" s="1" t="str">
        <f ca="1">IFERROR(__xludf.DUMMYFUNCTION("GOOGLETRANSLATE('대전도시공사_청년임대주택 현황_20240630'!B806,""ko"",""en"")"),"7")</f>
        <v>7</v>
      </c>
      <c r="C806" s="1" t="str">
        <f ca="1">IFERROR(__xludf.DUMMYFUNCTION("GOOGLETRANSLATE('대전도시공사_청년임대주택 현황_20240630'!C806,""ko"",""en"")"),"1")</f>
        <v>1</v>
      </c>
      <c r="D806" s="1" t="str">
        <f ca="1">IFERROR(__xludf.DUMMYFUNCTION("GOOGLETRANSLATE('대전도시공사_청년임대주택 현황_20240630'!D806,""ko"",""en"")"),"703")</f>
        <v>703</v>
      </c>
      <c r="E806" s="1" t="str">
        <f ca="1">IFERROR(__xludf.DUMMYFUNCTION("GOOGLETRANSLATE('대전도시공사_청년임대주택 현황_20240630'!E806,""ko"",""en"")"),"64.993")</f>
        <v>64.993</v>
      </c>
      <c r="F806" s="1" t="str">
        <f ca="1">IFERROR(__xludf.DUMMYFUNCTION("GOOGLETRANSLATE('대전도시공사_청년임대주택 현황_20240630'!F806,""ko"",""en"")"),"22.438")</f>
        <v>22.438</v>
      </c>
      <c r="G806" s="1" t="str">
        <f ca="1">IFERROR(__xludf.DUMMYFUNCTION("GOOGLETRANSLATE('대전도시공사_청년임대주택 현황_20240630'!G806,""ko"",""en"")"),"42.554")</f>
        <v>42.554</v>
      </c>
      <c r="H806" s="1" t="str">
        <f ca="1">IFERROR(__xludf.DUMMYFUNCTION("GOOGLETRANSLATE('대전도시공사_청년임대주택 현황_20240630'!H806,""ko"",""en"")"),"Beneficiary")</f>
        <v>Beneficiary</v>
      </c>
      <c r="I806" s="1" t="str">
        <f ca="1">IFERROR(__xludf.DUMMYFUNCTION("GOOGLETRANSLATE('대전도시공사_청년임대주택 현황_20240630'!I806,""ko"",""en"")"),"1000000")</f>
        <v>1000000</v>
      </c>
      <c r="J806" s="1" t="str">
        <f ca="1">IFERROR(__xludf.DUMMYFUNCTION("GOOGLETRANSLATE('대전도시공사_청년임대주택 현황_20240630'!J806,""ko"",""en"")"),"231700")</f>
        <v>231700</v>
      </c>
    </row>
    <row r="807" spans="1:10" ht="12.5" x14ac:dyDescent="0.25">
      <c r="A807" s="1" t="str">
        <f ca="1">IFERROR(__xludf.DUMMYFUNCTION("GOOGLETRANSLATE('대전도시공사_청년임대주택 현황_20240630'!A807,""ko"",""en"")"),"Goejeong-dong 3-1 (Samyoung Building 2, Youth Rental)")</f>
        <v>Goejeong-dong 3-1 (Samyoung Building 2, Youth Rental)</v>
      </c>
      <c r="B807" s="1" t="str">
        <f ca="1">IFERROR(__xludf.DUMMYFUNCTION("GOOGLETRANSLATE('대전도시공사_청년임대주택 현황_20240630'!B807,""ko"",""en"")"),"8")</f>
        <v>8</v>
      </c>
      <c r="C807" s="1" t="str">
        <f ca="1">IFERROR(__xludf.DUMMYFUNCTION("GOOGLETRANSLATE('대전도시공사_청년임대주택 현황_20240630'!C807,""ko"",""en"")"),"1")</f>
        <v>1</v>
      </c>
      <c r="D807" s="1" t="str">
        <f ca="1">IFERROR(__xludf.DUMMYFUNCTION("GOOGLETRANSLATE('대전도시공사_청년임대주택 현황_20240630'!D807,""ko"",""en"")"),"703")</f>
        <v>703</v>
      </c>
      <c r="E807" s="1" t="str">
        <f ca="1">IFERROR(__xludf.DUMMYFUNCTION("GOOGLETRANSLATE('대전도시공사_청년임대주택 현황_20240630'!E807,""ko"",""en"")"),"64.993")</f>
        <v>64.993</v>
      </c>
      <c r="F807" s="1" t="str">
        <f ca="1">IFERROR(__xludf.DUMMYFUNCTION("GOOGLETRANSLATE('대전도시공사_청년임대주택 현황_20240630'!F807,""ko"",""en"")"),"22.438")</f>
        <v>22.438</v>
      </c>
      <c r="G807" s="1" t="str">
        <f ca="1">IFERROR(__xludf.DUMMYFUNCTION("GOOGLETRANSLATE('대전도시공사_청년임대주택 현황_20240630'!G807,""ko"",""en"")"),"42.554")</f>
        <v>42.554</v>
      </c>
      <c r="H807" s="1" t="str">
        <f ca="1">IFERROR(__xludf.DUMMYFUNCTION("GOOGLETRANSLATE('대전도시공사_청년임대주택 현황_20240630'!H807,""ko"",""en"")"),"Youth Rental 2nd Place")</f>
        <v>Youth Rental 2nd Place</v>
      </c>
      <c r="I807" s="1" t="str">
        <f ca="1">IFERROR(__xludf.DUMMYFUNCTION("GOOGLETRANSLATE('대전도시공사_청년임대주택 현황_20240630'!I807,""ko"",""en"")"),"2000000")</f>
        <v>2000000</v>
      </c>
      <c r="J807" s="1" t="str">
        <f ca="1">IFERROR(__xludf.DUMMYFUNCTION("GOOGLETRANSLATE('대전도시공사_청년임대주택 현황_20240630'!J807,""ko"",""en"")"),"285400")</f>
        <v>285400</v>
      </c>
    </row>
    <row r="808" spans="1:10" ht="12.5" x14ac:dyDescent="0.25">
      <c r="A808" s="1" t="str">
        <f ca="1">IFERROR(__xludf.DUMMYFUNCTION("GOOGLETRANSLATE('대전도시공사_청년임대주택 현황_20240630'!A808,""ko"",""en"")"),"Goejeong-dong 3-1 (Samyoung Building 2, Youth Rental)")</f>
        <v>Goejeong-dong 3-1 (Samyoung Building 2, Youth Rental)</v>
      </c>
      <c r="B808" s="1" t="str">
        <f ca="1">IFERROR(__xludf.DUMMYFUNCTION("GOOGLETRANSLATE('대전도시공사_청년임대주택 현황_20240630'!B808,""ko"",""en"")"),"9")</f>
        <v>9</v>
      </c>
      <c r="C808" s="1" t="str">
        <f ca="1">IFERROR(__xludf.DUMMYFUNCTION("GOOGLETRANSLATE('대전도시공사_청년임대주택 현황_20240630'!C808,""ko"",""en"")"),"1")</f>
        <v>1</v>
      </c>
      <c r="D808" s="1" t="str">
        <f ca="1">IFERROR(__xludf.DUMMYFUNCTION("GOOGLETRANSLATE('대전도시공사_청년임대주택 현황_20240630'!D808,""ko"",""en"")"),"703")</f>
        <v>703</v>
      </c>
      <c r="E808" s="1" t="str">
        <f ca="1">IFERROR(__xludf.DUMMYFUNCTION("GOOGLETRANSLATE('대전도시공사_청년임대주택 현황_20240630'!E808,""ko"",""en"")"),"64.993")</f>
        <v>64.993</v>
      </c>
      <c r="F808" s="1" t="str">
        <f ca="1">IFERROR(__xludf.DUMMYFUNCTION("GOOGLETRANSLATE('대전도시공사_청년임대주택 현황_20240630'!F808,""ko"",""en"")"),"22.438")</f>
        <v>22.438</v>
      </c>
      <c r="G808" s="1" t="str">
        <f ca="1">IFERROR(__xludf.DUMMYFUNCTION("GOOGLETRANSLATE('대전도시공사_청년임대주택 현황_20240630'!G808,""ko"",""en"")"),"42.554")</f>
        <v>42.554</v>
      </c>
      <c r="H808" s="1" t="str">
        <f ca="1">IFERROR(__xludf.DUMMYFUNCTION("GOOGLETRANSLATE('대전도시공사_청년임대주택 현황_20240630'!H808,""ko"",""en"")"),"3rd place for youth rental")</f>
        <v>3rd place for youth rental</v>
      </c>
      <c r="I808" s="1" t="str">
        <f ca="1">IFERROR(__xludf.DUMMYFUNCTION("GOOGLETRANSLATE('대전도시공사_청년임대주택 현황_20240630'!I808,""ko"",""en"")"),"2000000")</f>
        <v>2000000</v>
      </c>
      <c r="J808" s="1" t="str">
        <f ca="1">IFERROR(__xludf.DUMMYFUNCTION("GOOGLETRANSLATE('대전도시공사_청년임대주택 현황_20240630'!J808,""ko"",""en"")"),"285400")</f>
        <v>285400</v>
      </c>
    </row>
    <row r="809" spans="1:10" ht="12.5" x14ac:dyDescent="0.25">
      <c r="A809" s="1" t="str">
        <f ca="1">IFERROR(__xludf.DUMMYFUNCTION("GOOGLETRANSLATE('대전도시공사_청년임대주택 현황_20240630'!A809,""ko"",""en"")"),"Goejeong-dong 3-1 (Samyoung Building 2, Youth Rental)")</f>
        <v>Goejeong-dong 3-1 (Samyoung Building 2, Youth Rental)</v>
      </c>
      <c r="B809" s="1" t="str">
        <f ca="1">IFERROR(__xludf.DUMMYFUNCTION("GOOGLETRANSLATE('대전도시공사_청년임대주택 현황_20240630'!B809,""ko"",""en"")"),"10")</f>
        <v>10</v>
      </c>
      <c r="C809" s="1" t="str">
        <f ca="1">IFERROR(__xludf.DUMMYFUNCTION("GOOGLETRANSLATE('대전도시공사_청년임대주택 현황_20240630'!C809,""ko"",""en"")"),"1")</f>
        <v>1</v>
      </c>
      <c r="D809" s="1" t="str">
        <f ca="1">IFERROR(__xludf.DUMMYFUNCTION("GOOGLETRANSLATE('대전도시공사_청년임대주택 현황_20240630'!D809,""ko"",""en"")"),"704")</f>
        <v>704</v>
      </c>
      <c r="E809" s="1" t="str">
        <f ca="1">IFERROR(__xludf.DUMMYFUNCTION("GOOGLETRANSLATE('대전도시공사_청년임대주택 현황_20240630'!E809,""ko"",""en"")"),"64.993")</f>
        <v>64.993</v>
      </c>
      <c r="F809" s="1" t="str">
        <f ca="1">IFERROR(__xludf.DUMMYFUNCTION("GOOGLETRANSLATE('대전도시공사_청년임대주택 현황_20240630'!F809,""ko"",""en"")"),"22.438")</f>
        <v>22.438</v>
      </c>
      <c r="G809" s="1" t="str">
        <f ca="1">IFERROR(__xludf.DUMMYFUNCTION("GOOGLETRANSLATE('대전도시공사_청년임대주택 현황_20240630'!G809,""ko"",""en"")"),"42.554")</f>
        <v>42.554</v>
      </c>
      <c r="H809" s="1" t="str">
        <f ca="1">IFERROR(__xludf.DUMMYFUNCTION("GOOGLETRANSLATE('대전도시공사_청년임대주택 현황_20240630'!H809,""ko"",""en"")"),"Beneficiary")</f>
        <v>Beneficiary</v>
      </c>
      <c r="I809" s="1" t="str">
        <f ca="1">IFERROR(__xludf.DUMMYFUNCTION("GOOGLETRANSLATE('대전도시공사_청년임대주택 현황_20240630'!I809,""ko"",""en"")"),"1000000")</f>
        <v>1000000</v>
      </c>
      <c r="J809" s="1" t="str">
        <f ca="1">IFERROR(__xludf.DUMMYFUNCTION("GOOGLETRANSLATE('대전도시공사_청년임대주택 현황_20240630'!J809,""ko"",""en"")"),"231700")</f>
        <v>231700</v>
      </c>
    </row>
    <row r="810" spans="1:10" ht="12.5" x14ac:dyDescent="0.25">
      <c r="A810" s="1" t="str">
        <f ca="1">IFERROR(__xludf.DUMMYFUNCTION("GOOGLETRANSLATE('대전도시공사_청년임대주택 현황_20240630'!A810,""ko"",""en"")"),"Goejeong-dong 3-1 (Samyoung Building 2, Youth Rental)")</f>
        <v>Goejeong-dong 3-1 (Samyoung Building 2, Youth Rental)</v>
      </c>
      <c r="B810" s="1" t="str">
        <f ca="1">IFERROR(__xludf.DUMMYFUNCTION("GOOGLETRANSLATE('대전도시공사_청년임대주택 현황_20240630'!B810,""ko"",""en"")"),"11")</f>
        <v>11</v>
      </c>
      <c r="C810" s="1" t="str">
        <f ca="1">IFERROR(__xludf.DUMMYFUNCTION("GOOGLETRANSLATE('대전도시공사_청년임대주택 현황_20240630'!C810,""ko"",""en"")"),"1")</f>
        <v>1</v>
      </c>
      <c r="D810" s="1" t="str">
        <f ca="1">IFERROR(__xludf.DUMMYFUNCTION("GOOGLETRANSLATE('대전도시공사_청년임대주택 현황_20240630'!D810,""ko"",""en"")"),"704")</f>
        <v>704</v>
      </c>
      <c r="E810" s="1" t="str">
        <f ca="1">IFERROR(__xludf.DUMMYFUNCTION("GOOGLETRANSLATE('대전도시공사_청년임대주택 현황_20240630'!E810,""ko"",""en"")"),"64.993")</f>
        <v>64.993</v>
      </c>
      <c r="F810" s="1" t="str">
        <f ca="1">IFERROR(__xludf.DUMMYFUNCTION("GOOGLETRANSLATE('대전도시공사_청년임대주택 현황_20240630'!F810,""ko"",""en"")"),"22.438")</f>
        <v>22.438</v>
      </c>
      <c r="G810" s="1" t="str">
        <f ca="1">IFERROR(__xludf.DUMMYFUNCTION("GOOGLETRANSLATE('대전도시공사_청년임대주택 현황_20240630'!G810,""ko"",""en"")"),"42.554")</f>
        <v>42.554</v>
      </c>
      <c r="H810" s="1" t="str">
        <f ca="1">IFERROR(__xludf.DUMMYFUNCTION("GOOGLETRANSLATE('대전도시공사_청년임대주택 현황_20240630'!H810,""ko"",""en"")"),"Youth Rental 2nd Place")</f>
        <v>Youth Rental 2nd Place</v>
      </c>
      <c r="I810" s="1" t="str">
        <f ca="1">IFERROR(__xludf.DUMMYFUNCTION("GOOGLETRANSLATE('대전도시공사_청년임대주택 현황_20240630'!I810,""ko"",""en"")"),"2000000")</f>
        <v>2000000</v>
      </c>
      <c r="J810" s="1" t="str">
        <f ca="1">IFERROR(__xludf.DUMMYFUNCTION("GOOGLETRANSLATE('대전도시공사_청년임대주택 현황_20240630'!J810,""ko"",""en"")"),"285400")</f>
        <v>285400</v>
      </c>
    </row>
    <row r="811" spans="1:10" ht="12.5" x14ac:dyDescent="0.25">
      <c r="A811" s="1" t="str">
        <f ca="1">IFERROR(__xludf.DUMMYFUNCTION("GOOGLETRANSLATE('대전도시공사_청년임대주택 현황_20240630'!A811,""ko"",""en"")"),"Goejeong-dong 3-1 (Samyoung Building 2, Youth Rental)")</f>
        <v>Goejeong-dong 3-1 (Samyoung Building 2, Youth Rental)</v>
      </c>
      <c r="B811" s="1" t="str">
        <f ca="1">IFERROR(__xludf.DUMMYFUNCTION("GOOGLETRANSLATE('대전도시공사_청년임대주택 현황_20240630'!B811,""ko"",""en"")"),"12")</f>
        <v>12</v>
      </c>
      <c r="C811" s="1" t="str">
        <f ca="1">IFERROR(__xludf.DUMMYFUNCTION("GOOGLETRANSLATE('대전도시공사_청년임대주택 현황_20240630'!C811,""ko"",""en"")"),"1")</f>
        <v>1</v>
      </c>
      <c r="D811" s="1" t="str">
        <f ca="1">IFERROR(__xludf.DUMMYFUNCTION("GOOGLETRANSLATE('대전도시공사_청년임대주택 현황_20240630'!D811,""ko"",""en"")"),"704")</f>
        <v>704</v>
      </c>
      <c r="E811" s="1" t="str">
        <f ca="1">IFERROR(__xludf.DUMMYFUNCTION("GOOGLETRANSLATE('대전도시공사_청년임대주택 현황_20240630'!E811,""ko"",""en"")"),"64.993")</f>
        <v>64.993</v>
      </c>
      <c r="F811" s="1" t="str">
        <f ca="1">IFERROR(__xludf.DUMMYFUNCTION("GOOGLETRANSLATE('대전도시공사_청년임대주택 현황_20240630'!F811,""ko"",""en"")"),"22.438")</f>
        <v>22.438</v>
      </c>
      <c r="G811" s="1" t="str">
        <f ca="1">IFERROR(__xludf.DUMMYFUNCTION("GOOGLETRANSLATE('대전도시공사_청년임대주택 현황_20240630'!G811,""ko"",""en"")"),"42.554")</f>
        <v>42.554</v>
      </c>
      <c r="H811" s="1" t="str">
        <f ca="1">IFERROR(__xludf.DUMMYFUNCTION("GOOGLETRANSLATE('대전도시공사_청년임대주택 현황_20240630'!H811,""ko"",""en"")"),"3rd place for youth rental")</f>
        <v>3rd place for youth rental</v>
      </c>
      <c r="I811" s="1" t="str">
        <f ca="1">IFERROR(__xludf.DUMMYFUNCTION("GOOGLETRANSLATE('대전도시공사_청년임대주택 현황_20240630'!I811,""ko"",""en"")"),"2000000")</f>
        <v>2000000</v>
      </c>
      <c r="J811" s="1" t="str">
        <f ca="1">IFERROR(__xludf.DUMMYFUNCTION("GOOGLETRANSLATE('대전도시공사_청년임대주택 현황_20240630'!J811,""ko"",""en"")"),"285400")</f>
        <v>285400</v>
      </c>
    </row>
    <row r="812" spans="1:10" ht="12.5" x14ac:dyDescent="0.25">
      <c r="A812" s="1" t="str">
        <f ca="1">IFERROR(__xludf.DUMMYFUNCTION("GOOGLETRANSLATE('대전도시공사_청년임대주택 현황_20240630'!A812,""ko"",""en"")"),"Goejeong-dong 3-1 (Samyoung Building 2, Youth Rental)")</f>
        <v>Goejeong-dong 3-1 (Samyoung Building 2, Youth Rental)</v>
      </c>
      <c r="B812" s="1" t="str">
        <f ca="1">IFERROR(__xludf.DUMMYFUNCTION("GOOGLETRANSLATE('대전도시공사_청년임대주택 현황_20240630'!B812,""ko"",""en"")"),"13")</f>
        <v>13</v>
      </c>
      <c r="C812" s="1" t="str">
        <f ca="1">IFERROR(__xludf.DUMMYFUNCTION("GOOGLETRANSLATE('대전도시공사_청년임대주택 현황_20240630'!C812,""ko"",""en"")"),"1")</f>
        <v>1</v>
      </c>
      <c r="D812" s="1" t="str">
        <f ca="1">IFERROR(__xludf.DUMMYFUNCTION("GOOGLETRANSLATE('대전도시공사_청년임대주택 현황_20240630'!D812,""ko"",""en"")"),"705")</f>
        <v>705</v>
      </c>
      <c r="E812" s="1" t="str">
        <f ca="1">IFERROR(__xludf.DUMMYFUNCTION("GOOGLETRANSLATE('대전도시공사_청년임대주택 현황_20240630'!E812,""ko"",""en"")"),"64.993")</f>
        <v>64.993</v>
      </c>
      <c r="F812" s="1" t="str">
        <f ca="1">IFERROR(__xludf.DUMMYFUNCTION("GOOGLETRANSLATE('대전도시공사_청년임대주택 현황_20240630'!F812,""ko"",""en"")"),"22.438")</f>
        <v>22.438</v>
      </c>
      <c r="G812" s="1" t="str">
        <f ca="1">IFERROR(__xludf.DUMMYFUNCTION("GOOGLETRANSLATE('대전도시공사_청년임대주택 현황_20240630'!G812,""ko"",""en"")"),"42.554")</f>
        <v>42.554</v>
      </c>
      <c r="H812" s="1" t="str">
        <f ca="1">IFERROR(__xludf.DUMMYFUNCTION("GOOGLETRANSLATE('대전도시공사_청년임대주택 현황_20240630'!H812,""ko"",""en"")"),"Beneficiary")</f>
        <v>Beneficiary</v>
      </c>
      <c r="I812" s="1" t="str">
        <f ca="1">IFERROR(__xludf.DUMMYFUNCTION("GOOGLETRANSLATE('대전도시공사_청년임대주택 현황_20240630'!I812,""ko"",""en"")"),"1000000")</f>
        <v>1000000</v>
      </c>
      <c r="J812" s="1" t="str">
        <f ca="1">IFERROR(__xludf.DUMMYFUNCTION("GOOGLETRANSLATE('대전도시공사_청년임대주택 현황_20240630'!J812,""ko"",""en"")"),"231700")</f>
        <v>231700</v>
      </c>
    </row>
    <row r="813" spans="1:10" ht="12.5" x14ac:dyDescent="0.25">
      <c r="A813" s="1" t="str">
        <f ca="1">IFERROR(__xludf.DUMMYFUNCTION("GOOGLETRANSLATE('대전도시공사_청년임대주택 현황_20240630'!A813,""ko"",""en"")"),"Goejeong-dong 3-1 (Samyoung Building 2, Youth Rental)")</f>
        <v>Goejeong-dong 3-1 (Samyoung Building 2, Youth Rental)</v>
      </c>
      <c r="B813" s="1" t="str">
        <f ca="1">IFERROR(__xludf.DUMMYFUNCTION("GOOGLETRANSLATE('대전도시공사_청년임대주택 현황_20240630'!B813,""ko"",""en"")"),"14")</f>
        <v>14</v>
      </c>
      <c r="C813" s="1" t="str">
        <f ca="1">IFERROR(__xludf.DUMMYFUNCTION("GOOGLETRANSLATE('대전도시공사_청년임대주택 현황_20240630'!C813,""ko"",""en"")"),"1")</f>
        <v>1</v>
      </c>
      <c r="D813" s="1" t="str">
        <f ca="1">IFERROR(__xludf.DUMMYFUNCTION("GOOGLETRANSLATE('대전도시공사_청년임대주택 현황_20240630'!D813,""ko"",""en"")"),"705")</f>
        <v>705</v>
      </c>
      <c r="E813" s="1" t="str">
        <f ca="1">IFERROR(__xludf.DUMMYFUNCTION("GOOGLETRANSLATE('대전도시공사_청년임대주택 현황_20240630'!E813,""ko"",""en"")"),"64.993")</f>
        <v>64.993</v>
      </c>
      <c r="F813" s="1" t="str">
        <f ca="1">IFERROR(__xludf.DUMMYFUNCTION("GOOGLETRANSLATE('대전도시공사_청년임대주택 현황_20240630'!F813,""ko"",""en"")"),"22.438")</f>
        <v>22.438</v>
      </c>
      <c r="G813" s="1" t="str">
        <f ca="1">IFERROR(__xludf.DUMMYFUNCTION("GOOGLETRANSLATE('대전도시공사_청년임대주택 현황_20240630'!G813,""ko"",""en"")"),"42.554")</f>
        <v>42.554</v>
      </c>
      <c r="H813" s="1" t="str">
        <f ca="1">IFERROR(__xludf.DUMMYFUNCTION("GOOGLETRANSLATE('대전도시공사_청년임대주택 현황_20240630'!H813,""ko"",""en"")"),"Youth Rental 2nd Place")</f>
        <v>Youth Rental 2nd Place</v>
      </c>
      <c r="I813" s="1" t="str">
        <f ca="1">IFERROR(__xludf.DUMMYFUNCTION("GOOGLETRANSLATE('대전도시공사_청년임대주택 현황_20240630'!I813,""ko"",""en"")"),"2000000")</f>
        <v>2000000</v>
      </c>
      <c r="J813" s="1" t="str">
        <f ca="1">IFERROR(__xludf.DUMMYFUNCTION("GOOGLETRANSLATE('대전도시공사_청년임대주택 현황_20240630'!J813,""ko"",""en"")"),"285400")</f>
        <v>285400</v>
      </c>
    </row>
    <row r="814" spans="1:10" ht="12.5" x14ac:dyDescent="0.25">
      <c r="A814" s="1" t="str">
        <f ca="1">IFERROR(__xludf.DUMMYFUNCTION("GOOGLETRANSLATE('대전도시공사_청년임대주택 현황_20240630'!A814,""ko"",""en"")"),"Goejeong-dong 3-1 (Samyoung Building 2, Youth Rental)")</f>
        <v>Goejeong-dong 3-1 (Samyoung Building 2, Youth Rental)</v>
      </c>
      <c r="B814" s="1" t="str">
        <f ca="1">IFERROR(__xludf.DUMMYFUNCTION("GOOGLETRANSLATE('대전도시공사_청년임대주택 현황_20240630'!B814,""ko"",""en"")"),"15")</f>
        <v>15</v>
      </c>
      <c r="C814" s="1" t="str">
        <f ca="1">IFERROR(__xludf.DUMMYFUNCTION("GOOGLETRANSLATE('대전도시공사_청년임대주택 현황_20240630'!C814,""ko"",""en"")"),"1")</f>
        <v>1</v>
      </c>
      <c r="D814" s="1" t="str">
        <f ca="1">IFERROR(__xludf.DUMMYFUNCTION("GOOGLETRANSLATE('대전도시공사_청년임대주택 현황_20240630'!D814,""ko"",""en"")"),"705")</f>
        <v>705</v>
      </c>
      <c r="E814" s="1" t="str">
        <f ca="1">IFERROR(__xludf.DUMMYFUNCTION("GOOGLETRANSLATE('대전도시공사_청년임대주택 현황_20240630'!E814,""ko"",""en"")"),"64.993")</f>
        <v>64.993</v>
      </c>
      <c r="F814" s="1" t="str">
        <f ca="1">IFERROR(__xludf.DUMMYFUNCTION("GOOGLETRANSLATE('대전도시공사_청년임대주택 현황_20240630'!F814,""ko"",""en"")"),"22.438")</f>
        <v>22.438</v>
      </c>
      <c r="G814" s="1" t="str">
        <f ca="1">IFERROR(__xludf.DUMMYFUNCTION("GOOGLETRANSLATE('대전도시공사_청년임대주택 현황_20240630'!G814,""ko"",""en"")"),"42.554")</f>
        <v>42.554</v>
      </c>
      <c r="H814" s="1" t="str">
        <f ca="1">IFERROR(__xludf.DUMMYFUNCTION("GOOGLETRANSLATE('대전도시공사_청년임대주택 현황_20240630'!H814,""ko"",""en"")"),"3rd place for youth rental")</f>
        <v>3rd place for youth rental</v>
      </c>
      <c r="I814" s="1" t="str">
        <f ca="1">IFERROR(__xludf.DUMMYFUNCTION("GOOGLETRANSLATE('대전도시공사_청년임대주택 현황_20240630'!I814,""ko"",""en"")"),"2000000")</f>
        <v>2000000</v>
      </c>
      <c r="J814" s="1" t="str">
        <f ca="1">IFERROR(__xludf.DUMMYFUNCTION("GOOGLETRANSLATE('대전도시공사_청년임대주택 현황_20240630'!J814,""ko"",""en"")"),"285400")</f>
        <v>285400</v>
      </c>
    </row>
    <row r="815" spans="1:10" ht="12.5" x14ac:dyDescent="0.25">
      <c r="A815" s="1" t="str">
        <f ca="1">IFERROR(__xludf.DUMMYFUNCTION("GOOGLETRANSLATE('대전도시공사_청년임대주택 현황_20240630'!A815,""ko"",""en"")"),"Goejeong-dong 3-1 (Samyoung Building 2, Youth Rental)")</f>
        <v>Goejeong-dong 3-1 (Samyoung Building 2, Youth Rental)</v>
      </c>
      <c r="B815" s="1" t="str">
        <f ca="1">IFERROR(__xludf.DUMMYFUNCTION("GOOGLETRANSLATE('대전도시공사_청년임대주택 현황_20240630'!B815,""ko"",""en"")"),"16")</f>
        <v>16</v>
      </c>
      <c r="C815" s="1" t="str">
        <f ca="1">IFERROR(__xludf.DUMMYFUNCTION("GOOGLETRANSLATE('대전도시공사_청년임대주택 현황_20240630'!C815,""ko"",""en"")"),"1")</f>
        <v>1</v>
      </c>
      <c r="D815" s="1" t="str">
        <f ca="1">IFERROR(__xludf.DUMMYFUNCTION("GOOGLETRANSLATE('대전도시공사_청년임대주택 현황_20240630'!D815,""ko"",""en"")"),"706")</f>
        <v>706</v>
      </c>
      <c r="E815" s="1" t="str">
        <f ca="1">IFERROR(__xludf.DUMMYFUNCTION("GOOGLETRANSLATE('대전도시공사_청년임대주택 현황_20240630'!E815,""ko"",""en"")"),"64.993")</f>
        <v>64.993</v>
      </c>
      <c r="F815" s="1" t="str">
        <f ca="1">IFERROR(__xludf.DUMMYFUNCTION("GOOGLETRANSLATE('대전도시공사_청년임대주택 현황_20240630'!F815,""ko"",""en"")"),"22.438")</f>
        <v>22.438</v>
      </c>
      <c r="G815" s="1" t="str">
        <f ca="1">IFERROR(__xludf.DUMMYFUNCTION("GOOGLETRANSLATE('대전도시공사_청년임대주택 현황_20240630'!G815,""ko"",""en"")"),"42.554")</f>
        <v>42.554</v>
      </c>
      <c r="H815" s="1" t="str">
        <f ca="1">IFERROR(__xludf.DUMMYFUNCTION("GOOGLETRANSLATE('대전도시공사_청년임대주택 현황_20240630'!H815,""ko"",""en"")"),"Beneficiary")</f>
        <v>Beneficiary</v>
      </c>
      <c r="I815" s="1" t="str">
        <f ca="1">IFERROR(__xludf.DUMMYFUNCTION("GOOGLETRANSLATE('대전도시공사_청년임대주택 현황_20240630'!I815,""ko"",""en"")"),"1000000")</f>
        <v>1000000</v>
      </c>
      <c r="J815" s="1" t="str">
        <f ca="1">IFERROR(__xludf.DUMMYFUNCTION("GOOGLETRANSLATE('대전도시공사_청년임대주택 현황_20240630'!J815,""ko"",""en"")"),"231700")</f>
        <v>231700</v>
      </c>
    </row>
    <row r="816" spans="1:10" ht="12.5" x14ac:dyDescent="0.25">
      <c r="A816" s="1" t="str">
        <f ca="1">IFERROR(__xludf.DUMMYFUNCTION("GOOGLETRANSLATE('대전도시공사_청년임대주택 현황_20240630'!A816,""ko"",""en"")"),"Goejeong-dong 3-1 (Samyoung Building 2, Youth Rental)")</f>
        <v>Goejeong-dong 3-1 (Samyoung Building 2, Youth Rental)</v>
      </c>
      <c r="B816" s="1" t="str">
        <f ca="1">IFERROR(__xludf.DUMMYFUNCTION("GOOGLETRANSLATE('대전도시공사_청년임대주택 현황_20240630'!B816,""ko"",""en"")"),"17")</f>
        <v>17</v>
      </c>
      <c r="C816" s="1" t="str">
        <f ca="1">IFERROR(__xludf.DUMMYFUNCTION("GOOGLETRANSLATE('대전도시공사_청년임대주택 현황_20240630'!C816,""ko"",""en"")"),"1")</f>
        <v>1</v>
      </c>
      <c r="D816" s="1" t="str">
        <f ca="1">IFERROR(__xludf.DUMMYFUNCTION("GOOGLETRANSLATE('대전도시공사_청년임대주택 현황_20240630'!D816,""ko"",""en"")"),"706")</f>
        <v>706</v>
      </c>
      <c r="E816" s="1" t="str">
        <f ca="1">IFERROR(__xludf.DUMMYFUNCTION("GOOGLETRANSLATE('대전도시공사_청년임대주택 현황_20240630'!E816,""ko"",""en"")"),"64.993")</f>
        <v>64.993</v>
      </c>
      <c r="F816" s="1" t="str">
        <f ca="1">IFERROR(__xludf.DUMMYFUNCTION("GOOGLETRANSLATE('대전도시공사_청년임대주택 현황_20240630'!F816,""ko"",""en"")"),"22.438")</f>
        <v>22.438</v>
      </c>
      <c r="G816" s="1" t="str">
        <f ca="1">IFERROR(__xludf.DUMMYFUNCTION("GOOGLETRANSLATE('대전도시공사_청년임대주택 현황_20240630'!G816,""ko"",""en"")"),"42.554")</f>
        <v>42.554</v>
      </c>
      <c r="H816" s="1" t="str">
        <f ca="1">IFERROR(__xludf.DUMMYFUNCTION("GOOGLETRANSLATE('대전도시공사_청년임대주택 현황_20240630'!H816,""ko"",""en"")"),"Youth Rental 2nd Place")</f>
        <v>Youth Rental 2nd Place</v>
      </c>
      <c r="I816" s="1" t="str">
        <f ca="1">IFERROR(__xludf.DUMMYFUNCTION("GOOGLETRANSLATE('대전도시공사_청년임대주택 현황_20240630'!I816,""ko"",""en"")"),"2000000")</f>
        <v>2000000</v>
      </c>
      <c r="J816" s="1" t="str">
        <f ca="1">IFERROR(__xludf.DUMMYFUNCTION("GOOGLETRANSLATE('대전도시공사_청년임대주택 현황_20240630'!J816,""ko"",""en"")"),"285400")</f>
        <v>285400</v>
      </c>
    </row>
    <row r="817" spans="1:10" ht="12.5" x14ac:dyDescent="0.25">
      <c r="A817" s="1" t="str">
        <f ca="1">IFERROR(__xludf.DUMMYFUNCTION("GOOGLETRANSLATE('대전도시공사_청년임대주택 현황_20240630'!A817,""ko"",""en"")"),"Goejeong-dong 3-1 (Samyoung Building 2, Youth Rental)")</f>
        <v>Goejeong-dong 3-1 (Samyoung Building 2, Youth Rental)</v>
      </c>
      <c r="B817" s="1" t="str">
        <f ca="1">IFERROR(__xludf.DUMMYFUNCTION("GOOGLETRANSLATE('대전도시공사_청년임대주택 현황_20240630'!B817,""ko"",""en"")"),"18")</f>
        <v>18</v>
      </c>
      <c r="C817" s="1" t="str">
        <f ca="1">IFERROR(__xludf.DUMMYFUNCTION("GOOGLETRANSLATE('대전도시공사_청년임대주택 현황_20240630'!C817,""ko"",""en"")"),"1")</f>
        <v>1</v>
      </c>
      <c r="D817" s="1" t="str">
        <f ca="1">IFERROR(__xludf.DUMMYFUNCTION("GOOGLETRANSLATE('대전도시공사_청년임대주택 현황_20240630'!D817,""ko"",""en"")"),"706")</f>
        <v>706</v>
      </c>
      <c r="E817" s="1" t="str">
        <f ca="1">IFERROR(__xludf.DUMMYFUNCTION("GOOGLETRANSLATE('대전도시공사_청년임대주택 현황_20240630'!E817,""ko"",""en"")"),"64.993")</f>
        <v>64.993</v>
      </c>
      <c r="F817" s="1" t="str">
        <f ca="1">IFERROR(__xludf.DUMMYFUNCTION("GOOGLETRANSLATE('대전도시공사_청년임대주택 현황_20240630'!F817,""ko"",""en"")"),"22.438")</f>
        <v>22.438</v>
      </c>
      <c r="G817" s="1" t="str">
        <f ca="1">IFERROR(__xludf.DUMMYFUNCTION("GOOGLETRANSLATE('대전도시공사_청년임대주택 현황_20240630'!G817,""ko"",""en"")"),"42.554")</f>
        <v>42.554</v>
      </c>
      <c r="H817" s="1" t="str">
        <f ca="1">IFERROR(__xludf.DUMMYFUNCTION("GOOGLETRANSLATE('대전도시공사_청년임대주택 현황_20240630'!H817,""ko"",""en"")"),"3rd place for youth rental")</f>
        <v>3rd place for youth rental</v>
      </c>
      <c r="I817" s="1" t="str">
        <f ca="1">IFERROR(__xludf.DUMMYFUNCTION("GOOGLETRANSLATE('대전도시공사_청년임대주택 현황_20240630'!I817,""ko"",""en"")"),"2000000")</f>
        <v>2000000</v>
      </c>
      <c r="J817" s="1" t="str">
        <f ca="1">IFERROR(__xludf.DUMMYFUNCTION("GOOGLETRANSLATE('대전도시공사_청년임대주택 현황_20240630'!J817,""ko"",""en"")"),"285400")</f>
        <v>285400</v>
      </c>
    </row>
    <row r="818" spans="1:10" ht="12.5" x14ac:dyDescent="0.25">
      <c r="A818" s="1" t="str">
        <f ca="1">IFERROR(__xludf.DUMMYFUNCTION("GOOGLETRANSLATE('대전도시공사_청년임대주택 현황_20240630'!A818,""ko"",""en"")"),"Goejeong-dong 3-1 (Samyoung Building 2, Youth Rental)")</f>
        <v>Goejeong-dong 3-1 (Samyoung Building 2, Youth Rental)</v>
      </c>
      <c r="B818" s="1" t="str">
        <f ca="1">IFERROR(__xludf.DUMMYFUNCTION("GOOGLETRANSLATE('대전도시공사_청년임대주택 현황_20240630'!B818,""ko"",""en"")"),"19")</f>
        <v>19</v>
      </c>
      <c r="C818" s="1" t="str">
        <f ca="1">IFERROR(__xludf.DUMMYFUNCTION("GOOGLETRANSLATE('대전도시공사_청년임대주택 현황_20240630'!C818,""ko"",""en"")"),"1")</f>
        <v>1</v>
      </c>
      <c r="D818" s="1" t="str">
        <f ca="1">IFERROR(__xludf.DUMMYFUNCTION("GOOGLETRANSLATE('대전도시공사_청년임대주택 현황_20240630'!D818,""ko"",""en"")"),"707")</f>
        <v>707</v>
      </c>
      <c r="E818" s="1" t="str">
        <f ca="1">IFERROR(__xludf.DUMMYFUNCTION("GOOGLETRANSLATE('대전도시공사_청년임대주택 현황_20240630'!E818,""ko"",""en"")"),"64.993")</f>
        <v>64.993</v>
      </c>
      <c r="F818" s="1" t="str">
        <f ca="1">IFERROR(__xludf.DUMMYFUNCTION("GOOGLETRANSLATE('대전도시공사_청년임대주택 현황_20240630'!F818,""ko"",""en"")"),"22.438")</f>
        <v>22.438</v>
      </c>
      <c r="G818" s="1" t="str">
        <f ca="1">IFERROR(__xludf.DUMMYFUNCTION("GOOGLETRANSLATE('대전도시공사_청년임대주택 현황_20240630'!G818,""ko"",""en"")"),"42.554")</f>
        <v>42.554</v>
      </c>
      <c r="H818" s="1" t="str">
        <f ca="1">IFERROR(__xludf.DUMMYFUNCTION("GOOGLETRANSLATE('대전도시공사_청년임대주택 현황_20240630'!H818,""ko"",""en"")"),"Beneficiary")</f>
        <v>Beneficiary</v>
      </c>
      <c r="I818" s="1" t="str">
        <f ca="1">IFERROR(__xludf.DUMMYFUNCTION("GOOGLETRANSLATE('대전도시공사_청년임대주택 현황_20240630'!I818,""ko"",""en"")"),"1000000")</f>
        <v>1000000</v>
      </c>
      <c r="J818" s="1" t="str">
        <f ca="1">IFERROR(__xludf.DUMMYFUNCTION("GOOGLETRANSLATE('대전도시공사_청년임대주택 현황_20240630'!J818,""ko"",""en"")"),"231700")</f>
        <v>231700</v>
      </c>
    </row>
    <row r="819" spans="1:10" ht="12.5" x14ac:dyDescent="0.25">
      <c r="A819" s="1" t="str">
        <f ca="1">IFERROR(__xludf.DUMMYFUNCTION("GOOGLETRANSLATE('대전도시공사_청년임대주택 현황_20240630'!A819,""ko"",""en"")"),"Goejeong-dong 3-1 (Samyoung Building 2, Youth Rental)")</f>
        <v>Goejeong-dong 3-1 (Samyoung Building 2, Youth Rental)</v>
      </c>
      <c r="B819" s="1" t="str">
        <f ca="1">IFERROR(__xludf.DUMMYFUNCTION("GOOGLETRANSLATE('대전도시공사_청년임대주택 현황_20240630'!B819,""ko"",""en"")"),"20")</f>
        <v>20</v>
      </c>
      <c r="C819" s="1" t="str">
        <f ca="1">IFERROR(__xludf.DUMMYFUNCTION("GOOGLETRANSLATE('대전도시공사_청년임대주택 현황_20240630'!C819,""ko"",""en"")"),"1")</f>
        <v>1</v>
      </c>
      <c r="D819" s="1" t="str">
        <f ca="1">IFERROR(__xludf.DUMMYFUNCTION("GOOGLETRANSLATE('대전도시공사_청년임대주택 현황_20240630'!D819,""ko"",""en"")"),"707")</f>
        <v>707</v>
      </c>
      <c r="E819" s="1" t="str">
        <f ca="1">IFERROR(__xludf.DUMMYFUNCTION("GOOGLETRANSLATE('대전도시공사_청년임대주택 현황_20240630'!E819,""ko"",""en"")"),"64.993")</f>
        <v>64.993</v>
      </c>
      <c r="F819" s="1" t="str">
        <f ca="1">IFERROR(__xludf.DUMMYFUNCTION("GOOGLETRANSLATE('대전도시공사_청년임대주택 현황_20240630'!F819,""ko"",""en"")"),"22.438")</f>
        <v>22.438</v>
      </c>
      <c r="G819" s="1" t="str">
        <f ca="1">IFERROR(__xludf.DUMMYFUNCTION("GOOGLETRANSLATE('대전도시공사_청년임대주택 현황_20240630'!G819,""ko"",""en"")"),"42.554")</f>
        <v>42.554</v>
      </c>
      <c r="H819" s="1" t="str">
        <f ca="1">IFERROR(__xludf.DUMMYFUNCTION("GOOGLETRANSLATE('대전도시공사_청년임대주택 현황_20240630'!H819,""ko"",""en"")"),"Youth Rental 2nd Place")</f>
        <v>Youth Rental 2nd Place</v>
      </c>
      <c r="I819" s="1" t="str">
        <f ca="1">IFERROR(__xludf.DUMMYFUNCTION("GOOGLETRANSLATE('대전도시공사_청년임대주택 현황_20240630'!I819,""ko"",""en"")"),"2000000")</f>
        <v>2000000</v>
      </c>
      <c r="J819" s="1" t="str">
        <f ca="1">IFERROR(__xludf.DUMMYFUNCTION("GOOGLETRANSLATE('대전도시공사_청년임대주택 현황_20240630'!J819,""ko"",""en"")"),"285400")</f>
        <v>285400</v>
      </c>
    </row>
    <row r="820" spans="1:10" ht="12.5" x14ac:dyDescent="0.25">
      <c r="A820" s="1" t="str">
        <f ca="1">IFERROR(__xludf.DUMMYFUNCTION("GOOGLETRANSLATE('대전도시공사_청년임대주택 현황_20240630'!A820,""ko"",""en"")"),"Goejeong-dong 3-1 (Samyoung Building 2, Youth Rental)")</f>
        <v>Goejeong-dong 3-1 (Samyoung Building 2, Youth Rental)</v>
      </c>
      <c r="B820" s="1" t="str">
        <f ca="1">IFERROR(__xludf.DUMMYFUNCTION("GOOGLETRANSLATE('대전도시공사_청년임대주택 현황_20240630'!B820,""ko"",""en"")"),"21")</f>
        <v>21</v>
      </c>
      <c r="C820" s="1" t="str">
        <f ca="1">IFERROR(__xludf.DUMMYFUNCTION("GOOGLETRANSLATE('대전도시공사_청년임대주택 현황_20240630'!C820,""ko"",""en"")"),"1")</f>
        <v>1</v>
      </c>
      <c r="D820" s="1" t="str">
        <f ca="1">IFERROR(__xludf.DUMMYFUNCTION("GOOGLETRANSLATE('대전도시공사_청년임대주택 현황_20240630'!D820,""ko"",""en"")"),"707")</f>
        <v>707</v>
      </c>
      <c r="E820" s="1" t="str">
        <f ca="1">IFERROR(__xludf.DUMMYFUNCTION("GOOGLETRANSLATE('대전도시공사_청년임대주택 현황_20240630'!E820,""ko"",""en"")"),"64.993")</f>
        <v>64.993</v>
      </c>
      <c r="F820" s="1" t="str">
        <f ca="1">IFERROR(__xludf.DUMMYFUNCTION("GOOGLETRANSLATE('대전도시공사_청년임대주택 현황_20240630'!F820,""ko"",""en"")"),"22.438")</f>
        <v>22.438</v>
      </c>
      <c r="G820" s="1" t="str">
        <f ca="1">IFERROR(__xludf.DUMMYFUNCTION("GOOGLETRANSLATE('대전도시공사_청년임대주택 현황_20240630'!G820,""ko"",""en"")"),"42.554")</f>
        <v>42.554</v>
      </c>
      <c r="H820" s="1" t="str">
        <f ca="1">IFERROR(__xludf.DUMMYFUNCTION("GOOGLETRANSLATE('대전도시공사_청년임대주택 현황_20240630'!H820,""ko"",""en"")"),"3rd place for youth rental")</f>
        <v>3rd place for youth rental</v>
      </c>
      <c r="I820" s="1" t="str">
        <f ca="1">IFERROR(__xludf.DUMMYFUNCTION("GOOGLETRANSLATE('대전도시공사_청년임대주택 현황_20240630'!I820,""ko"",""en"")"),"2000000")</f>
        <v>2000000</v>
      </c>
      <c r="J820" s="1" t="str">
        <f ca="1">IFERROR(__xludf.DUMMYFUNCTION("GOOGLETRANSLATE('대전도시공사_청년임대주택 현황_20240630'!J820,""ko"",""en"")"),"285400")</f>
        <v>285400</v>
      </c>
    </row>
    <row r="821" spans="1:10" ht="12.5" x14ac:dyDescent="0.25">
      <c r="A821" s="1" t="str">
        <f ca="1">IFERROR(__xludf.DUMMYFUNCTION("GOOGLETRANSLATE('대전도시공사_청년임대주택 현황_20240630'!A821,""ko"",""en"")"),"Goejeong-dong 3-1 (Samyoung Building 2, Youth Rental)")</f>
        <v>Goejeong-dong 3-1 (Samyoung Building 2, Youth Rental)</v>
      </c>
      <c r="B821" s="1" t="str">
        <f ca="1">IFERROR(__xludf.DUMMYFUNCTION("GOOGLETRANSLATE('대전도시공사_청년임대주택 현황_20240630'!B821,""ko"",""en"")"),"22")</f>
        <v>22</v>
      </c>
      <c r="C821" s="1" t="str">
        <f ca="1">IFERROR(__xludf.DUMMYFUNCTION("GOOGLETRANSLATE('대전도시공사_청년임대주택 현황_20240630'!C821,""ko"",""en"")"),"1")</f>
        <v>1</v>
      </c>
      <c r="D821" s="1" t="str">
        <f ca="1">IFERROR(__xludf.DUMMYFUNCTION("GOOGLETRANSLATE('대전도시공사_청년임대주택 현황_20240630'!D821,""ko"",""en"")"),"708")</f>
        <v>708</v>
      </c>
      <c r="E821" s="1" t="str">
        <f ca="1">IFERROR(__xludf.DUMMYFUNCTION("GOOGLETRANSLATE('대전도시공사_청년임대주택 현황_20240630'!E821,""ko"",""en"")"),"64.993")</f>
        <v>64.993</v>
      </c>
      <c r="F821" s="1" t="str">
        <f ca="1">IFERROR(__xludf.DUMMYFUNCTION("GOOGLETRANSLATE('대전도시공사_청년임대주택 현황_20240630'!F821,""ko"",""en"")"),"22.438")</f>
        <v>22.438</v>
      </c>
      <c r="G821" s="1" t="str">
        <f ca="1">IFERROR(__xludf.DUMMYFUNCTION("GOOGLETRANSLATE('대전도시공사_청년임대주택 현황_20240630'!G821,""ko"",""en"")"),"42.554")</f>
        <v>42.554</v>
      </c>
      <c r="H821" s="1" t="str">
        <f ca="1">IFERROR(__xludf.DUMMYFUNCTION("GOOGLETRANSLATE('대전도시공사_청년임대주택 현황_20240630'!H821,""ko"",""en"")"),"Beneficiary")</f>
        <v>Beneficiary</v>
      </c>
      <c r="I821" s="1" t="str">
        <f ca="1">IFERROR(__xludf.DUMMYFUNCTION("GOOGLETRANSLATE('대전도시공사_청년임대주택 현황_20240630'!I821,""ko"",""en"")"),"1000000")</f>
        <v>1000000</v>
      </c>
      <c r="J821" s="1" t="str">
        <f ca="1">IFERROR(__xludf.DUMMYFUNCTION("GOOGLETRANSLATE('대전도시공사_청년임대주택 현황_20240630'!J821,""ko"",""en"")"),"231700")</f>
        <v>231700</v>
      </c>
    </row>
    <row r="822" spans="1:10" ht="12.5" x14ac:dyDescent="0.25">
      <c r="A822" s="1" t="str">
        <f ca="1">IFERROR(__xludf.DUMMYFUNCTION("GOOGLETRANSLATE('대전도시공사_청년임대주택 현황_20240630'!A822,""ko"",""en"")"),"Goejeong-dong 3-1 (Samyoung Building 2, Youth Rental)")</f>
        <v>Goejeong-dong 3-1 (Samyoung Building 2, Youth Rental)</v>
      </c>
      <c r="B822" s="1" t="str">
        <f ca="1">IFERROR(__xludf.DUMMYFUNCTION("GOOGLETRANSLATE('대전도시공사_청년임대주택 현황_20240630'!B822,""ko"",""en"")"),"23")</f>
        <v>23</v>
      </c>
      <c r="C822" s="1" t="str">
        <f ca="1">IFERROR(__xludf.DUMMYFUNCTION("GOOGLETRANSLATE('대전도시공사_청년임대주택 현황_20240630'!C822,""ko"",""en"")"),"1")</f>
        <v>1</v>
      </c>
      <c r="D822" s="1" t="str">
        <f ca="1">IFERROR(__xludf.DUMMYFUNCTION("GOOGLETRANSLATE('대전도시공사_청년임대주택 현황_20240630'!D822,""ko"",""en"")"),"708")</f>
        <v>708</v>
      </c>
      <c r="E822" s="1" t="str">
        <f ca="1">IFERROR(__xludf.DUMMYFUNCTION("GOOGLETRANSLATE('대전도시공사_청년임대주택 현황_20240630'!E822,""ko"",""en"")"),"64.993")</f>
        <v>64.993</v>
      </c>
      <c r="F822" s="1" t="str">
        <f ca="1">IFERROR(__xludf.DUMMYFUNCTION("GOOGLETRANSLATE('대전도시공사_청년임대주택 현황_20240630'!F822,""ko"",""en"")"),"22.438")</f>
        <v>22.438</v>
      </c>
      <c r="G822" s="1" t="str">
        <f ca="1">IFERROR(__xludf.DUMMYFUNCTION("GOOGLETRANSLATE('대전도시공사_청년임대주택 현황_20240630'!G822,""ko"",""en"")"),"42.554")</f>
        <v>42.554</v>
      </c>
      <c r="H822" s="1" t="str">
        <f ca="1">IFERROR(__xludf.DUMMYFUNCTION("GOOGLETRANSLATE('대전도시공사_청년임대주택 현황_20240630'!H822,""ko"",""en"")"),"Youth Rental 2nd Place")</f>
        <v>Youth Rental 2nd Place</v>
      </c>
      <c r="I822" s="1" t="str">
        <f ca="1">IFERROR(__xludf.DUMMYFUNCTION("GOOGLETRANSLATE('대전도시공사_청년임대주택 현황_20240630'!I822,""ko"",""en"")"),"2000000")</f>
        <v>2000000</v>
      </c>
      <c r="J822" s="1" t="str">
        <f ca="1">IFERROR(__xludf.DUMMYFUNCTION("GOOGLETRANSLATE('대전도시공사_청년임대주택 현황_20240630'!J822,""ko"",""en"")"),"285400")</f>
        <v>285400</v>
      </c>
    </row>
    <row r="823" spans="1:10" ht="12.5" x14ac:dyDescent="0.25">
      <c r="A823" s="1" t="str">
        <f ca="1">IFERROR(__xludf.DUMMYFUNCTION("GOOGLETRANSLATE('대전도시공사_청년임대주택 현황_20240630'!A823,""ko"",""en"")"),"Goejeong-dong 3-1 (Samyoung Building 2, Youth Rental)")</f>
        <v>Goejeong-dong 3-1 (Samyoung Building 2, Youth Rental)</v>
      </c>
      <c r="B823" s="1" t="str">
        <f ca="1">IFERROR(__xludf.DUMMYFUNCTION("GOOGLETRANSLATE('대전도시공사_청년임대주택 현황_20240630'!B823,""ko"",""en"")"),"24")</f>
        <v>24</v>
      </c>
      <c r="C823" s="1" t="str">
        <f ca="1">IFERROR(__xludf.DUMMYFUNCTION("GOOGLETRANSLATE('대전도시공사_청년임대주택 현황_20240630'!C823,""ko"",""en"")"),"1")</f>
        <v>1</v>
      </c>
      <c r="D823" s="1" t="str">
        <f ca="1">IFERROR(__xludf.DUMMYFUNCTION("GOOGLETRANSLATE('대전도시공사_청년임대주택 현황_20240630'!D823,""ko"",""en"")"),"708")</f>
        <v>708</v>
      </c>
      <c r="E823" s="1" t="str">
        <f ca="1">IFERROR(__xludf.DUMMYFUNCTION("GOOGLETRANSLATE('대전도시공사_청년임대주택 현황_20240630'!E823,""ko"",""en"")"),"64.993")</f>
        <v>64.993</v>
      </c>
      <c r="F823" s="1" t="str">
        <f ca="1">IFERROR(__xludf.DUMMYFUNCTION("GOOGLETRANSLATE('대전도시공사_청년임대주택 현황_20240630'!F823,""ko"",""en"")"),"22.438")</f>
        <v>22.438</v>
      </c>
      <c r="G823" s="1" t="str">
        <f ca="1">IFERROR(__xludf.DUMMYFUNCTION("GOOGLETRANSLATE('대전도시공사_청년임대주택 현황_20240630'!G823,""ko"",""en"")"),"42.554")</f>
        <v>42.554</v>
      </c>
      <c r="H823" s="1" t="str">
        <f ca="1">IFERROR(__xludf.DUMMYFUNCTION("GOOGLETRANSLATE('대전도시공사_청년임대주택 현황_20240630'!H823,""ko"",""en"")"),"3rd place for youth rental")</f>
        <v>3rd place for youth rental</v>
      </c>
      <c r="I823" s="1" t="str">
        <f ca="1">IFERROR(__xludf.DUMMYFUNCTION("GOOGLETRANSLATE('대전도시공사_청년임대주택 현황_20240630'!I823,""ko"",""en"")"),"2000000")</f>
        <v>2000000</v>
      </c>
      <c r="J823" s="1" t="str">
        <f ca="1">IFERROR(__xludf.DUMMYFUNCTION("GOOGLETRANSLATE('대전도시공사_청년임대주택 현황_20240630'!J823,""ko"",""en"")"),"285400")</f>
        <v>285400</v>
      </c>
    </row>
    <row r="824" spans="1:10" ht="12.5" x14ac:dyDescent="0.25">
      <c r="A824" s="1" t="str">
        <f ca="1">IFERROR(__xludf.DUMMYFUNCTION("GOOGLETRANSLATE('대전도시공사_청년임대주택 현황_20240630'!A824,""ko"",""en"")"),"Goejeong-dong 3-1 (Samyoung Building 2, Youth Rental)")</f>
        <v>Goejeong-dong 3-1 (Samyoung Building 2, Youth Rental)</v>
      </c>
      <c r="B824" s="1" t="str">
        <f ca="1">IFERROR(__xludf.DUMMYFUNCTION("GOOGLETRANSLATE('대전도시공사_청년임대주택 현황_20240630'!B824,""ko"",""en"")"),"25")</f>
        <v>25</v>
      </c>
      <c r="C824" s="1" t="str">
        <f ca="1">IFERROR(__xludf.DUMMYFUNCTION("GOOGLETRANSLATE('대전도시공사_청년임대주택 현황_20240630'!C824,""ko"",""en"")"),"1")</f>
        <v>1</v>
      </c>
      <c r="D824" s="1" t="str">
        <f ca="1">IFERROR(__xludf.DUMMYFUNCTION("GOOGLETRANSLATE('대전도시공사_청년임대주택 현황_20240630'!D824,""ko"",""en"")"),"709")</f>
        <v>709</v>
      </c>
      <c r="E824" s="1" t="str">
        <f ca="1">IFERROR(__xludf.DUMMYFUNCTION("GOOGLETRANSLATE('대전도시공사_청년임대주택 현황_20240630'!E824,""ko"",""en"")"),"64.993")</f>
        <v>64.993</v>
      </c>
      <c r="F824" s="1" t="str">
        <f ca="1">IFERROR(__xludf.DUMMYFUNCTION("GOOGLETRANSLATE('대전도시공사_청년임대주택 현황_20240630'!F824,""ko"",""en"")"),"22.438")</f>
        <v>22.438</v>
      </c>
      <c r="G824" s="1" t="str">
        <f ca="1">IFERROR(__xludf.DUMMYFUNCTION("GOOGLETRANSLATE('대전도시공사_청년임대주택 현황_20240630'!G824,""ko"",""en"")"),"42.554")</f>
        <v>42.554</v>
      </c>
      <c r="H824" s="1" t="str">
        <f ca="1">IFERROR(__xludf.DUMMYFUNCTION("GOOGLETRANSLATE('대전도시공사_청년임대주택 현황_20240630'!H824,""ko"",""en"")"),"Beneficiary")</f>
        <v>Beneficiary</v>
      </c>
      <c r="I824" s="1" t="str">
        <f ca="1">IFERROR(__xludf.DUMMYFUNCTION("GOOGLETRANSLATE('대전도시공사_청년임대주택 현황_20240630'!I824,""ko"",""en"")"),"1000000")</f>
        <v>1000000</v>
      </c>
      <c r="J824" s="1" t="str">
        <f ca="1">IFERROR(__xludf.DUMMYFUNCTION("GOOGLETRANSLATE('대전도시공사_청년임대주택 현황_20240630'!J824,""ko"",""en"")"),"231700")</f>
        <v>231700</v>
      </c>
    </row>
    <row r="825" spans="1:10" ht="12.5" x14ac:dyDescent="0.25">
      <c r="A825" s="1" t="str">
        <f ca="1">IFERROR(__xludf.DUMMYFUNCTION("GOOGLETRANSLATE('대전도시공사_청년임대주택 현황_20240630'!A825,""ko"",""en"")"),"Goejeong-dong 3-1 (Samyoung Building 2, Youth Rental)")</f>
        <v>Goejeong-dong 3-1 (Samyoung Building 2, Youth Rental)</v>
      </c>
      <c r="B825" s="1" t="str">
        <f ca="1">IFERROR(__xludf.DUMMYFUNCTION("GOOGLETRANSLATE('대전도시공사_청년임대주택 현황_20240630'!B825,""ko"",""en"")"),"26")</f>
        <v>26</v>
      </c>
      <c r="C825" s="1" t="str">
        <f ca="1">IFERROR(__xludf.DUMMYFUNCTION("GOOGLETRANSLATE('대전도시공사_청년임대주택 현황_20240630'!C825,""ko"",""en"")"),"1")</f>
        <v>1</v>
      </c>
      <c r="D825" s="1" t="str">
        <f ca="1">IFERROR(__xludf.DUMMYFUNCTION("GOOGLETRANSLATE('대전도시공사_청년임대주택 현황_20240630'!D825,""ko"",""en"")"),"709")</f>
        <v>709</v>
      </c>
      <c r="E825" s="1" t="str">
        <f ca="1">IFERROR(__xludf.DUMMYFUNCTION("GOOGLETRANSLATE('대전도시공사_청년임대주택 현황_20240630'!E825,""ko"",""en"")"),"64.993")</f>
        <v>64.993</v>
      </c>
      <c r="F825" s="1" t="str">
        <f ca="1">IFERROR(__xludf.DUMMYFUNCTION("GOOGLETRANSLATE('대전도시공사_청년임대주택 현황_20240630'!F825,""ko"",""en"")"),"22.438")</f>
        <v>22.438</v>
      </c>
      <c r="G825" s="1" t="str">
        <f ca="1">IFERROR(__xludf.DUMMYFUNCTION("GOOGLETRANSLATE('대전도시공사_청년임대주택 현황_20240630'!G825,""ko"",""en"")"),"42.554")</f>
        <v>42.554</v>
      </c>
      <c r="H825" s="1" t="str">
        <f ca="1">IFERROR(__xludf.DUMMYFUNCTION("GOOGLETRANSLATE('대전도시공사_청년임대주택 현황_20240630'!H825,""ko"",""en"")"),"Youth Rental 2nd Place")</f>
        <v>Youth Rental 2nd Place</v>
      </c>
      <c r="I825" s="1" t="str">
        <f ca="1">IFERROR(__xludf.DUMMYFUNCTION("GOOGLETRANSLATE('대전도시공사_청년임대주택 현황_20240630'!I825,""ko"",""en"")"),"2000000")</f>
        <v>2000000</v>
      </c>
      <c r="J825" s="1" t="str">
        <f ca="1">IFERROR(__xludf.DUMMYFUNCTION("GOOGLETRANSLATE('대전도시공사_청년임대주택 현황_20240630'!J825,""ko"",""en"")"),"285400")</f>
        <v>285400</v>
      </c>
    </row>
    <row r="826" spans="1:10" ht="12.5" x14ac:dyDescent="0.25">
      <c r="A826" s="1" t="str">
        <f ca="1">IFERROR(__xludf.DUMMYFUNCTION("GOOGLETRANSLATE('대전도시공사_청년임대주택 현황_20240630'!A826,""ko"",""en"")"),"Goejeong-dong 3-1 (Samyoung Building 2, Youth Rental)")</f>
        <v>Goejeong-dong 3-1 (Samyoung Building 2, Youth Rental)</v>
      </c>
      <c r="B826" s="1" t="str">
        <f ca="1">IFERROR(__xludf.DUMMYFUNCTION("GOOGLETRANSLATE('대전도시공사_청년임대주택 현황_20240630'!B826,""ko"",""en"")"),"27")</f>
        <v>27</v>
      </c>
      <c r="C826" s="1" t="str">
        <f ca="1">IFERROR(__xludf.DUMMYFUNCTION("GOOGLETRANSLATE('대전도시공사_청년임대주택 현황_20240630'!C826,""ko"",""en"")"),"1")</f>
        <v>1</v>
      </c>
      <c r="D826" s="1" t="str">
        <f ca="1">IFERROR(__xludf.DUMMYFUNCTION("GOOGLETRANSLATE('대전도시공사_청년임대주택 현황_20240630'!D826,""ko"",""en"")"),"709")</f>
        <v>709</v>
      </c>
      <c r="E826" s="1" t="str">
        <f ca="1">IFERROR(__xludf.DUMMYFUNCTION("GOOGLETRANSLATE('대전도시공사_청년임대주택 현황_20240630'!E826,""ko"",""en"")"),"64.993")</f>
        <v>64.993</v>
      </c>
      <c r="F826" s="1" t="str">
        <f ca="1">IFERROR(__xludf.DUMMYFUNCTION("GOOGLETRANSLATE('대전도시공사_청년임대주택 현황_20240630'!F826,""ko"",""en"")"),"22.438")</f>
        <v>22.438</v>
      </c>
      <c r="G826" s="1" t="str">
        <f ca="1">IFERROR(__xludf.DUMMYFUNCTION("GOOGLETRANSLATE('대전도시공사_청년임대주택 현황_20240630'!G826,""ko"",""en"")"),"42.554")</f>
        <v>42.554</v>
      </c>
      <c r="H826" s="1" t="str">
        <f ca="1">IFERROR(__xludf.DUMMYFUNCTION("GOOGLETRANSLATE('대전도시공사_청년임대주택 현황_20240630'!H826,""ko"",""en"")"),"3rd place for youth rental")</f>
        <v>3rd place for youth rental</v>
      </c>
      <c r="I826" s="1" t="str">
        <f ca="1">IFERROR(__xludf.DUMMYFUNCTION("GOOGLETRANSLATE('대전도시공사_청년임대주택 현황_20240630'!I826,""ko"",""en"")"),"2000000")</f>
        <v>2000000</v>
      </c>
      <c r="J826" s="1" t="str">
        <f ca="1">IFERROR(__xludf.DUMMYFUNCTION("GOOGLETRANSLATE('대전도시공사_청년임대주택 현황_20240630'!J826,""ko"",""en"")"),"285400")</f>
        <v>285400</v>
      </c>
    </row>
    <row r="827" spans="1:10" ht="12.5" x14ac:dyDescent="0.25">
      <c r="A827" s="1" t="str">
        <f ca="1">IFERROR(__xludf.DUMMYFUNCTION("GOOGLETRANSLATE('대전도시공사_청년임대주택 현황_20240630'!A827,""ko"",""en"")"),"Goejeong-dong 3-1 (Samyoung Building 2, Youth Rental)")</f>
        <v>Goejeong-dong 3-1 (Samyoung Building 2, Youth Rental)</v>
      </c>
      <c r="B827" s="1" t="str">
        <f ca="1">IFERROR(__xludf.DUMMYFUNCTION("GOOGLETRANSLATE('대전도시공사_청년임대주택 현황_20240630'!B827,""ko"",""en"")"),"28")</f>
        <v>28</v>
      </c>
      <c r="C827" s="1" t="str">
        <f ca="1">IFERROR(__xludf.DUMMYFUNCTION("GOOGLETRANSLATE('대전도시공사_청년임대주택 현황_20240630'!C827,""ko"",""en"")"),"1")</f>
        <v>1</v>
      </c>
      <c r="D827" s="1" t="str">
        <f ca="1">IFERROR(__xludf.DUMMYFUNCTION("GOOGLETRANSLATE('대전도시공사_청년임대주택 현황_20240630'!D827,""ko"",""en"")"),"710")</f>
        <v>710</v>
      </c>
      <c r="E827" s="1" t="str">
        <f ca="1">IFERROR(__xludf.DUMMYFUNCTION("GOOGLETRANSLATE('대전도시공사_청년임대주택 현황_20240630'!E827,""ko"",""en"")"),"64.993")</f>
        <v>64.993</v>
      </c>
      <c r="F827" s="1" t="str">
        <f ca="1">IFERROR(__xludf.DUMMYFUNCTION("GOOGLETRANSLATE('대전도시공사_청년임대주택 현황_20240630'!F827,""ko"",""en"")"),"22.438")</f>
        <v>22.438</v>
      </c>
      <c r="G827" s="1" t="str">
        <f ca="1">IFERROR(__xludf.DUMMYFUNCTION("GOOGLETRANSLATE('대전도시공사_청년임대주택 현황_20240630'!G827,""ko"",""en"")"),"42.554")</f>
        <v>42.554</v>
      </c>
      <c r="H827" s="1" t="str">
        <f ca="1">IFERROR(__xludf.DUMMYFUNCTION("GOOGLETRANSLATE('대전도시공사_청년임대주택 현황_20240630'!H827,""ko"",""en"")"),"Beneficiary")</f>
        <v>Beneficiary</v>
      </c>
      <c r="I827" s="1" t="str">
        <f ca="1">IFERROR(__xludf.DUMMYFUNCTION("GOOGLETRANSLATE('대전도시공사_청년임대주택 현황_20240630'!I827,""ko"",""en"")"),"1000000")</f>
        <v>1000000</v>
      </c>
      <c r="J827" s="1" t="str">
        <f ca="1">IFERROR(__xludf.DUMMYFUNCTION("GOOGLETRANSLATE('대전도시공사_청년임대주택 현황_20240630'!J827,""ko"",""en"")"),"236400")</f>
        <v>236400</v>
      </c>
    </row>
    <row r="828" spans="1:10" ht="12.5" x14ac:dyDescent="0.25">
      <c r="A828" s="1" t="str">
        <f ca="1">IFERROR(__xludf.DUMMYFUNCTION("GOOGLETRANSLATE('대전도시공사_청년임대주택 현황_20240630'!A828,""ko"",""en"")"),"Goejeong-dong 3-1 (Samyoung Building 2, Youth Rental)")</f>
        <v>Goejeong-dong 3-1 (Samyoung Building 2, Youth Rental)</v>
      </c>
      <c r="B828" s="1" t="str">
        <f ca="1">IFERROR(__xludf.DUMMYFUNCTION("GOOGLETRANSLATE('대전도시공사_청년임대주택 현황_20240630'!B828,""ko"",""en"")"),"29")</f>
        <v>29</v>
      </c>
      <c r="C828" s="1" t="str">
        <f ca="1">IFERROR(__xludf.DUMMYFUNCTION("GOOGLETRANSLATE('대전도시공사_청년임대주택 현황_20240630'!C828,""ko"",""en"")"),"1")</f>
        <v>1</v>
      </c>
      <c r="D828" s="1" t="str">
        <f ca="1">IFERROR(__xludf.DUMMYFUNCTION("GOOGLETRANSLATE('대전도시공사_청년임대주택 현황_20240630'!D828,""ko"",""en"")"),"710")</f>
        <v>710</v>
      </c>
      <c r="E828" s="1" t="str">
        <f ca="1">IFERROR(__xludf.DUMMYFUNCTION("GOOGLETRANSLATE('대전도시공사_청년임대주택 현황_20240630'!E828,""ko"",""en"")"),"64.993")</f>
        <v>64.993</v>
      </c>
      <c r="F828" s="1" t="str">
        <f ca="1">IFERROR(__xludf.DUMMYFUNCTION("GOOGLETRANSLATE('대전도시공사_청년임대주택 현황_20240630'!F828,""ko"",""en"")"),"22.438")</f>
        <v>22.438</v>
      </c>
      <c r="G828" s="1" t="str">
        <f ca="1">IFERROR(__xludf.DUMMYFUNCTION("GOOGLETRANSLATE('대전도시공사_청년임대주택 현황_20240630'!G828,""ko"",""en"")"),"42.554")</f>
        <v>42.554</v>
      </c>
      <c r="H828" s="1" t="str">
        <f ca="1">IFERROR(__xludf.DUMMYFUNCTION("GOOGLETRANSLATE('대전도시공사_청년임대주택 현황_20240630'!H828,""ko"",""en"")"),"Youth Rental 2nd Place")</f>
        <v>Youth Rental 2nd Place</v>
      </c>
      <c r="I828" s="1" t="str">
        <f ca="1">IFERROR(__xludf.DUMMYFUNCTION("GOOGLETRANSLATE('대전도시공사_청년임대주택 현황_20240630'!I828,""ko"",""en"")"),"2000000")</f>
        <v>2000000</v>
      </c>
      <c r="J828" s="1" t="str">
        <f ca="1">IFERROR(__xludf.DUMMYFUNCTION("GOOGLETRANSLATE('대전도시공사_청년임대주택 현황_20240630'!J828,""ko"",""en"")"),"291300")</f>
        <v>291300</v>
      </c>
    </row>
    <row r="829" spans="1:10" ht="12.5" x14ac:dyDescent="0.25">
      <c r="A829" s="1" t="str">
        <f ca="1">IFERROR(__xludf.DUMMYFUNCTION("GOOGLETRANSLATE('대전도시공사_청년임대주택 현황_20240630'!A829,""ko"",""en"")"),"Goejeong-dong 3-1 (Samyoung Building 2, Youth Rental)")</f>
        <v>Goejeong-dong 3-1 (Samyoung Building 2, Youth Rental)</v>
      </c>
      <c r="B829" s="1" t="str">
        <f ca="1">IFERROR(__xludf.DUMMYFUNCTION("GOOGLETRANSLATE('대전도시공사_청년임대주택 현황_20240630'!B829,""ko"",""en"")"),"30")</f>
        <v>30</v>
      </c>
      <c r="C829" s="1" t="str">
        <f ca="1">IFERROR(__xludf.DUMMYFUNCTION("GOOGLETRANSLATE('대전도시공사_청년임대주택 현황_20240630'!C829,""ko"",""en"")"),"1")</f>
        <v>1</v>
      </c>
      <c r="D829" s="1" t="str">
        <f ca="1">IFERROR(__xludf.DUMMYFUNCTION("GOOGLETRANSLATE('대전도시공사_청년임대주택 현황_20240630'!D829,""ko"",""en"")"),"710")</f>
        <v>710</v>
      </c>
      <c r="E829" s="1" t="str">
        <f ca="1">IFERROR(__xludf.DUMMYFUNCTION("GOOGLETRANSLATE('대전도시공사_청년임대주택 현황_20240630'!E829,""ko"",""en"")"),"64.993")</f>
        <v>64.993</v>
      </c>
      <c r="F829" s="1" t="str">
        <f ca="1">IFERROR(__xludf.DUMMYFUNCTION("GOOGLETRANSLATE('대전도시공사_청년임대주택 현황_20240630'!F829,""ko"",""en"")"),"22.438")</f>
        <v>22.438</v>
      </c>
      <c r="G829" s="1" t="str">
        <f ca="1">IFERROR(__xludf.DUMMYFUNCTION("GOOGLETRANSLATE('대전도시공사_청년임대주택 현황_20240630'!G829,""ko"",""en"")"),"42.554")</f>
        <v>42.554</v>
      </c>
      <c r="H829" s="1" t="str">
        <f ca="1">IFERROR(__xludf.DUMMYFUNCTION("GOOGLETRANSLATE('대전도시공사_청년임대주택 현황_20240630'!H829,""ko"",""en"")"),"3rd place for youth rental")</f>
        <v>3rd place for youth rental</v>
      </c>
      <c r="I829" s="1" t="str">
        <f ca="1">IFERROR(__xludf.DUMMYFUNCTION("GOOGLETRANSLATE('대전도시공사_청년임대주택 현황_20240630'!I829,""ko"",""en"")"),"2000000")</f>
        <v>2000000</v>
      </c>
      <c r="J829" s="1" t="str">
        <f ca="1">IFERROR(__xludf.DUMMYFUNCTION("GOOGLETRANSLATE('대전도시공사_청년임대주택 현황_20240630'!J829,""ko"",""en"")"),"291300")</f>
        <v>291300</v>
      </c>
    </row>
    <row r="830" spans="1:10" ht="12.5" x14ac:dyDescent="0.25">
      <c r="A830" s="1" t="str">
        <f ca="1">IFERROR(__xludf.DUMMYFUNCTION("GOOGLETRANSLATE('대전도시공사_청년임대주택 현황_20240630'!A830,""ko"",""en"")"),"Goejeong-dong 3-1 (Samyoung Building 2, Youth Rental)")</f>
        <v>Goejeong-dong 3-1 (Samyoung Building 2, Youth Rental)</v>
      </c>
      <c r="B830" s="1" t="str">
        <f ca="1">IFERROR(__xludf.DUMMYFUNCTION("GOOGLETRANSLATE('대전도시공사_청년임대주택 현황_20240630'!B830,""ko"",""en"")"),"31")</f>
        <v>31</v>
      </c>
      <c r="C830" s="1" t="str">
        <f ca="1">IFERROR(__xludf.DUMMYFUNCTION("GOOGLETRANSLATE('대전도시공사_청년임대주택 현황_20240630'!C830,""ko"",""en"")"),"1")</f>
        <v>1</v>
      </c>
      <c r="D830" s="1" t="str">
        <f ca="1">IFERROR(__xludf.DUMMYFUNCTION("GOOGLETRANSLATE('대전도시공사_청년임대주택 현황_20240630'!D830,""ko"",""en"")"),"711")</f>
        <v>711</v>
      </c>
      <c r="E830" s="1" t="str">
        <f ca="1">IFERROR(__xludf.DUMMYFUNCTION("GOOGLETRANSLATE('대전도시공사_청년임대주택 현황_20240630'!E830,""ko"",""en"")"),"64.993")</f>
        <v>64.993</v>
      </c>
      <c r="F830" s="1" t="str">
        <f ca="1">IFERROR(__xludf.DUMMYFUNCTION("GOOGLETRANSLATE('대전도시공사_청년임대주택 현황_20240630'!F830,""ko"",""en"")"),"22.438")</f>
        <v>22.438</v>
      </c>
      <c r="G830" s="1" t="str">
        <f ca="1">IFERROR(__xludf.DUMMYFUNCTION("GOOGLETRANSLATE('대전도시공사_청년임대주택 현황_20240630'!G830,""ko"",""en"")"),"42.554")</f>
        <v>42.554</v>
      </c>
      <c r="H830" s="1" t="str">
        <f ca="1">IFERROR(__xludf.DUMMYFUNCTION("GOOGLETRANSLATE('대전도시공사_청년임대주택 현황_20240630'!H830,""ko"",""en"")"),"Beneficiary")</f>
        <v>Beneficiary</v>
      </c>
      <c r="I830" s="1" t="str">
        <f ca="1">IFERROR(__xludf.DUMMYFUNCTION("GOOGLETRANSLATE('대전도시공사_청년임대주택 현황_20240630'!I830,""ko"",""en"")"),"1000000")</f>
        <v>1000000</v>
      </c>
      <c r="J830" s="1" t="str">
        <f ca="1">IFERROR(__xludf.DUMMYFUNCTION("GOOGLETRANSLATE('대전도시공사_청년임대주택 현황_20240630'!J830,""ko"",""en"")"),"236400")</f>
        <v>236400</v>
      </c>
    </row>
    <row r="831" spans="1:10" ht="12.5" x14ac:dyDescent="0.25">
      <c r="A831" s="1" t="str">
        <f ca="1">IFERROR(__xludf.DUMMYFUNCTION("GOOGLETRANSLATE('대전도시공사_청년임대주택 현황_20240630'!A831,""ko"",""en"")"),"Goejeong-dong 3-1 (Samyoung Building 2, Youth Rental)")</f>
        <v>Goejeong-dong 3-1 (Samyoung Building 2, Youth Rental)</v>
      </c>
      <c r="B831" s="1" t="str">
        <f ca="1">IFERROR(__xludf.DUMMYFUNCTION("GOOGLETRANSLATE('대전도시공사_청년임대주택 현황_20240630'!B831,""ko"",""en"")"),"32")</f>
        <v>32</v>
      </c>
      <c r="C831" s="1" t="str">
        <f ca="1">IFERROR(__xludf.DUMMYFUNCTION("GOOGLETRANSLATE('대전도시공사_청년임대주택 현황_20240630'!C831,""ko"",""en"")"),"1")</f>
        <v>1</v>
      </c>
      <c r="D831" s="1" t="str">
        <f ca="1">IFERROR(__xludf.DUMMYFUNCTION("GOOGLETRANSLATE('대전도시공사_청년임대주택 현황_20240630'!D831,""ko"",""en"")"),"711")</f>
        <v>711</v>
      </c>
      <c r="E831" s="1" t="str">
        <f ca="1">IFERROR(__xludf.DUMMYFUNCTION("GOOGLETRANSLATE('대전도시공사_청년임대주택 현황_20240630'!E831,""ko"",""en"")"),"64.993")</f>
        <v>64.993</v>
      </c>
      <c r="F831" s="1" t="str">
        <f ca="1">IFERROR(__xludf.DUMMYFUNCTION("GOOGLETRANSLATE('대전도시공사_청년임대주택 현황_20240630'!F831,""ko"",""en"")"),"22.438")</f>
        <v>22.438</v>
      </c>
      <c r="G831" s="1" t="str">
        <f ca="1">IFERROR(__xludf.DUMMYFUNCTION("GOOGLETRANSLATE('대전도시공사_청년임대주택 현황_20240630'!G831,""ko"",""en"")"),"42.554")</f>
        <v>42.554</v>
      </c>
      <c r="H831" s="1" t="str">
        <f ca="1">IFERROR(__xludf.DUMMYFUNCTION("GOOGLETRANSLATE('대전도시공사_청년임대주택 현황_20240630'!H831,""ko"",""en"")"),"Youth Rental 2nd Place")</f>
        <v>Youth Rental 2nd Place</v>
      </c>
      <c r="I831" s="1" t="str">
        <f ca="1">IFERROR(__xludf.DUMMYFUNCTION("GOOGLETRANSLATE('대전도시공사_청년임대주택 현황_20240630'!I831,""ko"",""en"")"),"2000000")</f>
        <v>2000000</v>
      </c>
      <c r="J831" s="1" t="str">
        <f ca="1">IFERROR(__xludf.DUMMYFUNCTION("GOOGLETRANSLATE('대전도시공사_청년임대주택 현황_20240630'!J831,""ko"",""en"")"),"291300")</f>
        <v>291300</v>
      </c>
    </row>
    <row r="832" spans="1:10" ht="12.5" x14ac:dyDescent="0.25">
      <c r="A832" s="1" t="str">
        <f ca="1">IFERROR(__xludf.DUMMYFUNCTION("GOOGLETRANSLATE('대전도시공사_청년임대주택 현황_20240630'!A832,""ko"",""en"")"),"Goejeong-dong 3-1 (Samyoung Building 2, Youth Rental)")</f>
        <v>Goejeong-dong 3-1 (Samyoung Building 2, Youth Rental)</v>
      </c>
      <c r="B832" s="1" t="str">
        <f ca="1">IFERROR(__xludf.DUMMYFUNCTION("GOOGLETRANSLATE('대전도시공사_청년임대주택 현황_20240630'!B832,""ko"",""en"")"),"33")</f>
        <v>33</v>
      </c>
      <c r="C832" s="1" t="str">
        <f ca="1">IFERROR(__xludf.DUMMYFUNCTION("GOOGLETRANSLATE('대전도시공사_청년임대주택 현황_20240630'!C832,""ko"",""en"")"),"1")</f>
        <v>1</v>
      </c>
      <c r="D832" s="1" t="str">
        <f ca="1">IFERROR(__xludf.DUMMYFUNCTION("GOOGLETRANSLATE('대전도시공사_청년임대주택 현황_20240630'!D832,""ko"",""en"")"),"711")</f>
        <v>711</v>
      </c>
      <c r="E832" s="1" t="str">
        <f ca="1">IFERROR(__xludf.DUMMYFUNCTION("GOOGLETRANSLATE('대전도시공사_청년임대주택 현황_20240630'!E832,""ko"",""en"")"),"64.993")</f>
        <v>64.993</v>
      </c>
      <c r="F832" s="1" t="str">
        <f ca="1">IFERROR(__xludf.DUMMYFUNCTION("GOOGLETRANSLATE('대전도시공사_청년임대주택 현황_20240630'!F832,""ko"",""en"")"),"22.438")</f>
        <v>22.438</v>
      </c>
      <c r="G832" s="1" t="str">
        <f ca="1">IFERROR(__xludf.DUMMYFUNCTION("GOOGLETRANSLATE('대전도시공사_청년임대주택 현황_20240630'!G832,""ko"",""en"")"),"42.554")</f>
        <v>42.554</v>
      </c>
      <c r="H832" s="1" t="str">
        <f ca="1">IFERROR(__xludf.DUMMYFUNCTION("GOOGLETRANSLATE('대전도시공사_청년임대주택 현황_20240630'!H832,""ko"",""en"")"),"3rd place for youth rental")</f>
        <v>3rd place for youth rental</v>
      </c>
      <c r="I832" s="1" t="str">
        <f ca="1">IFERROR(__xludf.DUMMYFUNCTION("GOOGLETRANSLATE('대전도시공사_청년임대주택 현황_20240630'!I832,""ko"",""en"")"),"2000000")</f>
        <v>2000000</v>
      </c>
      <c r="J832" s="1" t="str">
        <f ca="1">IFERROR(__xludf.DUMMYFUNCTION("GOOGLETRANSLATE('대전도시공사_청년임대주택 현황_20240630'!J832,""ko"",""en"")"),"291300")</f>
        <v>291300</v>
      </c>
    </row>
    <row r="833" spans="1:10" ht="12.5" x14ac:dyDescent="0.25">
      <c r="A833" s="1" t="str">
        <f ca="1">IFERROR(__xludf.DUMMYFUNCTION("GOOGLETRANSLATE('대전도시공사_청년임대주택 현황_20240630'!A833,""ko"",""en"")"),"Goejeong-dong 3-1 (Samyoung Building 2, Youth Rental)")</f>
        <v>Goejeong-dong 3-1 (Samyoung Building 2, Youth Rental)</v>
      </c>
      <c r="B833" s="1" t="str">
        <f ca="1">IFERROR(__xludf.DUMMYFUNCTION("GOOGLETRANSLATE('대전도시공사_청년임대주택 현황_20240630'!B833,""ko"",""en"")"),"34")</f>
        <v>34</v>
      </c>
      <c r="C833" s="1" t="str">
        <f ca="1">IFERROR(__xludf.DUMMYFUNCTION("GOOGLETRANSLATE('대전도시공사_청년임대주택 현황_20240630'!C833,""ko"",""en"")"),"1")</f>
        <v>1</v>
      </c>
      <c r="D833" s="1" t="str">
        <f ca="1">IFERROR(__xludf.DUMMYFUNCTION("GOOGLETRANSLATE('대전도시공사_청년임대주택 현황_20240630'!D833,""ko"",""en"")"),"712")</f>
        <v>712</v>
      </c>
      <c r="E833" s="1" t="str">
        <f ca="1">IFERROR(__xludf.DUMMYFUNCTION("GOOGLETRANSLATE('대전도시공사_청년임대주택 현황_20240630'!E833,""ko"",""en"")"),"64.993")</f>
        <v>64.993</v>
      </c>
      <c r="F833" s="1" t="str">
        <f ca="1">IFERROR(__xludf.DUMMYFUNCTION("GOOGLETRANSLATE('대전도시공사_청년임대주택 현황_20240630'!F833,""ko"",""en"")"),"22.438")</f>
        <v>22.438</v>
      </c>
      <c r="G833" s="1" t="str">
        <f ca="1">IFERROR(__xludf.DUMMYFUNCTION("GOOGLETRANSLATE('대전도시공사_청년임대주택 현황_20240630'!G833,""ko"",""en"")"),"42.554")</f>
        <v>42.554</v>
      </c>
      <c r="H833" s="1" t="str">
        <f ca="1">IFERROR(__xludf.DUMMYFUNCTION("GOOGLETRANSLATE('대전도시공사_청년임대주택 현황_20240630'!H833,""ko"",""en"")"),"Beneficiary")</f>
        <v>Beneficiary</v>
      </c>
      <c r="I833" s="1" t="str">
        <f ca="1">IFERROR(__xludf.DUMMYFUNCTION("GOOGLETRANSLATE('대전도시공사_청년임대주택 현황_20240630'!I833,""ko"",""en"")"),"1000000")</f>
        <v>1000000</v>
      </c>
      <c r="J833" s="1" t="str">
        <f ca="1">IFERROR(__xludf.DUMMYFUNCTION("GOOGLETRANSLATE('대전도시공사_청년임대주택 현황_20240630'!J833,""ko"",""en"")"),"236400")</f>
        <v>236400</v>
      </c>
    </row>
    <row r="834" spans="1:10" ht="12.5" x14ac:dyDescent="0.25">
      <c r="A834" s="1" t="str">
        <f ca="1">IFERROR(__xludf.DUMMYFUNCTION("GOOGLETRANSLATE('대전도시공사_청년임대주택 현황_20240630'!A834,""ko"",""en"")"),"Goejeong-dong 3-1 (Samyoung Building 2, Youth Rental)")</f>
        <v>Goejeong-dong 3-1 (Samyoung Building 2, Youth Rental)</v>
      </c>
      <c r="B834" s="1" t="str">
        <f ca="1">IFERROR(__xludf.DUMMYFUNCTION("GOOGLETRANSLATE('대전도시공사_청년임대주택 현황_20240630'!B834,""ko"",""en"")"),"35")</f>
        <v>35</v>
      </c>
      <c r="C834" s="1" t="str">
        <f ca="1">IFERROR(__xludf.DUMMYFUNCTION("GOOGLETRANSLATE('대전도시공사_청년임대주택 현황_20240630'!C834,""ko"",""en"")"),"1")</f>
        <v>1</v>
      </c>
      <c r="D834" s="1" t="str">
        <f ca="1">IFERROR(__xludf.DUMMYFUNCTION("GOOGLETRANSLATE('대전도시공사_청년임대주택 현황_20240630'!D834,""ko"",""en"")"),"712")</f>
        <v>712</v>
      </c>
      <c r="E834" s="1" t="str">
        <f ca="1">IFERROR(__xludf.DUMMYFUNCTION("GOOGLETRANSLATE('대전도시공사_청년임대주택 현황_20240630'!E834,""ko"",""en"")"),"64.993")</f>
        <v>64.993</v>
      </c>
      <c r="F834" s="1" t="str">
        <f ca="1">IFERROR(__xludf.DUMMYFUNCTION("GOOGLETRANSLATE('대전도시공사_청년임대주택 현황_20240630'!F834,""ko"",""en"")"),"22.438")</f>
        <v>22.438</v>
      </c>
      <c r="G834" s="1" t="str">
        <f ca="1">IFERROR(__xludf.DUMMYFUNCTION("GOOGLETRANSLATE('대전도시공사_청년임대주택 현황_20240630'!G834,""ko"",""en"")"),"42.554")</f>
        <v>42.554</v>
      </c>
      <c r="H834" s="1" t="str">
        <f ca="1">IFERROR(__xludf.DUMMYFUNCTION("GOOGLETRANSLATE('대전도시공사_청년임대주택 현황_20240630'!H834,""ko"",""en"")"),"Youth Rental 2nd Place")</f>
        <v>Youth Rental 2nd Place</v>
      </c>
      <c r="I834" s="1" t="str">
        <f ca="1">IFERROR(__xludf.DUMMYFUNCTION("GOOGLETRANSLATE('대전도시공사_청년임대주택 현황_20240630'!I834,""ko"",""en"")"),"2000000")</f>
        <v>2000000</v>
      </c>
      <c r="J834" s="1" t="str">
        <f ca="1">IFERROR(__xludf.DUMMYFUNCTION("GOOGLETRANSLATE('대전도시공사_청년임대주택 현황_20240630'!J834,""ko"",""en"")"),"291300")</f>
        <v>291300</v>
      </c>
    </row>
    <row r="835" spans="1:10" ht="12.5" x14ac:dyDescent="0.25">
      <c r="A835" s="1" t="str">
        <f ca="1">IFERROR(__xludf.DUMMYFUNCTION("GOOGLETRANSLATE('대전도시공사_청년임대주택 현황_20240630'!A835,""ko"",""en"")"),"Goejeong-dong 3-1 (Samyoung Building 2, Youth Rental)")</f>
        <v>Goejeong-dong 3-1 (Samyoung Building 2, Youth Rental)</v>
      </c>
      <c r="B835" s="1" t="str">
        <f ca="1">IFERROR(__xludf.DUMMYFUNCTION("GOOGLETRANSLATE('대전도시공사_청년임대주택 현황_20240630'!B835,""ko"",""en"")"),"36")</f>
        <v>36</v>
      </c>
      <c r="C835" s="1" t="str">
        <f ca="1">IFERROR(__xludf.DUMMYFUNCTION("GOOGLETRANSLATE('대전도시공사_청년임대주택 현황_20240630'!C835,""ko"",""en"")"),"1")</f>
        <v>1</v>
      </c>
      <c r="D835" s="1" t="str">
        <f ca="1">IFERROR(__xludf.DUMMYFUNCTION("GOOGLETRANSLATE('대전도시공사_청년임대주택 현황_20240630'!D835,""ko"",""en"")"),"712")</f>
        <v>712</v>
      </c>
      <c r="E835" s="1" t="str">
        <f ca="1">IFERROR(__xludf.DUMMYFUNCTION("GOOGLETRANSLATE('대전도시공사_청년임대주택 현황_20240630'!E835,""ko"",""en"")"),"64.993")</f>
        <v>64.993</v>
      </c>
      <c r="F835" s="1" t="str">
        <f ca="1">IFERROR(__xludf.DUMMYFUNCTION("GOOGLETRANSLATE('대전도시공사_청년임대주택 현황_20240630'!F835,""ko"",""en"")"),"22.438")</f>
        <v>22.438</v>
      </c>
      <c r="G835" s="1" t="str">
        <f ca="1">IFERROR(__xludf.DUMMYFUNCTION("GOOGLETRANSLATE('대전도시공사_청년임대주택 현황_20240630'!G835,""ko"",""en"")"),"42.554")</f>
        <v>42.554</v>
      </c>
      <c r="H835" s="1" t="str">
        <f ca="1">IFERROR(__xludf.DUMMYFUNCTION("GOOGLETRANSLATE('대전도시공사_청년임대주택 현황_20240630'!H835,""ko"",""en"")"),"3rd place for youth rental")</f>
        <v>3rd place for youth rental</v>
      </c>
      <c r="I835" s="1" t="str">
        <f ca="1">IFERROR(__xludf.DUMMYFUNCTION("GOOGLETRANSLATE('대전도시공사_청년임대주택 현황_20240630'!I835,""ko"",""en"")"),"2000000")</f>
        <v>2000000</v>
      </c>
      <c r="J835" s="1" t="str">
        <f ca="1">IFERROR(__xludf.DUMMYFUNCTION("GOOGLETRANSLATE('대전도시공사_청년임대주택 현황_20240630'!J835,""ko"",""en"")"),"291300")</f>
        <v>291300</v>
      </c>
    </row>
    <row r="836" spans="1:10" ht="12.5" x14ac:dyDescent="0.25">
      <c r="A836" s="1" t="str">
        <f ca="1">IFERROR(__xludf.DUMMYFUNCTION("GOOGLETRANSLATE('대전도시공사_청년임대주택 현황_20240630'!A836,""ko"",""en"")"),"Goejeong-dong 3-1 (Samyoung Building 2, Youth Rental)")</f>
        <v>Goejeong-dong 3-1 (Samyoung Building 2, Youth Rental)</v>
      </c>
      <c r="B836" s="1" t="str">
        <f ca="1">IFERROR(__xludf.DUMMYFUNCTION("GOOGLETRANSLATE('대전도시공사_청년임대주택 현황_20240630'!B836,""ko"",""en"")"),"37")</f>
        <v>37</v>
      </c>
      <c r="C836" s="1" t="str">
        <f ca="1">IFERROR(__xludf.DUMMYFUNCTION("GOOGLETRANSLATE('대전도시공사_청년임대주택 현황_20240630'!C836,""ko"",""en"")"),"1")</f>
        <v>1</v>
      </c>
      <c r="D836" s="1" t="str">
        <f ca="1">IFERROR(__xludf.DUMMYFUNCTION("GOOGLETRANSLATE('대전도시공사_청년임대주택 현황_20240630'!D836,""ko"",""en"")"),"713")</f>
        <v>713</v>
      </c>
      <c r="E836" s="1" t="str">
        <f ca="1">IFERROR(__xludf.DUMMYFUNCTION("GOOGLETRANSLATE('대전도시공사_청년임대주택 현황_20240630'!E836,""ko"",""en"")"),"64.993")</f>
        <v>64.993</v>
      </c>
      <c r="F836" s="1" t="str">
        <f ca="1">IFERROR(__xludf.DUMMYFUNCTION("GOOGLETRANSLATE('대전도시공사_청년임대주택 현황_20240630'!F836,""ko"",""en"")"),"22.438")</f>
        <v>22.438</v>
      </c>
      <c r="G836" s="1" t="str">
        <f ca="1">IFERROR(__xludf.DUMMYFUNCTION("GOOGLETRANSLATE('대전도시공사_청년임대주택 현황_20240630'!G836,""ko"",""en"")"),"42.554")</f>
        <v>42.554</v>
      </c>
      <c r="H836" s="1" t="str">
        <f ca="1">IFERROR(__xludf.DUMMYFUNCTION("GOOGLETRANSLATE('대전도시공사_청년임대주택 현황_20240630'!H836,""ko"",""en"")"),"Beneficiary")</f>
        <v>Beneficiary</v>
      </c>
      <c r="I836" s="1" t="str">
        <f ca="1">IFERROR(__xludf.DUMMYFUNCTION("GOOGLETRANSLATE('대전도시공사_청년임대주택 현황_20240630'!I836,""ko"",""en"")"),"1000000")</f>
        <v>1000000</v>
      </c>
      <c r="J836" s="1" t="str">
        <f ca="1">IFERROR(__xludf.DUMMYFUNCTION("GOOGLETRANSLATE('대전도시공사_청년임대주택 현황_20240630'!J836,""ko"",""en"")"),"236400")</f>
        <v>236400</v>
      </c>
    </row>
    <row r="837" spans="1:10" ht="12.5" x14ac:dyDescent="0.25">
      <c r="A837" s="1" t="str">
        <f ca="1">IFERROR(__xludf.DUMMYFUNCTION("GOOGLETRANSLATE('대전도시공사_청년임대주택 현황_20240630'!A837,""ko"",""en"")"),"Goejeong-dong 3-1 (Samyoung Building 2, Youth Rental)")</f>
        <v>Goejeong-dong 3-1 (Samyoung Building 2, Youth Rental)</v>
      </c>
      <c r="B837" s="1" t="str">
        <f ca="1">IFERROR(__xludf.DUMMYFUNCTION("GOOGLETRANSLATE('대전도시공사_청년임대주택 현황_20240630'!B837,""ko"",""en"")"),"38")</f>
        <v>38</v>
      </c>
      <c r="C837" s="1" t="str">
        <f ca="1">IFERROR(__xludf.DUMMYFUNCTION("GOOGLETRANSLATE('대전도시공사_청년임대주택 현황_20240630'!C837,""ko"",""en"")"),"1")</f>
        <v>1</v>
      </c>
      <c r="D837" s="1" t="str">
        <f ca="1">IFERROR(__xludf.DUMMYFUNCTION("GOOGLETRANSLATE('대전도시공사_청년임대주택 현황_20240630'!D837,""ko"",""en"")"),"713")</f>
        <v>713</v>
      </c>
      <c r="E837" s="1" t="str">
        <f ca="1">IFERROR(__xludf.DUMMYFUNCTION("GOOGLETRANSLATE('대전도시공사_청년임대주택 현황_20240630'!E837,""ko"",""en"")"),"64.993")</f>
        <v>64.993</v>
      </c>
      <c r="F837" s="1" t="str">
        <f ca="1">IFERROR(__xludf.DUMMYFUNCTION("GOOGLETRANSLATE('대전도시공사_청년임대주택 현황_20240630'!F837,""ko"",""en"")"),"22.438")</f>
        <v>22.438</v>
      </c>
      <c r="G837" s="1" t="str">
        <f ca="1">IFERROR(__xludf.DUMMYFUNCTION("GOOGLETRANSLATE('대전도시공사_청년임대주택 현황_20240630'!G837,""ko"",""en"")"),"42.554")</f>
        <v>42.554</v>
      </c>
      <c r="H837" s="1" t="str">
        <f ca="1">IFERROR(__xludf.DUMMYFUNCTION("GOOGLETRANSLATE('대전도시공사_청년임대주택 현황_20240630'!H837,""ko"",""en"")"),"Youth Rental 2nd Place")</f>
        <v>Youth Rental 2nd Place</v>
      </c>
      <c r="I837" s="1" t="str">
        <f ca="1">IFERROR(__xludf.DUMMYFUNCTION("GOOGLETRANSLATE('대전도시공사_청년임대주택 현황_20240630'!I837,""ko"",""en"")"),"2000000")</f>
        <v>2000000</v>
      </c>
      <c r="J837" s="1" t="str">
        <f ca="1">IFERROR(__xludf.DUMMYFUNCTION("GOOGLETRANSLATE('대전도시공사_청년임대주택 현황_20240630'!J837,""ko"",""en"")"),"291300")</f>
        <v>291300</v>
      </c>
    </row>
    <row r="838" spans="1:10" ht="12.5" x14ac:dyDescent="0.25">
      <c r="A838" s="1" t="str">
        <f ca="1">IFERROR(__xludf.DUMMYFUNCTION("GOOGLETRANSLATE('대전도시공사_청년임대주택 현황_20240630'!A838,""ko"",""en"")"),"Goejeong-dong 3-1 (Samyoung Building 2, Youth Rental)")</f>
        <v>Goejeong-dong 3-1 (Samyoung Building 2, Youth Rental)</v>
      </c>
      <c r="B838" s="1" t="str">
        <f ca="1">IFERROR(__xludf.DUMMYFUNCTION("GOOGLETRANSLATE('대전도시공사_청년임대주택 현황_20240630'!B838,""ko"",""en"")"),"39")</f>
        <v>39</v>
      </c>
      <c r="C838" s="1" t="str">
        <f ca="1">IFERROR(__xludf.DUMMYFUNCTION("GOOGLETRANSLATE('대전도시공사_청년임대주택 현황_20240630'!C838,""ko"",""en"")"),"1")</f>
        <v>1</v>
      </c>
      <c r="D838" s="1" t="str">
        <f ca="1">IFERROR(__xludf.DUMMYFUNCTION("GOOGLETRANSLATE('대전도시공사_청년임대주택 현황_20240630'!D838,""ko"",""en"")"),"713")</f>
        <v>713</v>
      </c>
      <c r="E838" s="1" t="str">
        <f ca="1">IFERROR(__xludf.DUMMYFUNCTION("GOOGLETRANSLATE('대전도시공사_청년임대주택 현황_20240630'!E838,""ko"",""en"")"),"64.993")</f>
        <v>64.993</v>
      </c>
      <c r="F838" s="1" t="str">
        <f ca="1">IFERROR(__xludf.DUMMYFUNCTION("GOOGLETRANSLATE('대전도시공사_청년임대주택 현황_20240630'!F838,""ko"",""en"")"),"22.438")</f>
        <v>22.438</v>
      </c>
      <c r="G838" s="1" t="str">
        <f ca="1">IFERROR(__xludf.DUMMYFUNCTION("GOOGLETRANSLATE('대전도시공사_청년임대주택 현황_20240630'!G838,""ko"",""en"")"),"42.554")</f>
        <v>42.554</v>
      </c>
      <c r="H838" s="1" t="str">
        <f ca="1">IFERROR(__xludf.DUMMYFUNCTION("GOOGLETRANSLATE('대전도시공사_청년임대주택 현황_20240630'!H838,""ko"",""en"")"),"3rd place for youth rental")</f>
        <v>3rd place for youth rental</v>
      </c>
      <c r="I838" s="1" t="str">
        <f ca="1">IFERROR(__xludf.DUMMYFUNCTION("GOOGLETRANSLATE('대전도시공사_청년임대주택 현황_20240630'!I838,""ko"",""en"")"),"2000000")</f>
        <v>2000000</v>
      </c>
      <c r="J838" s="1" t="str">
        <f ca="1">IFERROR(__xludf.DUMMYFUNCTION("GOOGLETRANSLATE('대전도시공사_청년임대주택 현황_20240630'!J838,""ko"",""en"")"),"291300")</f>
        <v>291300</v>
      </c>
    </row>
    <row r="839" spans="1:10" ht="12.5" x14ac:dyDescent="0.25">
      <c r="A839" s="1" t="str">
        <f ca="1">IFERROR(__xludf.DUMMYFUNCTION("GOOGLETRANSLATE('대전도시공사_청년임대주택 현황_20240630'!A839,""ko"",""en"")"),"Goejeong-dong 3-1 (Samyoung Building 2, Youth Rental)")</f>
        <v>Goejeong-dong 3-1 (Samyoung Building 2, Youth Rental)</v>
      </c>
      <c r="B839" s="1" t="str">
        <f ca="1">IFERROR(__xludf.DUMMYFUNCTION("GOOGLETRANSLATE('대전도시공사_청년임대주택 현황_20240630'!B839,""ko"",""en"")"),"40")</f>
        <v>40</v>
      </c>
      <c r="C839" s="1" t="str">
        <f ca="1">IFERROR(__xludf.DUMMYFUNCTION("GOOGLETRANSLATE('대전도시공사_청년임대주택 현황_20240630'!C839,""ko"",""en"")"),"1")</f>
        <v>1</v>
      </c>
      <c r="D839" s="1" t="str">
        <f ca="1">IFERROR(__xludf.DUMMYFUNCTION("GOOGLETRANSLATE('대전도시공사_청년임대주택 현황_20240630'!D839,""ko"",""en"")"),"714")</f>
        <v>714</v>
      </c>
      <c r="E839" s="1" t="str">
        <f ca="1">IFERROR(__xludf.DUMMYFUNCTION("GOOGLETRANSLATE('대전도시공사_청년임대주택 현황_20240630'!E839,""ko"",""en"")"),"64.993")</f>
        <v>64.993</v>
      </c>
      <c r="F839" s="1" t="str">
        <f ca="1">IFERROR(__xludf.DUMMYFUNCTION("GOOGLETRANSLATE('대전도시공사_청년임대주택 현황_20240630'!F839,""ko"",""en"")"),"22.438")</f>
        <v>22.438</v>
      </c>
      <c r="G839" s="1" t="str">
        <f ca="1">IFERROR(__xludf.DUMMYFUNCTION("GOOGLETRANSLATE('대전도시공사_청년임대주택 현황_20240630'!G839,""ko"",""en"")"),"42.554")</f>
        <v>42.554</v>
      </c>
      <c r="H839" s="1" t="str">
        <f ca="1">IFERROR(__xludf.DUMMYFUNCTION("GOOGLETRANSLATE('대전도시공사_청년임대주택 현황_20240630'!H839,""ko"",""en"")"),"Beneficiary")</f>
        <v>Beneficiary</v>
      </c>
      <c r="I839" s="1" t="str">
        <f ca="1">IFERROR(__xludf.DUMMYFUNCTION("GOOGLETRANSLATE('대전도시공사_청년임대주택 현황_20240630'!I839,""ko"",""en"")"),"1000000")</f>
        <v>1000000</v>
      </c>
      <c r="J839" s="1" t="str">
        <f ca="1">IFERROR(__xludf.DUMMYFUNCTION("GOOGLETRANSLATE('대전도시공사_청년임대주택 현황_20240630'!J839,""ko"",""en"")"),"236400")</f>
        <v>236400</v>
      </c>
    </row>
    <row r="840" spans="1:10" ht="12.5" x14ac:dyDescent="0.25">
      <c r="A840" s="1" t="str">
        <f ca="1">IFERROR(__xludf.DUMMYFUNCTION("GOOGLETRANSLATE('대전도시공사_청년임대주택 현황_20240630'!A840,""ko"",""en"")"),"Goejeong-dong 3-1 (Samyoung Building 2, Youth Rental)")</f>
        <v>Goejeong-dong 3-1 (Samyoung Building 2, Youth Rental)</v>
      </c>
      <c r="B840" s="1" t="str">
        <f ca="1">IFERROR(__xludf.DUMMYFUNCTION("GOOGLETRANSLATE('대전도시공사_청년임대주택 현황_20240630'!B840,""ko"",""en"")"),"41")</f>
        <v>41</v>
      </c>
      <c r="C840" s="1" t="str">
        <f ca="1">IFERROR(__xludf.DUMMYFUNCTION("GOOGLETRANSLATE('대전도시공사_청년임대주택 현황_20240630'!C840,""ko"",""en"")"),"1")</f>
        <v>1</v>
      </c>
      <c r="D840" s="1" t="str">
        <f ca="1">IFERROR(__xludf.DUMMYFUNCTION("GOOGLETRANSLATE('대전도시공사_청년임대주택 현황_20240630'!D840,""ko"",""en"")"),"714")</f>
        <v>714</v>
      </c>
      <c r="E840" s="1" t="str">
        <f ca="1">IFERROR(__xludf.DUMMYFUNCTION("GOOGLETRANSLATE('대전도시공사_청년임대주택 현황_20240630'!E840,""ko"",""en"")"),"64.993")</f>
        <v>64.993</v>
      </c>
      <c r="F840" s="1" t="str">
        <f ca="1">IFERROR(__xludf.DUMMYFUNCTION("GOOGLETRANSLATE('대전도시공사_청년임대주택 현황_20240630'!F840,""ko"",""en"")"),"22.438")</f>
        <v>22.438</v>
      </c>
      <c r="G840" s="1" t="str">
        <f ca="1">IFERROR(__xludf.DUMMYFUNCTION("GOOGLETRANSLATE('대전도시공사_청년임대주택 현황_20240630'!G840,""ko"",""en"")"),"42.554")</f>
        <v>42.554</v>
      </c>
      <c r="H840" s="1" t="str">
        <f ca="1">IFERROR(__xludf.DUMMYFUNCTION("GOOGLETRANSLATE('대전도시공사_청년임대주택 현황_20240630'!H840,""ko"",""en"")"),"Youth Rental 2nd Place")</f>
        <v>Youth Rental 2nd Place</v>
      </c>
      <c r="I840" s="1" t="str">
        <f ca="1">IFERROR(__xludf.DUMMYFUNCTION("GOOGLETRANSLATE('대전도시공사_청년임대주택 현황_20240630'!I840,""ko"",""en"")"),"2000000")</f>
        <v>2000000</v>
      </c>
      <c r="J840" s="1" t="str">
        <f ca="1">IFERROR(__xludf.DUMMYFUNCTION("GOOGLETRANSLATE('대전도시공사_청년임대주택 현황_20240630'!J840,""ko"",""en"")"),"291300")</f>
        <v>291300</v>
      </c>
    </row>
    <row r="841" spans="1:10" ht="12.5" x14ac:dyDescent="0.25">
      <c r="A841" s="1" t="str">
        <f ca="1">IFERROR(__xludf.DUMMYFUNCTION("GOOGLETRANSLATE('대전도시공사_청년임대주택 현황_20240630'!A841,""ko"",""en"")"),"Goejeong-dong 3-1 (Samyoung Building 2, Youth Rental)")</f>
        <v>Goejeong-dong 3-1 (Samyoung Building 2, Youth Rental)</v>
      </c>
      <c r="B841" s="1" t="str">
        <f ca="1">IFERROR(__xludf.DUMMYFUNCTION("GOOGLETRANSLATE('대전도시공사_청년임대주택 현황_20240630'!B841,""ko"",""en"")"),"42")</f>
        <v>42</v>
      </c>
      <c r="C841" s="1" t="str">
        <f ca="1">IFERROR(__xludf.DUMMYFUNCTION("GOOGLETRANSLATE('대전도시공사_청년임대주택 현황_20240630'!C841,""ko"",""en"")"),"1")</f>
        <v>1</v>
      </c>
      <c r="D841" s="1" t="str">
        <f ca="1">IFERROR(__xludf.DUMMYFUNCTION("GOOGLETRANSLATE('대전도시공사_청년임대주택 현황_20240630'!D841,""ko"",""en"")"),"714")</f>
        <v>714</v>
      </c>
      <c r="E841" s="1" t="str">
        <f ca="1">IFERROR(__xludf.DUMMYFUNCTION("GOOGLETRANSLATE('대전도시공사_청년임대주택 현황_20240630'!E841,""ko"",""en"")"),"64.993")</f>
        <v>64.993</v>
      </c>
      <c r="F841" s="1" t="str">
        <f ca="1">IFERROR(__xludf.DUMMYFUNCTION("GOOGLETRANSLATE('대전도시공사_청년임대주택 현황_20240630'!F841,""ko"",""en"")"),"22.438")</f>
        <v>22.438</v>
      </c>
      <c r="G841" s="1" t="str">
        <f ca="1">IFERROR(__xludf.DUMMYFUNCTION("GOOGLETRANSLATE('대전도시공사_청년임대주택 현황_20240630'!G841,""ko"",""en"")"),"42.554")</f>
        <v>42.554</v>
      </c>
      <c r="H841" s="1" t="str">
        <f ca="1">IFERROR(__xludf.DUMMYFUNCTION("GOOGLETRANSLATE('대전도시공사_청년임대주택 현황_20240630'!H841,""ko"",""en"")"),"3rd place for youth rental")</f>
        <v>3rd place for youth rental</v>
      </c>
      <c r="I841" s="1" t="str">
        <f ca="1">IFERROR(__xludf.DUMMYFUNCTION("GOOGLETRANSLATE('대전도시공사_청년임대주택 현황_20240630'!I841,""ko"",""en"")"),"2000000")</f>
        <v>2000000</v>
      </c>
      <c r="J841" s="1" t="str">
        <f ca="1">IFERROR(__xludf.DUMMYFUNCTION("GOOGLETRANSLATE('대전도시공사_청년임대주택 현황_20240630'!J841,""ko"",""en"")"),"288896")</f>
        <v>288896</v>
      </c>
    </row>
    <row r="842" spans="1:10" ht="12.5" x14ac:dyDescent="0.25">
      <c r="A842" s="1" t="str">
        <f ca="1">IFERROR(__xludf.DUMMYFUNCTION("GOOGLETRANSLATE('대전도시공사_청년임대주택 현황_20240630'!A842,""ko"",""en"")"),"Goejeong-dong 3-1 (Samyoung Building 2, Youth Rental)")</f>
        <v>Goejeong-dong 3-1 (Samyoung Building 2, Youth Rental)</v>
      </c>
      <c r="B842" s="1" t="str">
        <f ca="1">IFERROR(__xludf.DUMMYFUNCTION("GOOGLETRANSLATE('대전도시공사_청년임대주택 현황_20240630'!B842,""ko"",""en"")"),"43")</f>
        <v>43</v>
      </c>
      <c r="C842" s="1" t="str">
        <f ca="1">IFERROR(__xludf.DUMMYFUNCTION("GOOGLETRANSLATE('대전도시공사_청년임대주택 현황_20240630'!C842,""ko"",""en"")"),"1")</f>
        <v>1</v>
      </c>
      <c r="D842" s="1" t="str">
        <f ca="1">IFERROR(__xludf.DUMMYFUNCTION("GOOGLETRANSLATE('대전도시공사_청년임대주택 현황_20240630'!D842,""ko"",""en"")"),"715")</f>
        <v>715</v>
      </c>
      <c r="E842" s="1" t="str">
        <f ca="1">IFERROR(__xludf.DUMMYFUNCTION("GOOGLETRANSLATE('대전도시공사_청년임대주택 현황_20240630'!E842,""ko"",""en"")"),"64.993")</f>
        <v>64.993</v>
      </c>
      <c r="F842" s="1" t="str">
        <f ca="1">IFERROR(__xludf.DUMMYFUNCTION("GOOGLETRANSLATE('대전도시공사_청년임대주택 현황_20240630'!F842,""ko"",""en"")"),"22.438")</f>
        <v>22.438</v>
      </c>
      <c r="G842" s="1" t="str">
        <f ca="1">IFERROR(__xludf.DUMMYFUNCTION("GOOGLETRANSLATE('대전도시공사_청년임대주택 현황_20240630'!G842,""ko"",""en"")"),"42.554")</f>
        <v>42.554</v>
      </c>
      <c r="H842" s="1" t="str">
        <f ca="1">IFERROR(__xludf.DUMMYFUNCTION("GOOGLETRANSLATE('대전도시공사_청년임대주택 현황_20240630'!H842,""ko"",""en"")"),"Beneficiary")</f>
        <v>Beneficiary</v>
      </c>
      <c r="I842" s="1" t="str">
        <f ca="1">IFERROR(__xludf.DUMMYFUNCTION("GOOGLETRANSLATE('대전도시공사_청년임대주택 현황_20240630'!I842,""ko"",""en"")"),"1000000")</f>
        <v>1000000</v>
      </c>
      <c r="J842" s="1" t="str">
        <f ca="1">IFERROR(__xludf.DUMMYFUNCTION("GOOGLETRANSLATE('대전도시공사_청년임대주택 현황_20240630'!J842,""ko"",""en"")"),"236400")</f>
        <v>236400</v>
      </c>
    </row>
    <row r="843" spans="1:10" ht="12.5" x14ac:dyDescent="0.25">
      <c r="A843" s="1" t="str">
        <f ca="1">IFERROR(__xludf.DUMMYFUNCTION("GOOGLETRANSLATE('대전도시공사_청년임대주택 현황_20240630'!A843,""ko"",""en"")"),"Goejeong-dong 3-1 (Samyoung Building 2, Youth Rental)")</f>
        <v>Goejeong-dong 3-1 (Samyoung Building 2, Youth Rental)</v>
      </c>
      <c r="B843" s="1" t="str">
        <f ca="1">IFERROR(__xludf.DUMMYFUNCTION("GOOGLETRANSLATE('대전도시공사_청년임대주택 현황_20240630'!B843,""ko"",""en"")"),"44")</f>
        <v>44</v>
      </c>
      <c r="C843" s="1" t="str">
        <f ca="1">IFERROR(__xludf.DUMMYFUNCTION("GOOGLETRANSLATE('대전도시공사_청년임대주택 현황_20240630'!C843,""ko"",""en"")"),"1")</f>
        <v>1</v>
      </c>
      <c r="D843" s="1" t="str">
        <f ca="1">IFERROR(__xludf.DUMMYFUNCTION("GOOGLETRANSLATE('대전도시공사_청년임대주택 현황_20240630'!D843,""ko"",""en"")"),"715")</f>
        <v>715</v>
      </c>
      <c r="E843" s="1" t="str">
        <f ca="1">IFERROR(__xludf.DUMMYFUNCTION("GOOGLETRANSLATE('대전도시공사_청년임대주택 현황_20240630'!E843,""ko"",""en"")"),"64.993")</f>
        <v>64.993</v>
      </c>
      <c r="F843" s="1" t="str">
        <f ca="1">IFERROR(__xludf.DUMMYFUNCTION("GOOGLETRANSLATE('대전도시공사_청년임대주택 현황_20240630'!F843,""ko"",""en"")"),"22.438")</f>
        <v>22.438</v>
      </c>
      <c r="G843" s="1" t="str">
        <f ca="1">IFERROR(__xludf.DUMMYFUNCTION("GOOGLETRANSLATE('대전도시공사_청년임대주택 현황_20240630'!G843,""ko"",""en"")"),"42.554")</f>
        <v>42.554</v>
      </c>
      <c r="H843" s="1" t="str">
        <f ca="1">IFERROR(__xludf.DUMMYFUNCTION("GOOGLETRANSLATE('대전도시공사_청년임대주택 현황_20240630'!H843,""ko"",""en"")"),"Youth Rental 2nd Place")</f>
        <v>Youth Rental 2nd Place</v>
      </c>
      <c r="I843" s="1" t="str">
        <f ca="1">IFERROR(__xludf.DUMMYFUNCTION("GOOGLETRANSLATE('대전도시공사_청년임대주택 현황_20240630'!I843,""ko"",""en"")"),"2000000")</f>
        <v>2000000</v>
      </c>
      <c r="J843" s="1" t="str">
        <f ca="1">IFERROR(__xludf.DUMMYFUNCTION("GOOGLETRANSLATE('대전도시공사_청년임대주택 현황_20240630'!J843,""ko"",""en"")"),"291300")</f>
        <v>291300</v>
      </c>
    </row>
    <row r="844" spans="1:10" ht="12.5" x14ac:dyDescent="0.25">
      <c r="A844" s="1" t="str">
        <f ca="1">IFERROR(__xludf.DUMMYFUNCTION("GOOGLETRANSLATE('대전도시공사_청년임대주택 현황_20240630'!A844,""ko"",""en"")"),"Goejeong-dong 3-1 (Samyoung Building 2, Youth Rental)")</f>
        <v>Goejeong-dong 3-1 (Samyoung Building 2, Youth Rental)</v>
      </c>
      <c r="B844" s="1" t="str">
        <f ca="1">IFERROR(__xludf.DUMMYFUNCTION("GOOGLETRANSLATE('대전도시공사_청년임대주택 현황_20240630'!B844,""ko"",""en"")"),"45")</f>
        <v>45</v>
      </c>
      <c r="C844" s="1" t="str">
        <f ca="1">IFERROR(__xludf.DUMMYFUNCTION("GOOGLETRANSLATE('대전도시공사_청년임대주택 현황_20240630'!C844,""ko"",""en"")"),"1")</f>
        <v>1</v>
      </c>
      <c r="D844" s="1" t="str">
        <f ca="1">IFERROR(__xludf.DUMMYFUNCTION("GOOGLETRANSLATE('대전도시공사_청년임대주택 현황_20240630'!D844,""ko"",""en"")"),"715")</f>
        <v>715</v>
      </c>
      <c r="E844" s="1" t="str">
        <f ca="1">IFERROR(__xludf.DUMMYFUNCTION("GOOGLETRANSLATE('대전도시공사_청년임대주택 현황_20240630'!E844,""ko"",""en"")"),"64.993")</f>
        <v>64.993</v>
      </c>
      <c r="F844" s="1" t="str">
        <f ca="1">IFERROR(__xludf.DUMMYFUNCTION("GOOGLETRANSLATE('대전도시공사_청년임대주택 현황_20240630'!F844,""ko"",""en"")"),"22.438")</f>
        <v>22.438</v>
      </c>
      <c r="G844" s="1" t="str">
        <f ca="1">IFERROR(__xludf.DUMMYFUNCTION("GOOGLETRANSLATE('대전도시공사_청년임대주택 현황_20240630'!G844,""ko"",""en"")"),"42.554")</f>
        <v>42.554</v>
      </c>
      <c r="H844" s="1" t="str">
        <f ca="1">IFERROR(__xludf.DUMMYFUNCTION("GOOGLETRANSLATE('대전도시공사_청년임대주택 현황_20240630'!H844,""ko"",""en"")"),"3rd place for youth rental")</f>
        <v>3rd place for youth rental</v>
      </c>
      <c r="I844" s="1" t="str">
        <f ca="1">IFERROR(__xludf.DUMMYFUNCTION("GOOGLETRANSLATE('대전도시공사_청년임대주택 현황_20240630'!I844,""ko"",""en"")"),"2000000")</f>
        <v>2000000</v>
      </c>
      <c r="J844" s="1" t="str">
        <f ca="1">IFERROR(__xludf.DUMMYFUNCTION("GOOGLETRANSLATE('대전도시공사_청년임대주택 현황_20240630'!J844,""ko"",""en"")"),"291300")</f>
        <v>291300</v>
      </c>
    </row>
    <row r="845" spans="1:10" ht="12.5" x14ac:dyDescent="0.25">
      <c r="A845" s="1" t="str">
        <f ca="1">IFERROR(__xludf.DUMMYFUNCTION("GOOGLETRANSLATE('대전도시공사_청년임대주택 현황_20240630'!A845,""ko"",""en"")"),"Goejeong-dong 3-1 (Samyoung Building 2, Youth Rental)")</f>
        <v>Goejeong-dong 3-1 (Samyoung Building 2, Youth Rental)</v>
      </c>
      <c r="B845" s="1" t="str">
        <f ca="1">IFERROR(__xludf.DUMMYFUNCTION("GOOGLETRANSLATE('대전도시공사_청년임대주택 현황_20240630'!B845,""ko"",""en"")"),"46")</f>
        <v>46</v>
      </c>
      <c r="C845" s="1" t="str">
        <f ca="1">IFERROR(__xludf.DUMMYFUNCTION("GOOGLETRANSLATE('대전도시공사_청년임대주택 현황_20240630'!C845,""ko"",""en"")"),"1")</f>
        <v>1</v>
      </c>
      <c r="D845" s="1" t="str">
        <f ca="1">IFERROR(__xludf.DUMMYFUNCTION("GOOGLETRANSLATE('대전도시공사_청년임대주택 현황_20240630'!D845,""ko"",""en"")"),"716")</f>
        <v>716</v>
      </c>
      <c r="E845" s="1" t="str">
        <f ca="1">IFERROR(__xludf.DUMMYFUNCTION("GOOGLETRANSLATE('대전도시공사_청년임대주택 현황_20240630'!E845,""ko"",""en"")"),"64.993")</f>
        <v>64.993</v>
      </c>
      <c r="F845" s="1" t="str">
        <f ca="1">IFERROR(__xludf.DUMMYFUNCTION("GOOGLETRANSLATE('대전도시공사_청년임대주택 현황_20240630'!F845,""ko"",""en"")"),"22.438")</f>
        <v>22.438</v>
      </c>
      <c r="G845" s="1" t="str">
        <f ca="1">IFERROR(__xludf.DUMMYFUNCTION("GOOGLETRANSLATE('대전도시공사_청년임대주택 현황_20240630'!G845,""ko"",""en"")"),"42.554")</f>
        <v>42.554</v>
      </c>
      <c r="H845" s="1" t="str">
        <f ca="1">IFERROR(__xludf.DUMMYFUNCTION("GOOGLETRANSLATE('대전도시공사_청년임대주택 현황_20240630'!H845,""ko"",""en"")"),"Beneficiary")</f>
        <v>Beneficiary</v>
      </c>
      <c r="I845" s="1" t="str">
        <f ca="1">IFERROR(__xludf.DUMMYFUNCTION("GOOGLETRANSLATE('대전도시공사_청년임대주택 현황_20240630'!I845,""ko"",""en"")"),"1000000")</f>
        <v>1000000</v>
      </c>
      <c r="J845" s="1" t="str">
        <f ca="1">IFERROR(__xludf.DUMMYFUNCTION("GOOGLETRANSLATE('대전도시공사_청년임대주택 현황_20240630'!J845,""ko"",""en"")"),"236400")</f>
        <v>236400</v>
      </c>
    </row>
    <row r="846" spans="1:10" ht="12.5" x14ac:dyDescent="0.25">
      <c r="A846" s="1" t="str">
        <f ca="1">IFERROR(__xludf.DUMMYFUNCTION("GOOGLETRANSLATE('대전도시공사_청년임대주택 현황_20240630'!A846,""ko"",""en"")"),"Goejeong-dong 3-1 (Samyoung Building 2, Youth Rental)")</f>
        <v>Goejeong-dong 3-1 (Samyoung Building 2, Youth Rental)</v>
      </c>
      <c r="B846" s="1" t="str">
        <f ca="1">IFERROR(__xludf.DUMMYFUNCTION("GOOGLETRANSLATE('대전도시공사_청년임대주택 현황_20240630'!B846,""ko"",""en"")"),"47")</f>
        <v>47</v>
      </c>
      <c r="C846" s="1" t="str">
        <f ca="1">IFERROR(__xludf.DUMMYFUNCTION("GOOGLETRANSLATE('대전도시공사_청년임대주택 현황_20240630'!C846,""ko"",""en"")"),"1")</f>
        <v>1</v>
      </c>
      <c r="D846" s="1" t="str">
        <f ca="1">IFERROR(__xludf.DUMMYFUNCTION("GOOGLETRANSLATE('대전도시공사_청년임대주택 현황_20240630'!D846,""ko"",""en"")"),"716")</f>
        <v>716</v>
      </c>
      <c r="E846" s="1" t="str">
        <f ca="1">IFERROR(__xludf.DUMMYFUNCTION("GOOGLETRANSLATE('대전도시공사_청년임대주택 현황_20240630'!E846,""ko"",""en"")"),"64.993")</f>
        <v>64.993</v>
      </c>
      <c r="F846" s="1" t="str">
        <f ca="1">IFERROR(__xludf.DUMMYFUNCTION("GOOGLETRANSLATE('대전도시공사_청년임대주택 현황_20240630'!F846,""ko"",""en"")"),"22.438")</f>
        <v>22.438</v>
      </c>
      <c r="G846" s="1" t="str">
        <f ca="1">IFERROR(__xludf.DUMMYFUNCTION("GOOGLETRANSLATE('대전도시공사_청년임대주택 현황_20240630'!G846,""ko"",""en"")"),"42.554")</f>
        <v>42.554</v>
      </c>
      <c r="H846" s="1" t="str">
        <f ca="1">IFERROR(__xludf.DUMMYFUNCTION("GOOGLETRANSLATE('대전도시공사_청년임대주택 현황_20240630'!H846,""ko"",""en"")"),"Youth Rental 2nd Place")</f>
        <v>Youth Rental 2nd Place</v>
      </c>
      <c r="I846" s="1" t="str">
        <f ca="1">IFERROR(__xludf.DUMMYFUNCTION("GOOGLETRANSLATE('대전도시공사_청년임대주택 현황_20240630'!I846,""ko"",""en"")"),"2000000")</f>
        <v>2000000</v>
      </c>
      <c r="J846" s="1" t="str">
        <f ca="1">IFERROR(__xludf.DUMMYFUNCTION("GOOGLETRANSLATE('대전도시공사_청년임대주택 현황_20240630'!J846,""ko"",""en"")"),"291300")</f>
        <v>291300</v>
      </c>
    </row>
    <row r="847" spans="1:10" ht="12.5" x14ac:dyDescent="0.25">
      <c r="A847" s="1" t="str">
        <f ca="1">IFERROR(__xludf.DUMMYFUNCTION("GOOGLETRANSLATE('대전도시공사_청년임대주택 현황_20240630'!A847,""ko"",""en"")"),"Goejeong-dong 3-1 (Samyoung Building 2, Youth Rental)")</f>
        <v>Goejeong-dong 3-1 (Samyoung Building 2, Youth Rental)</v>
      </c>
      <c r="B847" s="1" t="str">
        <f ca="1">IFERROR(__xludf.DUMMYFUNCTION("GOOGLETRANSLATE('대전도시공사_청년임대주택 현황_20240630'!B847,""ko"",""en"")"),"48")</f>
        <v>48</v>
      </c>
      <c r="C847" s="1" t="str">
        <f ca="1">IFERROR(__xludf.DUMMYFUNCTION("GOOGLETRANSLATE('대전도시공사_청년임대주택 현황_20240630'!C847,""ko"",""en"")"),"1")</f>
        <v>1</v>
      </c>
      <c r="D847" s="1" t="str">
        <f ca="1">IFERROR(__xludf.DUMMYFUNCTION("GOOGLETRANSLATE('대전도시공사_청년임대주택 현황_20240630'!D847,""ko"",""en"")"),"716")</f>
        <v>716</v>
      </c>
      <c r="E847" s="1" t="str">
        <f ca="1">IFERROR(__xludf.DUMMYFUNCTION("GOOGLETRANSLATE('대전도시공사_청년임대주택 현황_20240630'!E847,""ko"",""en"")"),"64.993")</f>
        <v>64.993</v>
      </c>
      <c r="F847" s="1" t="str">
        <f ca="1">IFERROR(__xludf.DUMMYFUNCTION("GOOGLETRANSLATE('대전도시공사_청년임대주택 현황_20240630'!F847,""ko"",""en"")"),"22.438")</f>
        <v>22.438</v>
      </c>
      <c r="G847" s="1" t="str">
        <f ca="1">IFERROR(__xludf.DUMMYFUNCTION("GOOGLETRANSLATE('대전도시공사_청년임대주택 현황_20240630'!G847,""ko"",""en"")"),"42.554")</f>
        <v>42.554</v>
      </c>
      <c r="H847" s="1" t="str">
        <f ca="1">IFERROR(__xludf.DUMMYFUNCTION("GOOGLETRANSLATE('대전도시공사_청년임대주택 현황_20240630'!H847,""ko"",""en"")"),"3rd place for youth rental")</f>
        <v>3rd place for youth rental</v>
      </c>
      <c r="I847" s="1" t="str">
        <f ca="1">IFERROR(__xludf.DUMMYFUNCTION("GOOGLETRANSLATE('대전도시공사_청년임대주택 현황_20240630'!I847,""ko"",""en"")"),"2000000")</f>
        <v>2000000</v>
      </c>
      <c r="J847" s="1" t="str">
        <f ca="1">IFERROR(__xludf.DUMMYFUNCTION("GOOGLETRANSLATE('대전도시공사_청년임대주택 현황_20240630'!J847,""ko"",""en"")"),"291300")</f>
        <v>291300</v>
      </c>
    </row>
    <row r="848" spans="1:10" ht="12.5" x14ac:dyDescent="0.25">
      <c r="A848" s="1" t="str">
        <f ca="1">IFERROR(__xludf.DUMMYFUNCTION("GOOGLETRANSLATE('대전도시공사_청년임대주택 현황_20240630'!A848,""ko"",""en"")"),"Goejeong-dong 3-1 (Samyoung Building 2, Youth Rental)")</f>
        <v>Goejeong-dong 3-1 (Samyoung Building 2, Youth Rental)</v>
      </c>
      <c r="B848" s="1" t="str">
        <f ca="1">IFERROR(__xludf.DUMMYFUNCTION("GOOGLETRANSLATE('대전도시공사_청년임대주택 현황_20240630'!B848,""ko"",""en"")"),"49")</f>
        <v>49</v>
      </c>
      <c r="C848" s="1" t="str">
        <f ca="1">IFERROR(__xludf.DUMMYFUNCTION("GOOGLETRANSLATE('대전도시공사_청년임대주택 현황_20240630'!C848,""ko"",""en"")"),"1")</f>
        <v>1</v>
      </c>
      <c r="D848" s="1" t="str">
        <f ca="1">IFERROR(__xludf.DUMMYFUNCTION("GOOGLETRANSLATE('대전도시공사_청년임대주택 현황_20240630'!D848,""ko"",""en"")"),"717")</f>
        <v>717</v>
      </c>
      <c r="E848" s="1" t="str">
        <f ca="1">IFERROR(__xludf.DUMMYFUNCTION("GOOGLETRANSLATE('대전도시공사_청년임대주택 현황_20240630'!E848,""ko"",""en"")"),"64.993")</f>
        <v>64.993</v>
      </c>
      <c r="F848" s="1" t="str">
        <f ca="1">IFERROR(__xludf.DUMMYFUNCTION("GOOGLETRANSLATE('대전도시공사_청년임대주택 현황_20240630'!F848,""ko"",""en"")"),"22.438")</f>
        <v>22.438</v>
      </c>
      <c r="G848" s="1" t="str">
        <f ca="1">IFERROR(__xludf.DUMMYFUNCTION("GOOGLETRANSLATE('대전도시공사_청년임대주택 현황_20240630'!G848,""ko"",""en"")"),"42.554")</f>
        <v>42.554</v>
      </c>
      <c r="H848" s="1" t="str">
        <f ca="1">IFERROR(__xludf.DUMMYFUNCTION("GOOGLETRANSLATE('대전도시공사_청년임대주택 현황_20240630'!H848,""ko"",""en"")"),"Beneficiary")</f>
        <v>Beneficiary</v>
      </c>
      <c r="I848" s="1" t="str">
        <f ca="1">IFERROR(__xludf.DUMMYFUNCTION("GOOGLETRANSLATE('대전도시공사_청년임대주택 현황_20240630'!I848,""ko"",""en"")"),"1000000")</f>
        <v>1000000</v>
      </c>
      <c r="J848" s="1" t="str">
        <f ca="1">IFERROR(__xludf.DUMMYFUNCTION("GOOGLETRANSLATE('대전도시공사_청년임대주택 현황_20240630'!J848,""ko"",""en"")"),"236400")</f>
        <v>236400</v>
      </c>
    </row>
    <row r="849" spans="1:10" ht="12.5" x14ac:dyDescent="0.25">
      <c r="A849" s="1" t="str">
        <f ca="1">IFERROR(__xludf.DUMMYFUNCTION("GOOGLETRANSLATE('대전도시공사_청년임대주택 현황_20240630'!A849,""ko"",""en"")"),"Goejeong-dong 3-1 (Samyoung Building 2, Youth Rental)")</f>
        <v>Goejeong-dong 3-1 (Samyoung Building 2, Youth Rental)</v>
      </c>
      <c r="B849" s="1" t="str">
        <f ca="1">IFERROR(__xludf.DUMMYFUNCTION("GOOGLETRANSLATE('대전도시공사_청년임대주택 현황_20240630'!B849,""ko"",""en"")"),"50")</f>
        <v>50</v>
      </c>
      <c r="C849" s="1" t="str">
        <f ca="1">IFERROR(__xludf.DUMMYFUNCTION("GOOGLETRANSLATE('대전도시공사_청년임대주택 현황_20240630'!C849,""ko"",""en"")"),"1")</f>
        <v>1</v>
      </c>
      <c r="D849" s="1" t="str">
        <f ca="1">IFERROR(__xludf.DUMMYFUNCTION("GOOGLETRANSLATE('대전도시공사_청년임대주택 현황_20240630'!D849,""ko"",""en"")"),"717")</f>
        <v>717</v>
      </c>
      <c r="E849" s="1" t="str">
        <f ca="1">IFERROR(__xludf.DUMMYFUNCTION("GOOGLETRANSLATE('대전도시공사_청년임대주택 현황_20240630'!E849,""ko"",""en"")"),"64.993")</f>
        <v>64.993</v>
      </c>
      <c r="F849" s="1" t="str">
        <f ca="1">IFERROR(__xludf.DUMMYFUNCTION("GOOGLETRANSLATE('대전도시공사_청년임대주택 현황_20240630'!F849,""ko"",""en"")"),"22.438")</f>
        <v>22.438</v>
      </c>
      <c r="G849" s="1" t="str">
        <f ca="1">IFERROR(__xludf.DUMMYFUNCTION("GOOGLETRANSLATE('대전도시공사_청년임대주택 현황_20240630'!G849,""ko"",""en"")"),"42.554")</f>
        <v>42.554</v>
      </c>
      <c r="H849" s="1" t="str">
        <f ca="1">IFERROR(__xludf.DUMMYFUNCTION("GOOGLETRANSLATE('대전도시공사_청년임대주택 현황_20240630'!H849,""ko"",""en"")"),"Youth Rental 2nd Place")</f>
        <v>Youth Rental 2nd Place</v>
      </c>
      <c r="I849" s="1" t="str">
        <f ca="1">IFERROR(__xludf.DUMMYFUNCTION("GOOGLETRANSLATE('대전도시공사_청년임대주택 현황_20240630'!I849,""ko"",""en"")"),"2000000")</f>
        <v>2000000</v>
      </c>
      <c r="J849" s="1" t="str">
        <f ca="1">IFERROR(__xludf.DUMMYFUNCTION("GOOGLETRANSLATE('대전도시공사_청년임대주택 현황_20240630'!J849,""ko"",""en"")"),"291300")</f>
        <v>291300</v>
      </c>
    </row>
    <row r="850" spans="1:10" ht="12.5" x14ac:dyDescent="0.25">
      <c r="A850" s="1" t="str">
        <f ca="1">IFERROR(__xludf.DUMMYFUNCTION("GOOGLETRANSLATE('대전도시공사_청년임대주택 현황_20240630'!A850,""ko"",""en"")"),"Goejeong-dong 3-1 (Samyoung Building 2, Youth Rental)")</f>
        <v>Goejeong-dong 3-1 (Samyoung Building 2, Youth Rental)</v>
      </c>
      <c r="B850" s="1" t="str">
        <f ca="1">IFERROR(__xludf.DUMMYFUNCTION("GOOGLETRANSLATE('대전도시공사_청년임대주택 현황_20240630'!B850,""ko"",""en"")"),"51")</f>
        <v>51</v>
      </c>
      <c r="C850" s="1" t="str">
        <f ca="1">IFERROR(__xludf.DUMMYFUNCTION("GOOGLETRANSLATE('대전도시공사_청년임대주택 현황_20240630'!C850,""ko"",""en"")"),"1")</f>
        <v>1</v>
      </c>
      <c r="D850" s="1" t="str">
        <f ca="1">IFERROR(__xludf.DUMMYFUNCTION("GOOGLETRANSLATE('대전도시공사_청년임대주택 현황_20240630'!D850,""ko"",""en"")"),"717")</f>
        <v>717</v>
      </c>
      <c r="E850" s="1" t="str">
        <f ca="1">IFERROR(__xludf.DUMMYFUNCTION("GOOGLETRANSLATE('대전도시공사_청년임대주택 현황_20240630'!E850,""ko"",""en"")"),"64.993")</f>
        <v>64.993</v>
      </c>
      <c r="F850" s="1" t="str">
        <f ca="1">IFERROR(__xludf.DUMMYFUNCTION("GOOGLETRANSLATE('대전도시공사_청년임대주택 현황_20240630'!F850,""ko"",""en"")"),"22.438")</f>
        <v>22.438</v>
      </c>
      <c r="G850" s="1" t="str">
        <f ca="1">IFERROR(__xludf.DUMMYFUNCTION("GOOGLETRANSLATE('대전도시공사_청년임대주택 현황_20240630'!G850,""ko"",""en"")"),"42.554")</f>
        <v>42.554</v>
      </c>
      <c r="H850" s="1" t="str">
        <f ca="1">IFERROR(__xludf.DUMMYFUNCTION("GOOGLETRANSLATE('대전도시공사_청년임대주택 현황_20240630'!H850,""ko"",""en"")"),"3rd place for youth rental")</f>
        <v>3rd place for youth rental</v>
      </c>
      <c r="I850" s="1" t="str">
        <f ca="1">IFERROR(__xludf.DUMMYFUNCTION("GOOGLETRANSLATE('대전도시공사_청년임대주택 현황_20240630'!I850,""ko"",""en"")"),"2000000")</f>
        <v>2000000</v>
      </c>
      <c r="J850" s="1" t="str">
        <f ca="1">IFERROR(__xludf.DUMMYFUNCTION("GOOGLETRANSLATE('대전도시공사_청년임대주택 현황_20240630'!J850,""ko"",""en"")"),"291300")</f>
        <v>291300</v>
      </c>
    </row>
    <row r="851" spans="1:10" ht="12.5" x14ac:dyDescent="0.25">
      <c r="A851" s="1" t="str">
        <f ca="1">IFERROR(__xludf.DUMMYFUNCTION("GOOGLETRANSLATE('대전도시공사_청년임대주택 현황_20240630'!A851,""ko"",""en"")"),"Goejeong-dong 3-1 (Samyoung Building 2, Youth Rental)")</f>
        <v>Goejeong-dong 3-1 (Samyoung Building 2, Youth Rental)</v>
      </c>
      <c r="B851" s="1" t="str">
        <f ca="1">IFERROR(__xludf.DUMMYFUNCTION("GOOGLETRANSLATE('대전도시공사_청년임대주택 현황_20240630'!B851,""ko"",""en"")"),"55")</f>
        <v>55</v>
      </c>
      <c r="C851" s="1" t="str">
        <f ca="1">IFERROR(__xludf.DUMMYFUNCTION("GOOGLETRANSLATE('대전도시공사_청년임대주택 현황_20240630'!C851,""ko"",""en"")"),"1")</f>
        <v>1</v>
      </c>
      <c r="D851" s="1" t="str">
        <f ca="1">IFERROR(__xludf.DUMMYFUNCTION("GOOGLETRANSLATE('대전도시공사_청년임대주택 현황_20240630'!D851,""ko"",""en"")"),"801")</f>
        <v>801</v>
      </c>
      <c r="E851" s="1" t="str">
        <f ca="1">IFERROR(__xludf.DUMMYFUNCTION("GOOGLETRANSLATE('대전도시공사_청년임대주택 현황_20240630'!E851,""ko"",""en"")"),"97.512")</f>
        <v>97.512</v>
      </c>
      <c r="F851" s="1" t="str">
        <f ca="1">IFERROR(__xludf.DUMMYFUNCTION("GOOGLETRANSLATE('대전도시공사_청년임대주택 현황_20240630'!F851,""ko"",""en"")"),"33.695")</f>
        <v>33.695</v>
      </c>
      <c r="G851" s="1" t="str">
        <f ca="1">IFERROR(__xludf.DUMMYFUNCTION("GOOGLETRANSLATE('대전도시공사_청년임대주택 현황_20240630'!G851,""ko"",""en"")"),"63.816")</f>
        <v>63.816</v>
      </c>
      <c r="H851" s="1" t="str">
        <f ca="1">IFERROR(__xludf.DUMMYFUNCTION("GOOGLETRANSLATE('대전도시공사_청년임대주택 현황_20240630'!H851,""ko"",""en"")"),"Beneficiary")</f>
        <v>Beneficiary</v>
      </c>
      <c r="I851" s="1" t="str">
        <f ca="1">IFERROR(__xludf.DUMMYFUNCTION("GOOGLETRANSLATE('대전도시공사_청년임대주택 현황_20240630'!I851,""ko"",""en"")"),"1000000")</f>
        <v>1000000</v>
      </c>
      <c r="J851" s="1" t="str">
        <f ca="1">IFERROR(__xludf.DUMMYFUNCTION("GOOGLETRANSLATE('대전도시공사_청년임대주택 현황_20240630'!J851,""ko"",""en"")"),"346400")</f>
        <v>346400</v>
      </c>
    </row>
    <row r="852" spans="1:10" ht="12.5" x14ac:dyDescent="0.25">
      <c r="A852" s="1" t="str">
        <f ca="1">IFERROR(__xludf.DUMMYFUNCTION("GOOGLETRANSLATE('대전도시공사_청년임대주택 현황_20240630'!A852,""ko"",""en"")"),"Goejeong-dong 3-1 (Samyoung Building 2, Youth Rental)")</f>
        <v>Goejeong-dong 3-1 (Samyoung Building 2, Youth Rental)</v>
      </c>
      <c r="B852" s="1" t="str">
        <f ca="1">IFERROR(__xludf.DUMMYFUNCTION("GOOGLETRANSLATE('대전도시공사_청년임대주택 현황_20240630'!B852,""ko"",""en"")"),"56")</f>
        <v>56</v>
      </c>
      <c r="C852" s="1" t="str">
        <f ca="1">IFERROR(__xludf.DUMMYFUNCTION("GOOGLETRANSLATE('대전도시공사_청년임대주택 현황_20240630'!C852,""ko"",""en"")"),"1")</f>
        <v>1</v>
      </c>
      <c r="D852" s="1" t="str">
        <f ca="1">IFERROR(__xludf.DUMMYFUNCTION("GOOGLETRANSLATE('대전도시공사_청년임대주택 현황_20240630'!D852,""ko"",""en"")"),"801")</f>
        <v>801</v>
      </c>
      <c r="E852" s="1" t="str">
        <f ca="1">IFERROR(__xludf.DUMMYFUNCTION("GOOGLETRANSLATE('대전도시공사_청년임대주택 현황_20240630'!E852,""ko"",""en"")"),"97.512")</f>
        <v>97.512</v>
      </c>
      <c r="F852" s="1" t="str">
        <f ca="1">IFERROR(__xludf.DUMMYFUNCTION("GOOGLETRANSLATE('대전도시공사_청년임대주택 현황_20240630'!F852,""ko"",""en"")"),"33.695")</f>
        <v>33.695</v>
      </c>
      <c r="G852" s="1" t="str">
        <f ca="1">IFERROR(__xludf.DUMMYFUNCTION("GOOGLETRANSLATE('대전도시공사_청년임대주택 현황_20240630'!G852,""ko"",""en"")"),"63.816")</f>
        <v>63.816</v>
      </c>
      <c r="H852" s="1" t="str">
        <f ca="1">IFERROR(__xludf.DUMMYFUNCTION("GOOGLETRANSLATE('대전도시공사_청년임대주택 현황_20240630'!H852,""ko"",""en"")"),"Youth Rental 2nd Place")</f>
        <v>Youth Rental 2nd Place</v>
      </c>
      <c r="I852" s="1" t="str">
        <f ca="1">IFERROR(__xludf.DUMMYFUNCTION("GOOGLETRANSLATE('대전도시공사_청년임대주택 현황_20240630'!I852,""ko"",""en"")"),"2000000")</f>
        <v>2000000</v>
      </c>
      <c r="J852" s="1" t="str">
        <f ca="1">IFERROR(__xludf.DUMMYFUNCTION("GOOGLETRANSLATE('대전도시공사_청년임대주택 현황_20240630'!J852,""ko"",""en"")"),"428700")</f>
        <v>428700</v>
      </c>
    </row>
    <row r="853" spans="1:10" ht="12.5" x14ac:dyDescent="0.25">
      <c r="A853" s="1" t="str">
        <f ca="1">IFERROR(__xludf.DUMMYFUNCTION("GOOGLETRANSLATE('대전도시공사_청년임대주택 현황_20240630'!A853,""ko"",""en"")"),"Goejeong-dong 3-1 (Samyoung Building 2, Youth Rental)")</f>
        <v>Goejeong-dong 3-1 (Samyoung Building 2, Youth Rental)</v>
      </c>
      <c r="B853" s="1" t="str">
        <f ca="1">IFERROR(__xludf.DUMMYFUNCTION("GOOGLETRANSLATE('대전도시공사_청년임대주택 현황_20240630'!B853,""ko"",""en"")"),"57")</f>
        <v>57</v>
      </c>
      <c r="C853" s="1" t="str">
        <f ca="1">IFERROR(__xludf.DUMMYFUNCTION("GOOGLETRANSLATE('대전도시공사_청년임대주택 현황_20240630'!C853,""ko"",""en"")"),"1")</f>
        <v>1</v>
      </c>
      <c r="D853" s="1" t="str">
        <f ca="1">IFERROR(__xludf.DUMMYFUNCTION("GOOGLETRANSLATE('대전도시공사_청년임대주택 현황_20240630'!D853,""ko"",""en"")"),"801")</f>
        <v>801</v>
      </c>
      <c r="E853" s="1" t="str">
        <f ca="1">IFERROR(__xludf.DUMMYFUNCTION("GOOGLETRANSLATE('대전도시공사_청년임대주택 현황_20240630'!E853,""ko"",""en"")"),"97.512")</f>
        <v>97.512</v>
      </c>
      <c r="F853" s="1" t="str">
        <f ca="1">IFERROR(__xludf.DUMMYFUNCTION("GOOGLETRANSLATE('대전도시공사_청년임대주택 현황_20240630'!F853,""ko"",""en"")"),"33.695")</f>
        <v>33.695</v>
      </c>
      <c r="G853" s="1" t="str">
        <f ca="1">IFERROR(__xludf.DUMMYFUNCTION("GOOGLETRANSLATE('대전도시공사_청년임대주택 현황_20240630'!G853,""ko"",""en"")"),"63.816")</f>
        <v>63.816</v>
      </c>
      <c r="H853" s="1" t="str">
        <f ca="1">IFERROR(__xludf.DUMMYFUNCTION("GOOGLETRANSLATE('대전도시공사_청년임대주택 현황_20240630'!H853,""ko"",""en"")"),"3rd place for youth rental")</f>
        <v>3rd place for youth rental</v>
      </c>
      <c r="I853" s="1" t="str">
        <f ca="1">IFERROR(__xludf.DUMMYFUNCTION("GOOGLETRANSLATE('대전도시공사_청년임대주택 현황_20240630'!I853,""ko"",""en"")"),"2000000")</f>
        <v>2000000</v>
      </c>
      <c r="J853" s="1" t="str">
        <f ca="1">IFERROR(__xludf.DUMMYFUNCTION("GOOGLETRANSLATE('대전도시공사_청년임대주택 현황_20240630'!J853,""ko"",""en"")"),"428700")</f>
        <v>428700</v>
      </c>
    </row>
    <row r="854" spans="1:10" ht="12.5" x14ac:dyDescent="0.25">
      <c r="A854" s="1" t="str">
        <f ca="1">IFERROR(__xludf.DUMMYFUNCTION("GOOGLETRANSLATE('대전도시공사_청년임대주택 현황_20240630'!A854,""ko"",""en"")"),"Goejeong-dong 3-1 (Samyoung Building 2, Youth Rental)")</f>
        <v>Goejeong-dong 3-1 (Samyoung Building 2, Youth Rental)</v>
      </c>
      <c r="B854" s="1" t="str">
        <f ca="1">IFERROR(__xludf.DUMMYFUNCTION("GOOGLETRANSLATE('대전도시공사_청년임대주택 현황_20240630'!B854,""ko"",""en"")"),"58")</f>
        <v>58</v>
      </c>
      <c r="C854" s="1" t="str">
        <f ca="1">IFERROR(__xludf.DUMMYFUNCTION("GOOGLETRANSLATE('대전도시공사_청년임대주택 현황_20240630'!C854,""ko"",""en"")"),"1")</f>
        <v>1</v>
      </c>
      <c r="D854" s="1" t="str">
        <f ca="1">IFERROR(__xludf.DUMMYFUNCTION("GOOGLETRANSLATE('대전도시공사_청년임대주택 현황_20240630'!D854,""ko"",""en"")"),"802")</f>
        <v>802</v>
      </c>
      <c r="E854" s="1" t="str">
        <f ca="1">IFERROR(__xludf.DUMMYFUNCTION("GOOGLETRANSLATE('대전도시공사_청년임대주택 현황_20240630'!E854,""ko"",""en"")"),"64.993")</f>
        <v>64.993</v>
      </c>
      <c r="F854" s="1" t="str">
        <f ca="1">IFERROR(__xludf.DUMMYFUNCTION("GOOGLETRANSLATE('대전도시공사_청년임대주택 현황_20240630'!F854,""ko"",""en"")"),"22.438")</f>
        <v>22.438</v>
      </c>
      <c r="G854" s="1" t="str">
        <f ca="1">IFERROR(__xludf.DUMMYFUNCTION("GOOGLETRANSLATE('대전도시공사_청년임대주택 현황_20240630'!G854,""ko"",""en"")"),"42.554")</f>
        <v>42.554</v>
      </c>
      <c r="H854" s="1" t="str">
        <f ca="1">IFERROR(__xludf.DUMMYFUNCTION("GOOGLETRANSLATE('대전도시공사_청년임대주택 현황_20240630'!H854,""ko"",""en"")"),"Beneficiary")</f>
        <v>Beneficiary</v>
      </c>
      <c r="I854" s="1" t="str">
        <f ca="1">IFERROR(__xludf.DUMMYFUNCTION("GOOGLETRANSLATE('대전도시공사_청년임대주택 현황_20240630'!I854,""ko"",""en"")"),"1000000")</f>
        <v>1000000</v>
      </c>
      <c r="J854" s="1" t="str">
        <f ca="1">IFERROR(__xludf.DUMMYFUNCTION("GOOGLETRANSLATE('대전도시공사_청년임대주택 현황_20240630'!J854,""ko"",""en"")"),"231700")</f>
        <v>231700</v>
      </c>
    </row>
    <row r="855" spans="1:10" ht="12.5" x14ac:dyDescent="0.25">
      <c r="A855" s="1" t="str">
        <f ca="1">IFERROR(__xludf.DUMMYFUNCTION("GOOGLETRANSLATE('대전도시공사_청년임대주택 현황_20240630'!A855,""ko"",""en"")"),"Goejeong-dong 3-1 (Samyoung Building 2, Youth Rental)")</f>
        <v>Goejeong-dong 3-1 (Samyoung Building 2, Youth Rental)</v>
      </c>
      <c r="B855" s="1" t="str">
        <f ca="1">IFERROR(__xludf.DUMMYFUNCTION("GOOGLETRANSLATE('대전도시공사_청년임대주택 현황_20240630'!B855,""ko"",""en"")"),"59")</f>
        <v>59</v>
      </c>
      <c r="C855" s="1" t="str">
        <f ca="1">IFERROR(__xludf.DUMMYFUNCTION("GOOGLETRANSLATE('대전도시공사_청년임대주택 현황_20240630'!C855,""ko"",""en"")"),"1")</f>
        <v>1</v>
      </c>
      <c r="D855" s="1" t="str">
        <f ca="1">IFERROR(__xludf.DUMMYFUNCTION("GOOGLETRANSLATE('대전도시공사_청년임대주택 현황_20240630'!D855,""ko"",""en"")"),"802")</f>
        <v>802</v>
      </c>
      <c r="E855" s="1" t="str">
        <f ca="1">IFERROR(__xludf.DUMMYFUNCTION("GOOGLETRANSLATE('대전도시공사_청년임대주택 현황_20240630'!E855,""ko"",""en"")"),"64.993")</f>
        <v>64.993</v>
      </c>
      <c r="F855" s="1" t="str">
        <f ca="1">IFERROR(__xludf.DUMMYFUNCTION("GOOGLETRANSLATE('대전도시공사_청년임대주택 현황_20240630'!F855,""ko"",""en"")"),"22.438")</f>
        <v>22.438</v>
      </c>
      <c r="G855" s="1" t="str">
        <f ca="1">IFERROR(__xludf.DUMMYFUNCTION("GOOGLETRANSLATE('대전도시공사_청년임대주택 현황_20240630'!G855,""ko"",""en"")"),"42.554")</f>
        <v>42.554</v>
      </c>
      <c r="H855" s="1" t="str">
        <f ca="1">IFERROR(__xludf.DUMMYFUNCTION("GOOGLETRANSLATE('대전도시공사_청년임대주택 현황_20240630'!H855,""ko"",""en"")"),"Youth Rental 2nd Place")</f>
        <v>Youth Rental 2nd Place</v>
      </c>
      <c r="I855" s="1" t="str">
        <f ca="1">IFERROR(__xludf.DUMMYFUNCTION("GOOGLETRANSLATE('대전도시공사_청년임대주택 현황_20240630'!I855,""ko"",""en"")"),"2000000")</f>
        <v>2000000</v>
      </c>
      <c r="J855" s="1" t="str">
        <f ca="1">IFERROR(__xludf.DUMMYFUNCTION("GOOGLETRANSLATE('대전도시공사_청년임대주택 현황_20240630'!J855,""ko"",""en"")"),"285400")</f>
        <v>285400</v>
      </c>
    </row>
    <row r="856" spans="1:10" ht="12.5" x14ac:dyDescent="0.25">
      <c r="A856" s="1" t="str">
        <f ca="1">IFERROR(__xludf.DUMMYFUNCTION("GOOGLETRANSLATE('대전도시공사_청년임대주택 현황_20240630'!A856,""ko"",""en"")"),"Goejeong-dong 3-1 (Samyoung Building 2, Youth Rental)")</f>
        <v>Goejeong-dong 3-1 (Samyoung Building 2, Youth Rental)</v>
      </c>
      <c r="B856" s="1" t="str">
        <f ca="1">IFERROR(__xludf.DUMMYFUNCTION("GOOGLETRANSLATE('대전도시공사_청년임대주택 현황_20240630'!B856,""ko"",""en"")"),"60")</f>
        <v>60</v>
      </c>
      <c r="C856" s="1" t="str">
        <f ca="1">IFERROR(__xludf.DUMMYFUNCTION("GOOGLETRANSLATE('대전도시공사_청년임대주택 현황_20240630'!C856,""ko"",""en"")"),"1")</f>
        <v>1</v>
      </c>
      <c r="D856" s="1" t="str">
        <f ca="1">IFERROR(__xludf.DUMMYFUNCTION("GOOGLETRANSLATE('대전도시공사_청년임대주택 현황_20240630'!D856,""ko"",""en"")"),"802")</f>
        <v>802</v>
      </c>
      <c r="E856" s="1" t="str">
        <f ca="1">IFERROR(__xludf.DUMMYFUNCTION("GOOGLETRANSLATE('대전도시공사_청년임대주택 현황_20240630'!E856,""ko"",""en"")"),"64.993")</f>
        <v>64.993</v>
      </c>
      <c r="F856" s="1" t="str">
        <f ca="1">IFERROR(__xludf.DUMMYFUNCTION("GOOGLETRANSLATE('대전도시공사_청년임대주택 현황_20240630'!F856,""ko"",""en"")"),"22.438")</f>
        <v>22.438</v>
      </c>
      <c r="G856" s="1" t="str">
        <f ca="1">IFERROR(__xludf.DUMMYFUNCTION("GOOGLETRANSLATE('대전도시공사_청년임대주택 현황_20240630'!G856,""ko"",""en"")"),"42.554")</f>
        <v>42.554</v>
      </c>
      <c r="H856" s="1" t="str">
        <f ca="1">IFERROR(__xludf.DUMMYFUNCTION("GOOGLETRANSLATE('대전도시공사_청년임대주택 현황_20240630'!H856,""ko"",""en"")"),"3rd place for youth rental")</f>
        <v>3rd place for youth rental</v>
      </c>
      <c r="I856" s="1" t="str">
        <f ca="1">IFERROR(__xludf.DUMMYFUNCTION("GOOGLETRANSLATE('대전도시공사_청년임대주택 현황_20240630'!I856,""ko"",""en"")"),"2000000")</f>
        <v>2000000</v>
      </c>
      <c r="J856" s="1" t="str">
        <f ca="1">IFERROR(__xludf.DUMMYFUNCTION("GOOGLETRANSLATE('대전도시공사_청년임대주택 현황_20240630'!J856,""ko"",""en"")"),"285400")</f>
        <v>285400</v>
      </c>
    </row>
    <row r="857" spans="1:10" ht="12.5" x14ac:dyDescent="0.25">
      <c r="A857" s="1" t="str">
        <f ca="1">IFERROR(__xludf.DUMMYFUNCTION("GOOGLETRANSLATE('대전도시공사_청년임대주택 현황_20240630'!A857,""ko"",""en"")"),"Goejeong-dong 3-1 (Samyoung Building 2, Youth Rental)")</f>
        <v>Goejeong-dong 3-1 (Samyoung Building 2, Youth Rental)</v>
      </c>
      <c r="B857" s="1" t="str">
        <f ca="1">IFERROR(__xludf.DUMMYFUNCTION("GOOGLETRANSLATE('대전도시공사_청년임대주택 현황_20240630'!B857,""ko"",""en"")"),"61")</f>
        <v>61</v>
      </c>
      <c r="C857" s="1" t="str">
        <f ca="1">IFERROR(__xludf.DUMMYFUNCTION("GOOGLETRANSLATE('대전도시공사_청년임대주택 현황_20240630'!C857,""ko"",""en"")"),"1")</f>
        <v>1</v>
      </c>
      <c r="D857" s="1" t="str">
        <f ca="1">IFERROR(__xludf.DUMMYFUNCTION("GOOGLETRANSLATE('대전도시공사_청년임대주택 현황_20240630'!D857,""ko"",""en"")"),"803")</f>
        <v>803</v>
      </c>
      <c r="E857" s="1" t="str">
        <f ca="1">IFERROR(__xludf.DUMMYFUNCTION("GOOGLETRANSLATE('대전도시공사_청년임대주택 현황_20240630'!E857,""ko"",""en"")"),"64.993")</f>
        <v>64.993</v>
      </c>
      <c r="F857" s="1" t="str">
        <f ca="1">IFERROR(__xludf.DUMMYFUNCTION("GOOGLETRANSLATE('대전도시공사_청년임대주택 현황_20240630'!F857,""ko"",""en"")"),"22.438")</f>
        <v>22.438</v>
      </c>
      <c r="G857" s="1" t="str">
        <f ca="1">IFERROR(__xludf.DUMMYFUNCTION("GOOGLETRANSLATE('대전도시공사_청년임대주택 현황_20240630'!G857,""ko"",""en"")"),"42.554")</f>
        <v>42.554</v>
      </c>
      <c r="H857" s="1" t="str">
        <f ca="1">IFERROR(__xludf.DUMMYFUNCTION("GOOGLETRANSLATE('대전도시공사_청년임대주택 현황_20240630'!H857,""ko"",""en"")"),"Youth Rent 1st Place")</f>
        <v>Youth Rent 1st Place</v>
      </c>
      <c r="I857" s="1" t="str">
        <f ca="1">IFERROR(__xludf.DUMMYFUNCTION("GOOGLETRANSLATE('대전도시공사_청년임대주택 현황_20240630'!I857,""ko"",""en"")"),"1000000")</f>
        <v>1000000</v>
      </c>
      <c r="J857" s="1" t="str">
        <f ca="1">IFERROR(__xludf.DUMMYFUNCTION("GOOGLETRANSLATE('대전도시공사_청년임대주택 현황_20240630'!J857,""ko"",""en"")"),"231700")</f>
        <v>231700</v>
      </c>
    </row>
    <row r="858" spans="1:10" ht="12.5" x14ac:dyDescent="0.25">
      <c r="A858" s="1" t="str">
        <f ca="1">IFERROR(__xludf.DUMMYFUNCTION("GOOGLETRANSLATE('대전도시공사_청년임대주택 현황_20240630'!A858,""ko"",""en"")"),"Goejeong-dong 3-1 (Samyoung Building 2, Youth Rental)")</f>
        <v>Goejeong-dong 3-1 (Samyoung Building 2, Youth Rental)</v>
      </c>
      <c r="B858" s="1" t="str">
        <f ca="1">IFERROR(__xludf.DUMMYFUNCTION("GOOGLETRANSLATE('대전도시공사_청년임대주택 현황_20240630'!B858,""ko"",""en"")"),"62")</f>
        <v>62</v>
      </c>
      <c r="C858" s="1" t="str">
        <f ca="1">IFERROR(__xludf.DUMMYFUNCTION("GOOGLETRANSLATE('대전도시공사_청년임대주택 현황_20240630'!C858,""ko"",""en"")"),"1")</f>
        <v>1</v>
      </c>
      <c r="D858" s="1" t="str">
        <f ca="1">IFERROR(__xludf.DUMMYFUNCTION("GOOGLETRANSLATE('대전도시공사_청년임대주택 현황_20240630'!D858,""ko"",""en"")"),"803")</f>
        <v>803</v>
      </c>
      <c r="E858" s="1" t="str">
        <f ca="1">IFERROR(__xludf.DUMMYFUNCTION("GOOGLETRANSLATE('대전도시공사_청년임대주택 현황_20240630'!E858,""ko"",""en"")"),"64.993")</f>
        <v>64.993</v>
      </c>
      <c r="F858" s="1" t="str">
        <f ca="1">IFERROR(__xludf.DUMMYFUNCTION("GOOGLETRANSLATE('대전도시공사_청년임대주택 현황_20240630'!F858,""ko"",""en"")"),"22.438")</f>
        <v>22.438</v>
      </c>
      <c r="G858" s="1" t="str">
        <f ca="1">IFERROR(__xludf.DUMMYFUNCTION("GOOGLETRANSLATE('대전도시공사_청년임대주택 현황_20240630'!G858,""ko"",""en"")"),"42.554")</f>
        <v>42.554</v>
      </c>
      <c r="H858" s="1" t="str">
        <f ca="1">IFERROR(__xludf.DUMMYFUNCTION("GOOGLETRANSLATE('대전도시공사_청년임대주택 현황_20240630'!H858,""ko"",""en"")"),"Youth Rental 2nd Place")</f>
        <v>Youth Rental 2nd Place</v>
      </c>
      <c r="I858" s="1" t="str">
        <f ca="1">IFERROR(__xludf.DUMMYFUNCTION("GOOGLETRANSLATE('대전도시공사_청년임대주택 현황_20240630'!I858,""ko"",""en"")"),"2000000")</f>
        <v>2000000</v>
      </c>
      <c r="J858" s="1" t="str">
        <f ca="1">IFERROR(__xludf.DUMMYFUNCTION("GOOGLETRANSLATE('대전도시공사_청년임대주택 현황_20240630'!J858,""ko"",""en"")"),"285400")</f>
        <v>285400</v>
      </c>
    </row>
    <row r="859" spans="1:10" ht="12.5" x14ac:dyDescent="0.25">
      <c r="A859" s="1" t="str">
        <f ca="1">IFERROR(__xludf.DUMMYFUNCTION("GOOGLETRANSLATE('대전도시공사_청년임대주택 현황_20240630'!A859,""ko"",""en"")"),"Goejeong-dong 3-1 (Samyoung Building 2, Youth Rental)")</f>
        <v>Goejeong-dong 3-1 (Samyoung Building 2, Youth Rental)</v>
      </c>
      <c r="B859" s="1" t="str">
        <f ca="1">IFERROR(__xludf.DUMMYFUNCTION("GOOGLETRANSLATE('대전도시공사_청년임대주택 현황_20240630'!B859,""ko"",""en"")"),"63")</f>
        <v>63</v>
      </c>
      <c r="C859" s="1" t="str">
        <f ca="1">IFERROR(__xludf.DUMMYFUNCTION("GOOGLETRANSLATE('대전도시공사_청년임대주택 현황_20240630'!C859,""ko"",""en"")"),"1")</f>
        <v>1</v>
      </c>
      <c r="D859" s="1" t="str">
        <f ca="1">IFERROR(__xludf.DUMMYFUNCTION("GOOGLETRANSLATE('대전도시공사_청년임대주택 현황_20240630'!D859,""ko"",""en"")"),"803")</f>
        <v>803</v>
      </c>
      <c r="E859" s="1" t="str">
        <f ca="1">IFERROR(__xludf.DUMMYFUNCTION("GOOGLETRANSLATE('대전도시공사_청년임대주택 현황_20240630'!E859,""ko"",""en"")"),"64.993")</f>
        <v>64.993</v>
      </c>
      <c r="F859" s="1" t="str">
        <f ca="1">IFERROR(__xludf.DUMMYFUNCTION("GOOGLETRANSLATE('대전도시공사_청년임대주택 현황_20240630'!F859,""ko"",""en"")"),"22.438")</f>
        <v>22.438</v>
      </c>
      <c r="G859" s="1" t="str">
        <f ca="1">IFERROR(__xludf.DUMMYFUNCTION("GOOGLETRANSLATE('대전도시공사_청년임대주택 현황_20240630'!G859,""ko"",""en"")"),"42.554")</f>
        <v>42.554</v>
      </c>
      <c r="H859" s="1" t="str">
        <f ca="1">IFERROR(__xludf.DUMMYFUNCTION("GOOGLETRANSLATE('대전도시공사_청년임대주택 현황_20240630'!H859,""ko"",""en"")"),"3rd place for youth rental")</f>
        <v>3rd place for youth rental</v>
      </c>
      <c r="I859" s="1" t="str">
        <f ca="1">IFERROR(__xludf.DUMMYFUNCTION("GOOGLETRANSLATE('대전도시공사_청년임대주택 현황_20240630'!I859,""ko"",""en"")"),"2000000")</f>
        <v>2000000</v>
      </c>
      <c r="J859" s="1" t="str">
        <f ca="1">IFERROR(__xludf.DUMMYFUNCTION("GOOGLETRANSLATE('대전도시공사_청년임대주택 현황_20240630'!J859,""ko"",""en"")"),"285400")</f>
        <v>285400</v>
      </c>
    </row>
    <row r="860" spans="1:10" ht="12.5" x14ac:dyDescent="0.25">
      <c r="A860" s="1" t="str">
        <f ca="1">IFERROR(__xludf.DUMMYFUNCTION("GOOGLETRANSLATE('대전도시공사_청년임대주택 현황_20240630'!A860,""ko"",""en"")"),"Goejeong-dong 3-1 (Samyoung Building 2, Youth Rental)")</f>
        <v>Goejeong-dong 3-1 (Samyoung Building 2, Youth Rental)</v>
      </c>
      <c r="B860" s="1" t="str">
        <f ca="1">IFERROR(__xludf.DUMMYFUNCTION("GOOGLETRANSLATE('대전도시공사_청년임대주택 현황_20240630'!B860,""ko"",""en"")"),"64")</f>
        <v>64</v>
      </c>
      <c r="C860" s="1" t="str">
        <f ca="1">IFERROR(__xludf.DUMMYFUNCTION("GOOGLETRANSLATE('대전도시공사_청년임대주택 현황_20240630'!C860,""ko"",""en"")"),"1")</f>
        <v>1</v>
      </c>
      <c r="D860" s="1" t="str">
        <f ca="1">IFERROR(__xludf.DUMMYFUNCTION("GOOGLETRANSLATE('대전도시공사_청년임대주택 현황_20240630'!D860,""ko"",""en"")"),"804")</f>
        <v>804</v>
      </c>
      <c r="E860" s="1" t="str">
        <f ca="1">IFERROR(__xludf.DUMMYFUNCTION("GOOGLETRANSLATE('대전도시공사_청년임대주택 현황_20240630'!E860,""ko"",""en"")"),"64.993")</f>
        <v>64.993</v>
      </c>
      <c r="F860" s="1" t="str">
        <f ca="1">IFERROR(__xludf.DUMMYFUNCTION("GOOGLETRANSLATE('대전도시공사_청년임대주택 현황_20240630'!F860,""ko"",""en"")"),"22.438")</f>
        <v>22.438</v>
      </c>
      <c r="G860" s="1" t="str">
        <f ca="1">IFERROR(__xludf.DUMMYFUNCTION("GOOGLETRANSLATE('대전도시공사_청년임대주택 현황_20240630'!G860,""ko"",""en"")"),"42.554")</f>
        <v>42.554</v>
      </c>
      <c r="H860" s="1" t="str">
        <f ca="1">IFERROR(__xludf.DUMMYFUNCTION("GOOGLETRANSLATE('대전도시공사_청년임대주택 현황_20240630'!H860,""ko"",""en"")"),"Youth Rent 1st Place")</f>
        <v>Youth Rent 1st Place</v>
      </c>
      <c r="I860" s="1" t="str">
        <f ca="1">IFERROR(__xludf.DUMMYFUNCTION("GOOGLETRANSLATE('대전도시공사_청년임대주택 현황_20240630'!I860,""ko"",""en"")"),"1000000")</f>
        <v>1000000</v>
      </c>
      <c r="J860" s="1" t="str">
        <f ca="1">IFERROR(__xludf.DUMMYFUNCTION("GOOGLETRANSLATE('대전도시공사_청년임대주택 현황_20240630'!J860,""ko"",""en"")"),"231700")</f>
        <v>231700</v>
      </c>
    </row>
    <row r="861" spans="1:10" ht="12.5" x14ac:dyDescent="0.25">
      <c r="A861" s="1" t="str">
        <f ca="1">IFERROR(__xludf.DUMMYFUNCTION("GOOGLETRANSLATE('대전도시공사_청년임대주택 현황_20240630'!A861,""ko"",""en"")"),"Goejeong-dong 3-1 (Samyoung Building 2, Youth Rental)")</f>
        <v>Goejeong-dong 3-1 (Samyoung Building 2, Youth Rental)</v>
      </c>
      <c r="B861" s="1" t="str">
        <f ca="1">IFERROR(__xludf.DUMMYFUNCTION("GOOGLETRANSLATE('대전도시공사_청년임대주택 현황_20240630'!B861,""ko"",""en"")"),"65")</f>
        <v>65</v>
      </c>
      <c r="C861" s="1" t="str">
        <f ca="1">IFERROR(__xludf.DUMMYFUNCTION("GOOGLETRANSLATE('대전도시공사_청년임대주택 현황_20240630'!C861,""ko"",""en"")"),"1")</f>
        <v>1</v>
      </c>
      <c r="D861" s="1" t="str">
        <f ca="1">IFERROR(__xludf.DUMMYFUNCTION("GOOGLETRANSLATE('대전도시공사_청년임대주택 현황_20240630'!D861,""ko"",""en"")"),"804")</f>
        <v>804</v>
      </c>
      <c r="E861" s="1" t="str">
        <f ca="1">IFERROR(__xludf.DUMMYFUNCTION("GOOGLETRANSLATE('대전도시공사_청년임대주택 현황_20240630'!E861,""ko"",""en"")"),"64.993")</f>
        <v>64.993</v>
      </c>
      <c r="F861" s="1" t="str">
        <f ca="1">IFERROR(__xludf.DUMMYFUNCTION("GOOGLETRANSLATE('대전도시공사_청년임대주택 현황_20240630'!F861,""ko"",""en"")"),"22.438")</f>
        <v>22.438</v>
      </c>
      <c r="G861" s="1" t="str">
        <f ca="1">IFERROR(__xludf.DUMMYFUNCTION("GOOGLETRANSLATE('대전도시공사_청년임대주택 현황_20240630'!G861,""ko"",""en"")"),"42.554")</f>
        <v>42.554</v>
      </c>
      <c r="H861" s="1" t="str">
        <f ca="1">IFERROR(__xludf.DUMMYFUNCTION("GOOGLETRANSLATE('대전도시공사_청년임대주택 현황_20240630'!H861,""ko"",""en"")"),"Youth Rental 2nd Place")</f>
        <v>Youth Rental 2nd Place</v>
      </c>
      <c r="I861" s="1" t="str">
        <f ca="1">IFERROR(__xludf.DUMMYFUNCTION("GOOGLETRANSLATE('대전도시공사_청년임대주택 현황_20240630'!I861,""ko"",""en"")"),"2000000")</f>
        <v>2000000</v>
      </c>
      <c r="J861" s="1" t="str">
        <f ca="1">IFERROR(__xludf.DUMMYFUNCTION("GOOGLETRANSLATE('대전도시공사_청년임대주택 현황_20240630'!J861,""ko"",""en"")"),"285400")</f>
        <v>285400</v>
      </c>
    </row>
    <row r="862" spans="1:10" ht="12.5" x14ac:dyDescent="0.25">
      <c r="A862" s="1" t="str">
        <f ca="1">IFERROR(__xludf.DUMMYFUNCTION("GOOGLETRANSLATE('대전도시공사_청년임대주택 현황_20240630'!A862,""ko"",""en"")"),"Goejeong-dong 3-1 (Samyoung Building 2, Youth Rental)")</f>
        <v>Goejeong-dong 3-1 (Samyoung Building 2, Youth Rental)</v>
      </c>
      <c r="B862" s="1" t="str">
        <f ca="1">IFERROR(__xludf.DUMMYFUNCTION("GOOGLETRANSLATE('대전도시공사_청년임대주택 현황_20240630'!B862,""ko"",""en"")"),"66")</f>
        <v>66</v>
      </c>
      <c r="C862" s="1" t="str">
        <f ca="1">IFERROR(__xludf.DUMMYFUNCTION("GOOGLETRANSLATE('대전도시공사_청년임대주택 현황_20240630'!C862,""ko"",""en"")"),"1")</f>
        <v>1</v>
      </c>
      <c r="D862" s="1" t="str">
        <f ca="1">IFERROR(__xludf.DUMMYFUNCTION("GOOGLETRANSLATE('대전도시공사_청년임대주택 현황_20240630'!D862,""ko"",""en"")"),"804")</f>
        <v>804</v>
      </c>
      <c r="E862" s="1" t="str">
        <f ca="1">IFERROR(__xludf.DUMMYFUNCTION("GOOGLETRANSLATE('대전도시공사_청년임대주택 현황_20240630'!E862,""ko"",""en"")"),"64.993")</f>
        <v>64.993</v>
      </c>
      <c r="F862" s="1" t="str">
        <f ca="1">IFERROR(__xludf.DUMMYFUNCTION("GOOGLETRANSLATE('대전도시공사_청년임대주택 현황_20240630'!F862,""ko"",""en"")"),"22.438")</f>
        <v>22.438</v>
      </c>
      <c r="G862" s="1" t="str">
        <f ca="1">IFERROR(__xludf.DUMMYFUNCTION("GOOGLETRANSLATE('대전도시공사_청년임대주택 현황_20240630'!G862,""ko"",""en"")"),"42.554")</f>
        <v>42.554</v>
      </c>
      <c r="H862" s="1" t="str">
        <f ca="1">IFERROR(__xludf.DUMMYFUNCTION("GOOGLETRANSLATE('대전도시공사_청년임대주택 현황_20240630'!H862,""ko"",""en"")"),"3rd place for youth rental")</f>
        <v>3rd place for youth rental</v>
      </c>
      <c r="I862" s="1" t="str">
        <f ca="1">IFERROR(__xludf.DUMMYFUNCTION("GOOGLETRANSLATE('대전도시공사_청년임대주택 현황_20240630'!I862,""ko"",""en"")"),"2000000")</f>
        <v>2000000</v>
      </c>
      <c r="J862" s="1" t="str">
        <f ca="1">IFERROR(__xludf.DUMMYFUNCTION("GOOGLETRANSLATE('대전도시공사_청년임대주택 현황_20240630'!J862,""ko"",""en"")"),"285400")</f>
        <v>285400</v>
      </c>
    </row>
    <row r="863" spans="1:10" ht="12.5" x14ac:dyDescent="0.25">
      <c r="A863" s="1" t="str">
        <f ca="1">IFERROR(__xludf.DUMMYFUNCTION("GOOGLETRANSLATE('대전도시공사_청년임대주택 현황_20240630'!A863,""ko"",""en"")"),"Goejeong-dong 3-1 (Samyoung Building 2, Youth Rental)")</f>
        <v>Goejeong-dong 3-1 (Samyoung Building 2, Youth Rental)</v>
      </c>
      <c r="B863" s="1" t="str">
        <f ca="1">IFERROR(__xludf.DUMMYFUNCTION("GOOGLETRANSLATE('대전도시공사_청년임대주택 현황_20240630'!B863,""ko"",""en"")"),"67")</f>
        <v>67</v>
      </c>
      <c r="C863" s="1" t="str">
        <f ca="1">IFERROR(__xludf.DUMMYFUNCTION("GOOGLETRANSLATE('대전도시공사_청년임대주택 현황_20240630'!C863,""ko"",""en"")"),"1")</f>
        <v>1</v>
      </c>
      <c r="D863" s="1" t="str">
        <f ca="1">IFERROR(__xludf.DUMMYFUNCTION("GOOGLETRANSLATE('대전도시공사_청년임대주택 현황_20240630'!D863,""ko"",""en"")"),"805")</f>
        <v>805</v>
      </c>
      <c r="E863" s="1" t="str">
        <f ca="1">IFERROR(__xludf.DUMMYFUNCTION("GOOGLETRANSLATE('대전도시공사_청년임대주택 현황_20240630'!E863,""ko"",""en"")"),"64.993")</f>
        <v>64.993</v>
      </c>
      <c r="F863" s="1" t="str">
        <f ca="1">IFERROR(__xludf.DUMMYFUNCTION("GOOGLETRANSLATE('대전도시공사_청년임대주택 현황_20240630'!F863,""ko"",""en"")"),"22.438")</f>
        <v>22.438</v>
      </c>
      <c r="G863" s="1" t="str">
        <f ca="1">IFERROR(__xludf.DUMMYFUNCTION("GOOGLETRANSLATE('대전도시공사_청년임대주택 현황_20240630'!G863,""ko"",""en"")"),"42.554")</f>
        <v>42.554</v>
      </c>
      <c r="H863" s="1" t="str">
        <f ca="1">IFERROR(__xludf.DUMMYFUNCTION("GOOGLETRANSLATE('대전도시공사_청년임대주택 현황_20240630'!H863,""ko"",""en"")"),"Beneficiary")</f>
        <v>Beneficiary</v>
      </c>
      <c r="I863" s="1" t="str">
        <f ca="1">IFERROR(__xludf.DUMMYFUNCTION("GOOGLETRANSLATE('대전도시공사_청년임대주택 현황_20240630'!I863,""ko"",""en"")"),"1000000")</f>
        <v>1000000</v>
      </c>
      <c r="J863" s="1" t="str">
        <f ca="1">IFERROR(__xludf.DUMMYFUNCTION("GOOGLETRANSLATE('대전도시공사_청년임대주택 현황_20240630'!J863,""ko"",""en"")"),"231700")</f>
        <v>231700</v>
      </c>
    </row>
    <row r="864" spans="1:10" ht="12.5" x14ac:dyDescent="0.25">
      <c r="A864" s="1" t="str">
        <f ca="1">IFERROR(__xludf.DUMMYFUNCTION("GOOGLETRANSLATE('대전도시공사_청년임대주택 현황_20240630'!A864,""ko"",""en"")"),"Goejeong-dong 3-1 (Samyoung Building 2, Youth Rental)")</f>
        <v>Goejeong-dong 3-1 (Samyoung Building 2, Youth Rental)</v>
      </c>
      <c r="B864" s="1" t="str">
        <f ca="1">IFERROR(__xludf.DUMMYFUNCTION("GOOGLETRANSLATE('대전도시공사_청년임대주택 현황_20240630'!B864,""ko"",""en"")"),"68")</f>
        <v>68</v>
      </c>
      <c r="C864" s="1" t="str">
        <f ca="1">IFERROR(__xludf.DUMMYFUNCTION("GOOGLETRANSLATE('대전도시공사_청년임대주택 현황_20240630'!C864,""ko"",""en"")"),"1")</f>
        <v>1</v>
      </c>
      <c r="D864" s="1" t="str">
        <f ca="1">IFERROR(__xludf.DUMMYFUNCTION("GOOGLETRANSLATE('대전도시공사_청년임대주택 현황_20240630'!D864,""ko"",""en"")"),"805")</f>
        <v>805</v>
      </c>
      <c r="E864" s="1" t="str">
        <f ca="1">IFERROR(__xludf.DUMMYFUNCTION("GOOGLETRANSLATE('대전도시공사_청년임대주택 현황_20240630'!E864,""ko"",""en"")"),"64.993")</f>
        <v>64.993</v>
      </c>
      <c r="F864" s="1" t="str">
        <f ca="1">IFERROR(__xludf.DUMMYFUNCTION("GOOGLETRANSLATE('대전도시공사_청년임대주택 현황_20240630'!F864,""ko"",""en"")"),"22.438")</f>
        <v>22.438</v>
      </c>
      <c r="G864" s="1" t="str">
        <f ca="1">IFERROR(__xludf.DUMMYFUNCTION("GOOGLETRANSLATE('대전도시공사_청년임대주택 현황_20240630'!G864,""ko"",""en"")"),"42.554")</f>
        <v>42.554</v>
      </c>
      <c r="H864" s="1" t="str">
        <f ca="1">IFERROR(__xludf.DUMMYFUNCTION("GOOGLETRANSLATE('대전도시공사_청년임대주택 현황_20240630'!H864,""ko"",""en"")"),"Youth Rental 2nd Place")</f>
        <v>Youth Rental 2nd Place</v>
      </c>
      <c r="I864" s="1" t="str">
        <f ca="1">IFERROR(__xludf.DUMMYFUNCTION("GOOGLETRANSLATE('대전도시공사_청년임대주택 현황_20240630'!I864,""ko"",""en"")"),"2000000")</f>
        <v>2000000</v>
      </c>
      <c r="J864" s="1" t="str">
        <f ca="1">IFERROR(__xludf.DUMMYFUNCTION("GOOGLETRANSLATE('대전도시공사_청년임대주택 현황_20240630'!J864,""ko"",""en"")"),"285400")</f>
        <v>285400</v>
      </c>
    </row>
    <row r="865" spans="1:10" ht="12.5" x14ac:dyDescent="0.25">
      <c r="A865" s="1" t="str">
        <f ca="1">IFERROR(__xludf.DUMMYFUNCTION("GOOGLETRANSLATE('대전도시공사_청년임대주택 현황_20240630'!A865,""ko"",""en"")"),"Goejeong-dong 3-1 (Samyoung Building 2, Youth Rental)")</f>
        <v>Goejeong-dong 3-1 (Samyoung Building 2, Youth Rental)</v>
      </c>
      <c r="B865" s="1" t="str">
        <f ca="1">IFERROR(__xludf.DUMMYFUNCTION("GOOGLETRANSLATE('대전도시공사_청년임대주택 현황_20240630'!B865,""ko"",""en"")"),"69")</f>
        <v>69</v>
      </c>
      <c r="C865" s="1" t="str">
        <f ca="1">IFERROR(__xludf.DUMMYFUNCTION("GOOGLETRANSLATE('대전도시공사_청년임대주택 현황_20240630'!C865,""ko"",""en"")"),"1")</f>
        <v>1</v>
      </c>
      <c r="D865" s="1" t="str">
        <f ca="1">IFERROR(__xludf.DUMMYFUNCTION("GOOGLETRANSLATE('대전도시공사_청년임대주택 현황_20240630'!D865,""ko"",""en"")"),"805")</f>
        <v>805</v>
      </c>
      <c r="E865" s="1" t="str">
        <f ca="1">IFERROR(__xludf.DUMMYFUNCTION("GOOGLETRANSLATE('대전도시공사_청년임대주택 현황_20240630'!E865,""ko"",""en"")"),"64.993")</f>
        <v>64.993</v>
      </c>
      <c r="F865" s="1" t="str">
        <f ca="1">IFERROR(__xludf.DUMMYFUNCTION("GOOGLETRANSLATE('대전도시공사_청년임대주택 현황_20240630'!F865,""ko"",""en"")"),"22.438")</f>
        <v>22.438</v>
      </c>
      <c r="G865" s="1" t="str">
        <f ca="1">IFERROR(__xludf.DUMMYFUNCTION("GOOGLETRANSLATE('대전도시공사_청년임대주택 현황_20240630'!G865,""ko"",""en"")"),"42.554")</f>
        <v>42.554</v>
      </c>
      <c r="H865" s="1" t="str">
        <f ca="1">IFERROR(__xludf.DUMMYFUNCTION("GOOGLETRANSLATE('대전도시공사_청년임대주택 현황_20240630'!H865,""ko"",""en"")"),"3rd place for youth rental")</f>
        <v>3rd place for youth rental</v>
      </c>
      <c r="I865" s="1" t="str">
        <f ca="1">IFERROR(__xludf.DUMMYFUNCTION("GOOGLETRANSLATE('대전도시공사_청년임대주택 현황_20240630'!I865,""ko"",""en"")"),"2000000")</f>
        <v>2000000</v>
      </c>
      <c r="J865" s="1" t="str">
        <f ca="1">IFERROR(__xludf.DUMMYFUNCTION("GOOGLETRANSLATE('대전도시공사_청년임대주택 현황_20240630'!J865,""ko"",""en"")"),"285400")</f>
        <v>285400</v>
      </c>
    </row>
    <row r="866" spans="1:10" ht="12.5" x14ac:dyDescent="0.25">
      <c r="A866" s="1" t="str">
        <f ca="1">IFERROR(__xludf.DUMMYFUNCTION("GOOGLETRANSLATE('대전도시공사_청년임대주택 현황_20240630'!A866,""ko"",""en"")"),"Goejeong-dong 3-1 (Samyoung Building 2, Youth Rental)")</f>
        <v>Goejeong-dong 3-1 (Samyoung Building 2, Youth Rental)</v>
      </c>
      <c r="B866" s="1" t="str">
        <f ca="1">IFERROR(__xludf.DUMMYFUNCTION("GOOGLETRANSLATE('대전도시공사_청년임대주택 현황_20240630'!B866,""ko"",""en"")"),"70")</f>
        <v>70</v>
      </c>
      <c r="C866" s="1" t="str">
        <f ca="1">IFERROR(__xludf.DUMMYFUNCTION("GOOGLETRANSLATE('대전도시공사_청년임대주택 현황_20240630'!C866,""ko"",""en"")"),"1")</f>
        <v>1</v>
      </c>
      <c r="D866" s="1" t="str">
        <f ca="1">IFERROR(__xludf.DUMMYFUNCTION("GOOGLETRANSLATE('대전도시공사_청년임대주택 현황_20240630'!D866,""ko"",""en"")"),"806")</f>
        <v>806</v>
      </c>
      <c r="E866" s="1" t="str">
        <f ca="1">IFERROR(__xludf.DUMMYFUNCTION("GOOGLETRANSLATE('대전도시공사_청년임대주택 현황_20240630'!E866,""ko"",""en"")"),"64.993")</f>
        <v>64.993</v>
      </c>
      <c r="F866" s="1" t="str">
        <f ca="1">IFERROR(__xludf.DUMMYFUNCTION("GOOGLETRANSLATE('대전도시공사_청년임대주택 현황_20240630'!F866,""ko"",""en"")"),"22.438")</f>
        <v>22.438</v>
      </c>
      <c r="G866" s="1" t="str">
        <f ca="1">IFERROR(__xludf.DUMMYFUNCTION("GOOGLETRANSLATE('대전도시공사_청년임대주택 현황_20240630'!G866,""ko"",""en"")"),"42.554")</f>
        <v>42.554</v>
      </c>
      <c r="H866" s="1" t="str">
        <f ca="1">IFERROR(__xludf.DUMMYFUNCTION("GOOGLETRANSLATE('대전도시공사_청년임대주택 현황_20240630'!H866,""ko"",""en"")"),"Beneficiary")</f>
        <v>Beneficiary</v>
      </c>
      <c r="I866" s="1" t="str">
        <f ca="1">IFERROR(__xludf.DUMMYFUNCTION("GOOGLETRANSLATE('대전도시공사_청년임대주택 현황_20240630'!I866,""ko"",""en"")"),"1000000")</f>
        <v>1000000</v>
      </c>
      <c r="J866" s="1" t="str">
        <f ca="1">IFERROR(__xludf.DUMMYFUNCTION("GOOGLETRANSLATE('대전도시공사_청년임대주택 현황_20240630'!J866,""ko"",""en"")"),"231700")</f>
        <v>231700</v>
      </c>
    </row>
    <row r="867" spans="1:10" ht="12.5" x14ac:dyDescent="0.25">
      <c r="A867" s="1" t="str">
        <f ca="1">IFERROR(__xludf.DUMMYFUNCTION("GOOGLETRANSLATE('대전도시공사_청년임대주택 현황_20240630'!A867,""ko"",""en"")"),"Goejeong-dong 3-1 (Samyoung Building 2, Youth Rental)")</f>
        <v>Goejeong-dong 3-1 (Samyoung Building 2, Youth Rental)</v>
      </c>
      <c r="B867" s="1" t="str">
        <f ca="1">IFERROR(__xludf.DUMMYFUNCTION("GOOGLETRANSLATE('대전도시공사_청년임대주택 현황_20240630'!B867,""ko"",""en"")"),"71")</f>
        <v>71</v>
      </c>
      <c r="C867" s="1" t="str">
        <f ca="1">IFERROR(__xludf.DUMMYFUNCTION("GOOGLETRANSLATE('대전도시공사_청년임대주택 현황_20240630'!C867,""ko"",""en"")"),"1")</f>
        <v>1</v>
      </c>
      <c r="D867" s="1" t="str">
        <f ca="1">IFERROR(__xludf.DUMMYFUNCTION("GOOGLETRANSLATE('대전도시공사_청년임대주택 현황_20240630'!D867,""ko"",""en"")"),"806")</f>
        <v>806</v>
      </c>
      <c r="E867" s="1" t="str">
        <f ca="1">IFERROR(__xludf.DUMMYFUNCTION("GOOGLETRANSLATE('대전도시공사_청년임대주택 현황_20240630'!E867,""ko"",""en"")"),"64.993")</f>
        <v>64.993</v>
      </c>
      <c r="F867" s="1" t="str">
        <f ca="1">IFERROR(__xludf.DUMMYFUNCTION("GOOGLETRANSLATE('대전도시공사_청년임대주택 현황_20240630'!F867,""ko"",""en"")"),"22.438")</f>
        <v>22.438</v>
      </c>
      <c r="G867" s="1" t="str">
        <f ca="1">IFERROR(__xludf.DUMMYFUNCTION("GOOGLETRANSLATE('대전도시공사_청년임대주택 현황_20240630'!G867,""ko"",""en"")"),"42.554")</f>
        <v>42.554</v>
      </c>
      <c r="H867" s="1" t="str">
        <f ca="1">IFERROR(__xludf.DUMMYFUNCTION("GOOGLETRANSLATE('대전도시공사_청년임대주택 현황_20240630'!H867,""ko"",""en"")"),"Youth Rental 2nd Place")</f>
        <v>Youth Rental 2nd Place</v>
      </c>
      <c r="I867" s="1" t="str">
        <f ca="1">IFERROR(__xludf.DUMMYFUNCTION("GOOGLETRANSLATE('대전도시공사_청년임대주택 현황_20240630'!I867,""ko"",""en"")"),"2000000")</f>
        <v>2000000</v>
      </c>
      <c r="J867" s="1" t="str">
        <f ca="1">IFERROR(__xludf.DUMMYFUNCTION("GOOGLETRANSLATE('대전도시공사_청년임대주택 현황_20240630'!J867,""ko"",""en"")"),"285400")</f>
        <v>285400</v>
      </c>
    </row>
    <row r="868" spans="1:10" ht="12.5" x14ac:dyDescent="0.25">
      <c r="A868" s="1" t="str">
        <f ca="1">IFERROR(__xludf.DUMMYFUNCTION("GOOGLETRANSLATE('대전도시공사_청년임대주택 현황_20240630'!A868,""ko"",""en"")"),"Goejeong-dong 3-1 (Samyoung Building 2, Youth Rental)")</f>
        <v>Goejeong-dong 3-1 (Samyoung Building 2, Youth Rental)</v>
      </c>
      <c r="B868" s="1" t="str">
        <f ca="1">IFERROR(__xludf.DUMMYFUNCTION("GOOGLETRANSLATE('대전도시공사_청년임대주택 현황_20240630'!B868,""ko"",""en"")"),"72")</f>
        <v>72</v>
      </c>
      <c r="C868" s="1" t="str">
        <f ca="1">IFERROR(__xludf.DUMMYFUNCTION("GOOGLETRANSLATE('대전도시공사_청년임대주택 현황_20240630'!C868,""ko"",""en"")"),"1")</f>
        <v>1</v>
      </c>
      <c r="D868" s="1" t="str">
        <f ca="1">IFERROR(__xludf.DUMMYFUNCTION("GOOGLETRANSLATE('대전도시공사_청년임대주택 현황_20240630'!D868,""ko"",""en"")"),"806")</f>
        <v>806</v>
      </c>
      <c r="E868" s="1" t="str">
        <f ca="1">IFERROR(__xludf.DUMMYFUNCTION("GOOGLETRANSLATE('대전도시공사_청년임대주택 현황_20240630'!E868,""ko"",""en"")"),"64.993")</f>
        <v>64.993</v>
      </c>
      <c r="F868" s="1" t="str">
        <f ca="1">IFERROR(__xludf.DUMMYFUNCTION("GOOGLETRANSLATE('대전도시공사_청년임대주택 현황_20240630'!F868,""ko"",""en"")"),"22.438")</f>
        <v>22.438</v>
      </c>
      <c r="G868" s="1" t="str">
        <f ca="1">IFERROR(__xludf.DUMMYFUNCTION("GOOGLETRANSLATE('대전도시공사_청년임대주택 현황_20240630'!G868,""ko"",""en"")"),"42.554")</f>
        <v>42.554</v>
      </c>
      <c r="H868" s="1" t="str">
        <f ca="1">IFERROR(__xludf.DUMMYFUNCTION("GOOGLETRANSLATE('대전도시공사_청년임대주택 현황_20240630'!H868,""ko"",""en"")"),"3rd place for youth rental")</f>
        <v>3rd place for youth rental</v>
      </c>
      <c r="I868" s="1" t="str">
        <f ca="1">IFERROR(__xludf.DUMMYFUNCTION("GOOGLETRANSLATE('대전도시공사_청년임대주택 현황_20240630'!I868,""ko"",""en"")"),"2000000")</f>
        <v>2000000</v>
      </c>
      <c r="J868" s="1" t="str">
        <f ca="1">IFERROR(__xludf.DUMMYFUNCTION("GOOGLETRANSLATE('대전도시공사_청년임대주택 현황_20240630'!J868,""ko"",""en"")"),"285400")</f>
        <v>285400</v>
      </c>
    </row>
    <row r="869" spans="1:10" ht="12.5" x14ac:dyDescent="0.25">
      <c r="A869" s="1" t="str">
        <f ca="1">IFERROR(__xludf.DUMMYFUNCTION("GOOGLETRANSLATE('대전도시공사_청년임대주택 현황_20240630'!A869,""ko"",""en"")"),"Goejeong-dong 3-1 (Samyoung Building 2, Youth Rental)")</f>
        <v>Goejeong-dong 3-1 (Samyoung Building 2, Youth Rental)</v>
      </c>
      <c r="B869" s="1" t="str">
        <f ca="1">IFERROR(__xludf.DUMMYFUNCTION("GOOGLETRANSLATE('대전도시공사_청년임대주택 현황_20240630'!B869,""ko"",""en"")"),"73")</f>
        <v>73</v>
      </c>
      <c r="C869" s="1" t="str">
        <f ca="1">IFERROR(__xludf.DUMMYFUNCTION("GOOGLETRANSLATE('대전도시공사_청년임대주택 현황_20240630'!C869,""ko"",""en"")"),"1")</f>
        <v>1</v>
      </c>
      <c r="D869" s="1" t="str">
        <f ca="1">IFERROR(__xludf.DUMMYFUNCTION("GOOGLETRANSLATE('대전도시공사_청년임대주택 현황_20240630'!D869,""ko"",""en"")"),"807")</f>
        <v>807</v>
      </c>
      <c r="E869" s="1" t="str">
        <f ca="1">IFERROR(__xludf.DUMMYFUNCTION("GOOGLETRANSLATE('대전도시공사_청년임대주택 현황_20240630'!E869,""ko"",""en"")"),"64.993")</f>
        <v>64.993</v>
      </c>
      <c r="F869" s="1" t="str">
        <f ca="1">IFERROR(__xludf.DUMMYFUNCTION("GOOGLETRANSLATE('대전도시공사_청년임대주택 현황_20240630'!F869,""ko"",""en"")"),"22.438")</f>
        <v>22.438</v>
      </c>
      <c r="G869" s="1" t="str">
        <f ca="1">IFERROR(__xludf.DUMMYFUNCTION("GOOGLETRANSLATE('대전도시공사_청년임대주택 현황_20240630'!G869,""ko"",""en"")"),"42.554")</f>
        <v>42.554</v>
      </c>
      <c r="H869" s="1" t="str">
        <f ca="1">IFERROR(__xludf.DUMMYFUNCTION("GOOGLETRANSLATE('대전도시공사_청년임대주택 현황_20240630'!H869,""ko"",""en"")"),"Beneficiary")</f>
        <v>Beneficiary</v>
      </c>
      <c r="I869" s="1" t="str">
        <f ca="1">IFERROR(__xludf.DUMMYFUNCTION("GOOGLETRANSLATE('대전도시공사_청년임대주택 현황_20240630'!I869,""ko"",""en"")"),"1000000")</f>
        <v>1000000</v>
      </c>
      <c r="J869" s="1" t="str">
        <f ca="1">IFERROR(__xludf.DUMMYFUNCTION("GOOGLETRANSLATE('대전도시공사_청년임대주택 현황_20240630'!J869,""ko"",""en"")"),"231700")</f>
        <v>231700</v>
      </c>
    </row>
    <row r="870" spans="1:10" ht="12.5" x14ac:dyDescent="0.25">
      <c r="A870" s="1" t="str">
        <f ca="1">IFERROR(__xludf.DUMMYFUNCTION("GOOGLETRANSLATE('대전도시공사_청년임대주택 현황_20240630'!A870,""ko"",""en"")"),"Goejeong-dong 3-1 (Samyoung Building 2, Youth Rental)")</f>
        <v>Goejeong-dong 3-1 (Samyoung Building 2, Youth Rental)</v>
      </c>
      <c r="B870" s="1" t="str">
        <f ca="1">IFERROR(__xludf.DUMMYFUNCTION("GOOGLETRANSLATE('대전도시공사_청년임대주택 현황_20240630'!B870,""ko"",""en"")"),"74")</f>
        <v>74</v>
      </c>
      <c r="C870" s="1" t="str">
        <f ca="1">IFERROR(__xludf.DUMMYFUNCTION("GOOGLETRANSLATE('대전도시공사_청년임대주택 현황_20240630'!C870,""ko"",""en"")"),"1")</f>
        <v>1</v>
      </c>
      <c r="D870" s="1" t="str">
        <f ca="1">IFERROR(__xludf.DUMMYFUNCTION("GOOGLETRANSLATE('대전도시공사_청년임대주택 현황_20240630'!D870,""ko"",""en"")"),"807")</f>
        <v>807</v>
      </c>
      <c r="E870" s="1" t="str">
        <f ca="1">IFERROR(__xludf.DUMMYFUNCTION("GOOGLETRANSLATE('대전도시공사_청년임대주택 현황_20240630'!E870,""ko"",""en"")"),"64.993")</f>
        <v>64.993</v>
      </c>
      <c r="F870" s="1" t="str">
        <f ca="1">IFERROR(__xludf.DUMMYFUNCTION("GOOGLETRANSLATE('대전도시공사_청년임대주택 현황_20240630'!F870,""ko"",""en"")"),"22.438")</f>
        <v>22.438</v>
      </c>
      <c r="G870" s="1" t="str">
        <f ca="1">IFERROR(__xludf.DUMMYFUNCTION("GOOGLETRANSLATE('대전도시공사_청년임대주택 현황_20240630'!G870,""ko"",""en"")"),"42.554")</f>
        <v>42.554</v>
      </c>
      <c r="H870" s="1" t="str">
        <f ca="1">IFERROR(__xludf.DUMMYFUNCTION("GOOGLETRANSLATE('대전도시공사_청년임대주택 현황_20240630'!H870,""ko"",""en"")"),"Youth Rental 2nd Place")</f>
        <v>Youth Rental 2nd Place</v>
      </c>
      <c r="I870" s="1" t="str">
        <f ca="1">IFERROR(__xludf.DUMMYFUNCTION("GOOGLETRANSLATE('대전도시공사_청년임대주택 현황_20240630'!I870,""ko"",""en"")"),"2000000")</f>
        <v>2000000</v>
      </c>
      <c r="J870" s="1" t="str">
        <f ca="1">IFERROR(__xludf.DUMMYFUNCTION("GOOGLETRANSLATE('대전도시공사_청년임대주택 현황_20240630'!J870,""ko"",""en"")"),"285400")</f>
        <v>285400</v>
      </c>
    </row>
    <row r="871" spans="1:10" ht="12.5" x14ac:dyDescent="0.25">
      <c r="A871" s="1" t="str">
        <f ca="1">IFERROR(__xludf.DUMMYFUNCTION("GOOGLETRANSLATE('대전도시공사_청년임대주택 현황_20240630'!A871,""ko"",""en"")"),"Goejeong-dong 3-1 (Samyoung Building 2, Youth Rental)")</f>
        <v>Goejeong-dong 3-1 (Samyoung Building 2, Youth Rental)</v>
      </c>
      <c r="B871" s="1" t="str">
        <f ca="1">IFERROR(__xludf.DUMMYFUNCTION("GOOGLETRANSLATE('대전도시공사_청년임대주택 현황_20240630'!B871,""ko"",""en"")"),"75")</f>
        <v>75</v>
      </c>
      <c r="C871" s="1" t="str">
        <f ca="1">IFERROR(__xludf.DUMMYFUNCTION("GOOGLETRANSLATE('대전도시공사_청년임대주택 현황_20240630'!C871,""ko"",""en"")"),"1")</f>
        <v>1</v>
      </c>
      <c r="D871" s="1" t="str">
        <f ca="1">IFERROR(__xludf.DUMMYFUNCTION("GOOGLETRANSLATE('대전도시공사_청년임대주택 현황_20240630'!D871,""ko"",""en"")"),"807")</f>
        <v>807</v>
      </c>
      <c r="E871" s="1" t="str">
        <f ca="1">IFERROR(__xludf.DUMMYFUNCTION("GOOGLETRANSLATE('대전도시공사_청년임대주택 현황_20240630'!E871,""ko"",""en"")"),"64.993")</f>
        <v>64.993</v>
      </c>
      <c r="F871" s="1" t="str">
        <f ca="1">IFERROR(__xludf.DUMMYFUNCTION("GOOGLETRANSLATE('대전도시공사_청년임대주택 현황_20240630'!F871,""ko"",""en"")"),"22.438")</f>
        <v>22.438</v>
      </c>
      <c r="G871" s="1" t="str">
        <f ca="1">IFERROR(__xludf.DUMMYFUNCTION("GOOGLETRANSLATE('대전도시공사_청년임대주택 현황_20240630'!G871,""ko"",""en"")"),"42.554")</f>
        <v>42.554</v>
      </c>
      <c r="H871" s="1" t="str">
        <f ca="1">IFERROR(__xludf.DUMMYFUNCTION("GOOGLETRANSLATE('대전도시공사_청년임대주택 현황_20240630'!H871,""ko"",""en"")"),"3rd place for youth rental")</f>
        <v>3rd place for youth rental</v>
      </c>
      <c r="I871" s="1" t="str">
        <f ca="1">IFERROR(__xludf.DUMMYFUNCTION("GOOGLETRANSLATE('대전도시공사_청년임대주택 현황_20240630'!I871,""ko"",""en"")"),"2000000")</f>
        <v>2000000</v>
      </c>
      <c r="J871" s="1" t="str">
        <f ca="1">IFERROR(__xludf.DUMMYFUNCTION("GOOGLETRANSLATE('대전도시공사_청년임대주택 현황_20240630'!J871,""ko"",""en"")"),"285400")</f>
        <v>285400</v>
      </c>
    </row>
    <row r="872" spans="1:10" ht="12.5" x14ac:dyDescent="0.25">
      <c r="A872" s="1" t="str">
        <f ca="1">IFERROR(__xludf.DUMMYFUNCTION("GOOGLETRANSLATE('대전도시공사_청년임대주택 현황_20240630'!A872,""ko"",""en"")"),"Goejeong-dong 3-1 (Samyoung Building 2, Youth Rental)")</f>
        <v>Goejeong-dong 3-1 (Samyoung Building 2, Youth Rental)</v>
      </c>
      <c r="B872" s="1" t="str">
        <f ca="1">IFERROR(__xludf.DUMMYFUNCTION("GOOGLETRANSLATE('대전도시공사_청년임대주택 현황_20240630'!B872,""ko"",""en"")"),"76")</f>
        <v>76</v>
      </c>
      <c r="C872" s="1" t="str">
        <f ca="1">IFERROR(__xludf.DUMMYFUNCTION("GOOGLETRANSLATE('대전도시공사_청년임대주택 현황_20240630'!C872,""ko"",""en"")"),"1")</f>
        <v>1</v>
      </c>
      <c r="D872" s="1" t="str">
        <f ca="1">IFERROR(__xludf.DUMMYFUNCTION("GOOGLETRANSLATE('대전도시공사_청년임대주택 현황_20240630'!D872,""ko"",""en"")"),"808")</f>
        <v>808</v>
      </c>
      <c r="E872" s="1" t="str">
        <f ca="1">IFERROR(__xludf.DUMMYFUNCTION("GOOGLETRANSLATE('대전도시공사_청년임대주택 현황_20240630'!E872,""ko"",""en"")"),"64.993")</f>
        <v>64.993</v>
      </c>
      <c r="F872" s="1" t="str">
        <f ca="1">IFERROR(__xludf.DUMMYFUNCTION("GOOGLETRANSLATE('대전도시공사_청년임대주택 현황_20240630'!F872,""ko"",""en"")"),"22.438")</f>
        <v>22.438</v>
      </c>
      <c r="G872" s="1" t="str">
        <f ca="1">IFERROR(__xludf.DUMMYFUNCTION("GOOGLETRANSLATE('대전도시공사_청년임대주택 현황_20240630'!G872,""ko"",""en"")"),"42.554")</f>
        <v>42.554</v>
      </c>
      <c r="H872" s="1" t="str">
        <f ca="1">IFERROR(__xludf.DUMMYFUNCTION("GOOGLETRANSLATE('대전도시공사_청년임대주택 현황_20240630'!H872,""ko"",""en"")"),"Beneficiary")</f>
        <v>Beneficiary</v>
      </c>
      <c r="I872" s="1" t="str">
        <f ca="1">IFERROR(__xludf.DUMMYFUNCTION("GOOGLETRANSLATE('대전도시공사_청년임대주택 현황_20240630'!I872,""ko"",""en"")"),"1000000")</f>
        <v>1000000</v>
      </c>
      <c r="J872" s="1" t="str">
        <f ca="1">IFERROR(__xludf.DUMMYFUNCTION("GOOGLETRANSLATE('대전도시공사_청년임대주택 현황_20240630'!J872,""ko"",""en"")"),"231700")</f>
        <v>231700</v>
      </c>
    </row>
    <row r="873" spans="1:10" ht="12.5" x14ac:dyDescent="0.25">
      <c r="A873" s="1" t="str">
        <f ca="1">IFERROR(__xludf.DUMMYFUNCTION("GOOGLETRANSLATE('대전도시공사_청년임대주택 현황_20240630'!A873,""ko"",""en"")"),"Goejeong-dong 3-1 (Samyoung Building 2, Youth Rental)")</f>
        <v>Goejeong-dong 3-1 (Samyoung Building 2, Youth Rental)</v>
      </c>
      <c r="B873" s="1" t="str">
        <f ca="1">IFERROR(__xludf.DUMMYFUNCTION("GOOGLETRANSLATE('대전도시공사_청년임대주택 현황_20240630'!B873,""ko"",""en"")"),"77")</f>
        <v>77</v>
      </c>
      <c r="C873" s="1" t="str">
        <f ca="1">IFERROR(__xludf.DUMMYFUNCTION("GOOGLETRANSLATE('대전도시공사_청년임대주택 현황_20240630'!C873,""ko"",""en"")"),"1")</f>
        <v>1</v>
      </c>
      <c r="D873" s="1" t="str">
        <f ca="1">IFERROR(__xludf.DUMMYFUNCTION("GOOGLETRANSLATE('대전도시공사_청년임대주택 현황_20240630'!D873,""ko"",""en"")"),"808")</f>
        <v>808</v>
      </c>
      <c r="E873" s="1" t="str">
        <f ca="1">IFERROR(__xludf.DUMMYFUNCTION("GOOGLETRANSLATE('대전도시공사_청년임대주택 현황_20240630'!E873,""ko"",""en"")"),"64.993")</f>
        <v>64.993</v>
      </c>
      <c r="F873" s="1" t="str">
        <f ca="1">IFERROR(__xludf.DUMMYFUNCTION("GOOGLETRANSLATE('대전도시공사_청년임대주택 현황_20240630'!F873,""ko"",""en"")"),"22.438")</f>
        <v>22.438</v>
      </c>
      <c r="G873" s="1" t="str">
        <f ca="1">IFERROR(__xludf.DUMMYFUNCTION("GOOGLETRANSLATE('대전도시공사_청년임대주택 현황_20240630'!G873,""ko"",""en"")"),"42.554")</f>
        <v>42.554</v>
      </c>
      <c r="H873" s="1" t="str">
        <f ca="1">IFERROR(__xludf.DUMMYFUNCTION("GOOGLETRANSLATE('대전도시공사_청년임대주택 현황_20240630'!H873,""ko"",""en"")"),"Youth Rental 2nd Place")</f>
        <v>Youth Rental 2nd Place</v>
      </c>
      <c r="I873" s="1" t="str">
        <f ca="1">IFERROR(__xludf.DUMMYFUNCTION("GOOGLETRANSLATE('대전도시공사_청년임대주택 현황_20240630'!I873,""ko"",""en"")"),"2000000")</f>
        <v>2000000</v>
      </c>
      <c r="J873" s="1" t="str">
        <f ca="1">IFERROR(__xludf.DUMMYFUNCTION("GOOGLETRANSLATE('대전도시공사_청년임대주택 현황_20240630'!J873,""ko"",""en"")"),"285400")</f>
        <v>285400</v>
      </c>
    </row>
    <row r="874" spans="1:10" ht="12.5" x14ac:dyDescent="0.25">
      <c r="A874" s="1" t="str">
        <f ca="1">IFERROR(__xludf.DUMMYFUNCTION("GOOGLETRANSLATE('대전도시공사_청년임대주택 현황_20240630'!A874,""ko"",""en"")"),"Goejeong-dong 3-1 (Samyoung Building 2, Youth Rental)")</f>
        <v>Goejeong-dong 3-1 (Samyoung Building 2, Youth Rental)</v>
      </c>
      <c r="B874" s="1" t="str">
        <f ca="1">IFERROR(__xludf.DUMMYFUNCTION("GOOGLETRANSLATE('대전도시공사_청년임대주택 현황_20240630'!B874,""ko"",""en"")"),"78")</f>
        <v>78</v>
      </c>
      <c r="C874" s="1" t="str">
        <f ca="1">IFERROR(__xludf.DUMMYFUNCTION("GOOGLETRANSLATE('대전도시공사_청년임대주택 현황_20240630'!C874,""ko"",""en"")"),"1")</f>
        <v>1</v>
      </c>
      <c r="D874" s="1" t="str">
        <f ca="1">IFERROR(__xludf.DUMMYFUNCTION("GOOGLETRANSLATE('대전도시공사_청년임대주택 현황_20240630'!D874,""ko"",""en"")"),"808")</f>
        <v>808</v>
      </c>
      <c r="E874" s="1" t="str">
        <f ca="1">IFERROR(__xludf.DUMMYFUNCTION("GOOGLETRANSLATE('대전도시공사_청년임대주택 현황_20240630'!E874,""ko"",""en"")"),"64.993")</f>
        <v>64.993</v>
      </c>
      <c r="F874" s="1" t="str">
        <f ca="1">IFERROR(__xludf.DUMMYFUNCTION("GOOGLETRANSLATE('대전도시공사_청년임대주택 현황_20240630'!F874,""ko"",""en"")"),"22.438")</f>
        <v>22.438</v>
      </c>
      <c r="G874" s="1" t="str">
        <f ca="1">IFERROR(__xludf.DUMMYFUNCTION("GOOGLETRANSLATE('대전도시공사_청년임대주택 현황_20240630'!G874,""ko"",""en"")"),"42.554")</f>
        <v>42.554</v>
      </c>
      <c r="H874" s="1" t="str">
        <f ca="1">IFERROR(__xludf.DUMMYFUNCTION("GOOGLETRANSLATE('대전도시공사_청년임대주택 현황_20240630'!H874,""ko"",""en"")"),"3rd place for youth rental")</f>
        <v>3rd place for youth rental</v>
      </c>
      <c r="I874" s="1" t="str">
        <f ca="1">IFERROR(__xludf.DUMMYFUNCTION("GOOGLETRANSLATE('대전도시공사_청년임대주택 현황_20240630'!I874,""ko"",""en"")"),"2000000")</f>
        <v>2000000</v>
      </c>
      <c r="J874" s="1" t="str">
        <f ca="1">IFERROR(__xludf.DUMMYFUNCTION("GOOGLETRANSLATE('대전도시공사_청년임대주택 현황_20240630'!J874,""ko"",""en"")"),"285400")</f>
        <v>285400</v>
      </c>
    </row>
    <row r="875" spans="1:10" ht="12.5" x14ac:dyDescent="0.25">
      <c r="A875" s="1" t="str">
        <f ca="1">IFERROR(__xludf.DUMMYFUNCTION("GOOGLETRANSLATE('대전도시공사_청년임대주택 현황_20240630'!A875,""ko"",""en"")"),"Goejeong-dong 3-1 (Samyoung Building 2, Youth Rental)")</f>
        <v>Goejeong-dong 3-1 (Samyoung Building 2, Youth Rental)</v>
      </c>
      <c r="B875" s="1" t="str">
        <f ca="1">IFERROR(__xludf.DUMMYFUNCTION("GOOGLETRANSLATE('대전도시공사_청년임대주택 현황_20240630'!B875,""ko"",""en"")"),"79")</f>
        <v>79</v>
      </c>
      <c r="C875" s="1" t="str">
        <f ca="1">IFERROR(__xludf.DUMMYFUNCTION("GOOGLETRANSLATE('대전도시공사_청년임대주택 현황_20240630'!C875,""ko"",""en"")"),"1")</f>
        <v>1</v>
      </c>
      <c r="D875" s="1" t="str">
        <f ca="1">IFERROR(__xludf.DUMMYFUNCTION("GOOGLETRANSLATE('대전도시공사_청년임대주택 현황_20240630'!D875,""ko"",""en"")"),"809")</f>
        <v>809</v>
      </c>
      <c r="E875" s="1" t="str">
        <f ca="1">IFERROR(__xludf.DUMMYFUNCTION("GOOGLETRANSLATE('대전도시공사_청년임대주택 현황_20240630'!E875,""ko"",""en"")"),"64.993")</f>
        <v>64.993</v>
      </c>
      <c r="F875" s="1" t="str">
        <f ca="1">IFERROR(__xludf.DUMMYFUNCTION("GOOGLETRANSLATE('대전도시공사_청년임대주택 현황_20240630'!F875,""ko"",""en"")"),"22.438")</f>
        <v>22.438</v>
      </c>
      <c r="G875" s="1" t="str">
        <f ca="1">IFERROR(__xludf.DUMMYFUNCTION("GOOGLETRANSLATE('대전도시공사_청년임대주택 현황_20240630'!G875,""ko"",""en"")"),"42.554")</f>
        <v>42.554</v>
      </c>
      <c r="H875" s="1" t="str">
        <f ca="1">IFERROR(__xludf.DUMMYFUNCTION("GOOGLETRANSLATE('대전도시공사_청년임대주택 현황_20240630'!H875,""ko"",""en"")"),"Beneficiary")</f>
        <v>Beneficiary</v>
      </c>
      <c r="I875" s="1" t="str">
        <f ca="1">IFERROR(__xludf.DUMMYFUNCTION("GOOGLETRANSLATE('대전도시공사_청년임대주택 현황_20240630'!I875,""ko"",""en"")"),"1000000")</f>
        <v>1000000</v>
      </c>
      <c r="J875" s="1" t="str">
        <f ca="1">IFERROR(__xludf.DUMMYFUNCTION("GOOGLETRANSLATE('대전도시공사_청년임대주택 현황_20240630'!J875,""ko"",""en"")"),"231700")</f>
        <v>231700</v>
      </c>
    </row>
    <row r="876" spans="1:10" ht="12.5" x14ac:dyDescent="0.25">
      <c r="A876" s="1" t="str">
        <f ca="1">IFERROR(__xludf.DUMMYFUNCTION("GOOGLETRANSLATE('대전도시공사_청년임대주택 현황_20240630'!A876,""ko"",""en"")"),"Goejeong-dong 3-1 (Samyoung Building 2, Youth Rental)")</f>
        <v>Goejeong-dong 3-1 (Samyoung Building 2, Youth Rental)</v>
      </c>
      <c r="B876" s="1" t="str">
        <f ca="1">IFERROR(__xludf.DUMMYFUNCTION("GOOGLETRANSLATE('대전도시공사_청년임대주택 현황_20240630'!B876,""ko"",""en"")"),"80")</f>
        <v>80</v>
      </c>
      <c r="C876" s="1" t="str">
        <f ca="1">IFERROR(__xludf.DUMMYFUNCTION("GOOGLETRANSLATE('대전도시공사_청년임대주택 현황_20240630'!C876,""ko"",""en"")"),"1")</f>
        <v>1</v>
      </c>
      <c r="D876" s="1" t="str">
        <f ca="1">IFERROR(__xludf.DUMMYFUNCTION("GOOGLETRANSLATE('대전도시공사_청년임대주택 현황_20240630'!D876,""ko"",""en"")"),"809")</f>
        <v>809</v>
      </c>
      <c r="E876" s="1" t="str">
        <f ca="1">IFERROR(__xludf.DUMMYFUNCTION("GOOGLETRANSLATE('대전도시공사_청년임대주택 현황_20240630'!E876,""ko"",""en"")"),"64.993")</f>
        <v>64.993</v>
      </c>
      <c r="F876" s="1" t="str">
        <f ca="1">IFERROR(__xludf.DUMMYFUNCTION("GOOGLETRANSLATE('대전도시공사_청년임대주택 현황_20240630'!F876,""ko"",""en"")"),"22.438")</f>
        <v>22.438</v>
      </c>
      <c r="G876" s="1" t="str">
        <f ca="1">IFERROR(__xludf.DUMMYFUNCTION("GOOGLETRANSLATE('대전도시공사_청년임대주택 현황_20240630'!G876,""ko"",""en"")"),"42.554")</f>
        <v>42.554</v>
      </c>
      <c r="H876" s="1" t="str">
        <f ca="1">IFERROR(__xludf.DUMMYFUNCTION("GOOGLETRANSLATE('대전도시공사_청년임대주택 현황_20240630'!H876,""ko"",""en"")"),"Youth Rental 2nd Place")</f>
        <v>Youth Rental 2nd Place</v>
      </c>
      <c r="I876" s="1" t="str">
        <f ca="1">IFERROR(__xludf.DUMMYFUNCTION("GOOGLETRANSLATE('대전도시공사_청년임대주택 현황_20240630'!I876,""ko"",""en"")"),"2000000")</f>
        <v>2000000</v>
      </c>
      <c r="J876" s="1" t="str">
        <f ca="1">IFERROR(__xludf.DUMMYFUNCTION("GOOGLETRANSLATE('대전도시공사_청년임대주택 현황_20240630'!J876,""ko"",""en"")"),"285400")</f>
        <v>285400</v>
      </c>
    </row>
    <row r="877" spans="1:10" ht="12.5" x14ac:dyDescent="0.25">
      <c r="A877" s="1" t="str">
        <f ca="1">IFERROR(__xludf.DUMMYFUNCTION("GOOGLETRANSLATE('대전도시공사_청년임대주택 현황_20240630'!A877,""ko"",""en"")"),"Goejeong-dong 3-1 (Samyoung Building 2, Youth Rental)")</f>
        <v>Goejeong-dong 3-1 (Samyoung Building 2, Youth Rental)</v>
      </c>
      <c r="B877" s="1" t="str">
        <f ca="1">IFERROR(__xludf.DUMMYFUNCTION("GOOGLETRANSLATE('대전도시공사_청년임대주택 현황_20240630'!B877,""ko"",""en"")"),"81")</f>
        <v>81</v>
      </c>
      <c r="C877" s="1" t="str">
        <f ca="1">IFERROR(__xludf.DUMMYFUNCTION("GOOGLETRANSLATE('대전도시공사_청년임대주택 현황_20240630'!C877,""ko"",""en"")"),"1")</f>
        <v>1</v>
      </c>
      <c r="D877" s="1" t="str">
        <f ca="1">IFERROR(__xludf.DUMMYFUNCTION("GOOGLETRANSLATE('대전도시공사_청년임대주택 현황_20240630'!D877,""ko"",""en"")"),"809")</f>
        <v>809</v>
      </c>
      <c r="E877" s="1" t="str">
        <f ca="1">IFERROR(__xludf.DUMMYFUNCTION("GOOGLETRANSLATE('대전도시공사_청년임대주택 현황_20240630'!E877,""ko"",""en"")"),"64.993")</f>
        <v>64.993</v>
      </c>
      <c r="F877" s="1" t="str">
        <f ca="1">IFERROR(__xludf.DUMMYFUNCTION("GOOGLETRANSLATE('대전도시공사_청년임대주택 현황_20240630'!F877,""ko"",""en"")"),"22.438")</f>
        <v>22.438</v>
      </c>
      <c r="G877" s="1" t="str">
        <f ca="1">IFERROR(__xludf.DUMMYFUNCTION("GOOGLETRANSLATE('대전도시공사_청년임대주택 현황_20240630'!G877,""ko"",""en"")"),"42.554")</f>
        <v>42.554</v>
      </c>
      <c r="H877" s="1" t="str">
        <f ca="1">IFERROR(__xludf.DUMMYFUNCTION("GOOGLETRANSLATE('대전도시공사_청년임대주택 현황_20240630'!H877,""ko"",""en"")"),"3rd place for youth rental")</f>
        <v>3rd place for youth rental</v>
      </c>
      <c r="I877" s="1" t="str">
        <f ca="1">IFERROR(__xludf.DUMMYFUNCTION("GOOGLETRANSLATE('대전도시공사_청년임대주택 현황_20240630'!I877,""ko"",""en"")"),"2000000")</f>
        <v>2000000</v>
      </c>
      <c r="J877" s="1" t="str">
        <f ca="1">IFERROR(__xludf.DUMMYFUNCTION("GOOGLETRANSLATE('대전도시공사_청년임대주택 현황_20240630'!J877,""ko"",""en"")"),"285400")</f>
        <v>285400</v>
      </c>
    </row>
    <row r="878" spans="1:10" ht="12.5" x14ac:dyDescent="0.25">
      <c r="A878" s="1" t="str">
        <f ca="1">IFERROR(__xludf.DUMMYFUNCTION("GOOGLETRANSLATE('대전도시공사_청년임대주택 현황_20240630'!A878,""ko"",""en"")"),"Goejeong-dong 3-1 (Samyoung Building 2, Youth Rental)")</f>
        <v>Goejeong-dong 3-1 (Samyoung Building 2, Youth Rental)</v>
      </c>
      <c r="B878" s="1" t="str">
        <f ca="1">IFERROR(__xludf.DUMMYFUNCTION("GOOGLETRANSLATE('대전도시공사_청년임대주택 현황_20240630'!B878,""ko"",""en"")"),"82")</f>
        <v>82</v>
      </c>
      <c r="C878" s="1" t="str">
        <f ca="1">IFERROR(__xludf.DUMMYFUNCTION("GOOGLETRANSLATE('대전도시공사_청년임대주택 현황_20240630'!C878,""ko"",""en"")"),"1")</f>
        <v>1</v>
      </c>
      <c r="D878" s="1" t="str">
        <f ca="1">IFERROR(__xludf.DUMMYFUNCTION("GOOGLETRANSLATE('대전도시공사_청년임대주택 현황_20240630'!D878,""ko"",""en"")"),"810")</f>
        <v>810</v>
      </c>
      <c r="E878" s="1" t="str">
        <f ca="1">IFERROR(__xludf.DUMMYFUNCTION("GOOGLETRANSLATE('대전도시공사_청년임대주택 현황_20240630'!E878,""ko"",""en"")"),"64.993")</f>
        <v>64.993</v>
      </c>
      <c r="F878" s="1" t="str">
        <f ca="1">IFERROR(__xludf.DUMMYFUNCTION("GOOGLETRANSLATE('대전도시공사_청년임대주택 현황_20240630'!F878,""ko"",""en"")"),"22.438")</f>
        <v>22.438</v>
      </c>
      <c r="G878" s="1" t="str">
        <f ca="1">IFERROR(__xludf.DUMMYFUNCTION("GOOGLETRANSLATE('대전도시공사_청년임대주택 현황_20240630'!G878,""ko"",""en"")"),"42.554")</f>
        <v>42.554</v>
      </c>
      <c r="H878" s="1" t="str">
        <f ca="1">IFERROR(__xludf.DUMMYFUNCTION("GOOGLETRANSLATE('대전도시공사_청년임대주택 현황_20240630'!H878,""ko"",""en"")"),"Youth Rent 1st Place")</f>
        <v>Youth Rent 1st Place</v>
      </c>
      <c r="I878" s="1" t="str">
        <f ca="1">IFERROR(__xludf.DUMMYFUNCTION("GOOGLETRANSLATE('대전도시공사_청년임대주택 현황_20240630'!I878,""ko"",""en"")"),"1000000")</f>
        <v>1000000</v>
      </c>
      <c r="J878" s="1" t="str">
        <f ca="1">IFERROR(__xludf.DUMMYFUNCTION("GOOGLETRANSLATE('대전도시공사_청년임대주택 현황_20240630'!J878,""ko"",""en"")"),"238800")</f>
        <v>238800</v>
      </c>
    </row>
    <row r="879" spans="1:10" ht="12.5" x14ac:dyDescent="0.25">
      <c r="A879" s="1" t="str">
        <f ca="1">IFERROR(__xludf.DUMMYFUNCTION("GOOGLETRANSLATE('대전도시공사_청년임대주택 현황_20240630'!A879,""ko"",""en"")"),"Goejeong-dong 3-1 (Samyoung Building 2, Youth Rental)")</f>
        <v>Goejeong-dong 3-1 (Samyoung Building 2, Youth Rental)</v>
      </c>
      <c r="B879" s="1" t="str">
        <f ca="1">IFERROR(__xludf.DUMMYFUNCTION("GOOGLETRANSLATE('대전도시공사_청년임대주택 현황_20240630'!B879,""ko"",""en"")"),"83")</f>
        <v>83</v>
      </c>
      <c r="C879" s="1" t="str">
        <f ca="1">IFERROR(__xludf.DUMMYFUNCTION("GOOGLETRANSLATE('대전도시공사_청년임대주택 현황_20240630'!C879,""ko"",""en"")"),"1")</f>
        <v>1</v>
      </c>
      <c r="D879" s="1" t="str">
        <f ca="1">IFERROR(__xludf.DUMMYFUNCTION("GOOGLETRANSLATE('대전도시공사_청년임대주택 현황_20240630'!D879,""ko"",""en"")"),"810")</f>
        <v>810</v>
      </c>
      <c r="E879" s="1" t="str">
        <f ca="1">IFERROR(__xludf.DUMMYFUNCTION("GOOGLETRANSLATE('대전도시공사_청년임대주택 현황_20240630'!E879,""ko"",""en"")"),"64.993")</f>
        <v>64.993</v>
      </c>
      <c r="F879" s="1" t="str">
        <f ca="1">IFERROR(__xludf.DUMMYFUNCTION("GOOGLETRANSLATE('대전도시공사_청년임대주택 현황_20240630'!F879,""ko"",""en"")"),"22.438")</f>
        <v>22.438</v>
      </c>
      <c r="G879" s="1" t="str">
        <f ca="1">IFERROR(__xludf.DUMMYFUNCTION("GOOGLETRANSLATE('대전도시공사_청년임대주택 현황_20240630'!G879,""ko"",""en"")"),"42.554")</f>
        <v>42.554</v>
      </c>
      <c r="H879" s="1" t="str">
        <f ca="1">IFERROR(__xludf.DUMMYFUNCTION("GOOGLETRANSLATE('대전도시공사_청년임대주택 현황_20240630'!H879,""ko"",""en"")"),"Youth Rental 2nd Place")</f>
        <v>Youth Rental 2nd Place</v>
      </c>
      <c r="I879" s="1" t="str">
        <f ca="1">IFERROR(__xludf.DUMMYFUNCTION("GOOGLETRANSLATE('대전도시공사_청년임대주택 현황_20240630'!I879,""ko"",""en"")"),"2000000")</f>
        <v>2000000</v>
      </c>
      <c r="J879" s="1" t="str">
        <f ca="1">IFERROR(__xludf.DUMMYFUNCTION("GOOGLETRANSLATE('대전도시공사_청년임대주택 현황_20240630'!J879,""ko"",""en"")"),"294400")</f>
        <v>294400</v>
      </c>
    </row>
    <row r="880" spans="1:10" ht="12.5" x14ac:dyDescent="0.25">
      <c r="A880" s="1" t="str">
        <f ca="1">IFERROR(__xludf.DUMMYFUNCTION("GOOGLETRANSLATE('대전도시공사_청년임대주택 현황_20240630'!A880,""ko"",""en"")"),"Goejeong-dong 3-1 (Samyoung Building 2, Youth Rental)")</f>
        <v>Goejeong-dong 3-1 (Samyoung Building 2, Youth Rental)</v>
      </c>
      <c r="B880" s="1" t="str">
        <f ca="1">IFERROR(__xludf.DUMMYFUNCTION("GOOGLETRANSLATE('대전도시공사_청년임대주택 현황_20240630'!B880,""ko"",""en"")"),"84")</f>
        <v>84</v>
      </c>
      <c r="C880" s="1" t="str">
        <f ca="1">IFERROR(__xludf.DUMMYFUNCTION("GOOGLETRANSLATE('대전도시공사_청년임대주택 현황_20240630'!C880,""ko"",""en"")"),"1")</f>
        <v>1</v>
      </c>
      <c r="D880" s="1" t="str">
        <f ca="1">IFERROR(__xludf.DUMMYFUNCTION("GOOGLETRANSLATE('대전도시공사_청년임대주택 현황_20240630'!D880,""ko"",""en"")"),"810")</f>
        <v>810</v>
      </c>
      <c r="E880" s="1" t="str">
        <f ca="1">IFERROR(__xludf.DUMMYFUNCTION("GOOGLETRANSLATE('대전도시공사_청년임대주택 현황_20240630'!E880,""ko"",""en"")"),"64.993")</f>
        <v>64.993</v>
      </c>
      <c r="F880" s="1" t="str">
        <f ca="1">IFERROR(__xludf.DUMMYFUNCTION("GOOGLETRANSLATE('대전도시공사_청년임대주택 현황_20240630'!F880,""ko"",""en"")"),"22.438")</f>
        <v>22.438</v>
      </c>
      <c r="G880" s="1" t="str">
        <f ca="1">IFERROR(__xludf.DUMMYFUNCTION("GOOGLETRANSLATE('대전도시공사_청년임대주택 현황_20240630'!G880,""ko"",""en"")"),"42.554")</f>
        <v>42.554</v>
      </c>
      <c r="H880" s="1" t="str">
        <f ca="1">IFERROR(__xludf.DUMMYFUNCTION("GOOGLETRANSLATE('대전도시공사_청년임대주택 현황_20240630'!H880,""ko"",""en"")"),"3rd place for youth rental")</f>
        <v>3rd place for youth rental</v>
      </c>
      <c r="I880" s="1" t="str">
        <f ca="1">IFERROR(__xludf.DUMMYFUNCTION("GOOGLETRANSLATE('대전도시공사_청년임대주택 현황_20240630'!I880,""ko"",""en"")"),"2000000")</f>
        <v>2000000</v>
      </c>
      <c r="J880" s="1" t="str">
        <f ca="1">IFERROR(__xludf.DUMMYFUNCTION("GOOGLETRANSLATE('대전도시공사_청년임대주택 현황_20240630'!J880,""ko"",""en"")"),"294400")</f>
        <v>294400</v>
      </c>
    </row>
    <row r="881" spans="1:10" ht="12.5" x14ac:dyDescent="0.25">
      <c r="A881" s="1" t="str">
        <f ca="1">IFERROR(__xludf.DUMMYFUNCTION("GOOGLETRANSLATE('대전도시공사_청년임대주택 현황_20240630'!A881,""ko"",""en"")"),"Goejeong-dong 3-1 (Samyoung Building 2, Youth Rental)")</f>
        <v>Goejeong-dong 3-1 (Samyoung Building 2, Youth Rental)</v>
      </c>
      <c r="B881" s="1" t="str">
        <f ca="1">IFERROR(__xludf.DUMMYFUNCTION("GOOGLETRANSLATE('대전도시공사_청년임대주택 현황_20240630'!B881,""ko"",""en"")"),"85")</f>
        <v>85</v>
      </c>
      <c r="C881" s="1" t="str">
        <f ca="1">IFERROR(__xludf.DUMMYFUNCTION("GOOGLETRANSLATE('대전도시공사_청년임대주택 현황_20240630'!C881,""ko"",""en"")"),"1")</f>
        <v>1</v>
      </c>
      <c r="D881" s="1" t="str">
        <f ca="1">IFERROR(__xludf.DUMMYFUNCTION("GOOGLETRANSLATE('대전도시공사_청년임대주택 현황_20240630'!D881,""ko"",""en"")"),"811")</f>
        <v>811</v>
      </c>
      <c r="E881" s="1" t="str">
        <f ca="1">IFERROR(__xludf.DUMMYFUNCTION("GOOGLETRANSLATE('대전도시공사_청년임대주택 현황_20240630'!E881,""ko"",""en"")"),"64.993")</f>
        <v>64.993</v>
      </c>
      <c r="F881" s="1" t="str">
        <f ca="1">IFERROR(__xludf.DUMMYFUNCTION("GOOGLETRANSLATE('대전도시공사_청년임대주택 현황_20240630'!F881,""ko"",""en"")"),"22.438")</f>
        <v>22.438</v>
      </c>
      <c r="G881" s="1" t="str">
        <f ca="1">IFERROR(__xludf.DUMMYFUNCTION("GOOGLETRANSLATE('대전도시공사_청년임대주택 현황_20240630'!G881,""ko"",""en"")"),"42.554")</f>
        <v>42.554</v>
      </c>
      <c r="H881" s="1" t="str">
        <f ca="1">IFERROR(__xludf.DUMMYFUNCTION("GOOGLETRANSLATE('대전도시공사_청년임대주택 현황_20240630'!H881,""ko"",""en"")"),"Beneficiary")</f>
        <v>Beneficiary</v>
      </c>
      <c r="I881" s="1" t="str">
        <f ca="1">IFERROR(__xludf.DUMMYFUNCTION("GOOGLETRANSLATE('대전도시공사_청년임대주택 현황_20240630'!I881,""ko"",""en"")"),"1000000")</f>
        <v>1000000</v>
      </c>
      <c r="J881" s="1" t="str">
        <f ca="1">IFERROR(__xludf.DUMMYFUNCTION("GOOGLETRANSLATE('대전도시공사_청년임대주택 현황_20240630'!J881,""ko"",""en"")"),"238800")</f>
        <v>238800</v>
      </c>
    </row>
    <row r="882" spans="1:10" ht="12.5" x14ac:dyDescent="0.25">
      <c r="A882" s="1" t="str">
        <f ca="1">IFERROR(__xludf.DUMMYFUNCTION("GOOGLETRANSLATE('대전도시공사_청년임대주택 현황_20240630'!A882,""ko"",""en"")"),"Goejeong-dong 3-1 (Samyoung Building 2, Youth Rental)")</f>
        <v>Goejeong-dong 3-1 (Samyoung Building 2, Youth Rental)</v>
      </c>
      <c r="B882" s="1" t="str">
        <f ca="1">IFERROR(__xludf.DUMMYFUNCTION("GOOGLETRANSLATE('대전도시공사_청년임대주택 현황_20240630'!B882,""ko"",""en"")"),"86")</f>
        <v>86</v>
      </c>
      <c r="C882" s="1" t="str">
        <f ca="1">IFERROR(__xludf.DUMMYFUNCTION("GOOGLETRANSLATE('대전도시공사_청년임대주택 현황_20240630'!C882,""ko"",""en"")"),"1")</f>
        <v>1</v>
      </c>
      <c r="D882" s="1" t="str">
        <f ca="1">IFERROR(__xludf.DUMMYFUNCTION("GOOGLETRANSLATE('대전도시공사_청년임대주택 현황_20240630'!D882,""ko"",""en"")"),"811")</f>
        <v>811</v>
      </c>
      <c r="E882" s="1" t="str">
        <f ca="1">IFERROR(__xludf.DUMMYFUNCTION("GOOGLETRANSLATE('대전도시공사_청년임대주택 현황_20240630'!E882,""ko"",""en"")"),"64.993")</f>
        <v>64.993</v>
      </c>
      <c r="F882" s="1" t="str">
        <f ca="1">IFERROR(__xludf.DUMMYFUNCTION("GOOGLETRANSLATE('대전도시공사_청년임대주택 현황_20240630'!F882,""ko"",""en"")"),"22.438")</f>
        <v>22.438</v>
      </c>
      <c r="G882" s="1" t="str">
        <f ca="1">IFERROR(__xludf.DUMMYFUNCTION("GOOGLETRANSLATE('대전도시공사_청년임대주택 현황_20240630'!G882,""ko"",""en"")"),"42.554")</f>
        <v>42.554</v>
      </c>
      <c r="H882" s="1" t="str">
        <f ca="1">IFERROR(__xludf.DUMMYFUNCTION("GOOGLETRANSLATE('대전도시공사_청년임대주택 현황_20240630'!H882,""ko"",""en"")"),"Youth Rental 2nd Place")</f>
        <v>Youth Rental 2nd Place</v>
      </c>
      <c r="I882" s="1" t="str">
        <f ca="1">IFERROR(__xludf.DUMMYFUNCTION("GOOGLETRANSLATE('대전도시공사_청년임대주택 현황_20240630'!I882,""ko"",""en"")"),"2000000")</f>
        <v>2000000</v>
      </c>
      <c r="J882" s="1" t="str">
        <f ca="1">IFERROR(__xludf.DUMMYFUNCTION("GOOGLETRANSLATE('대전도시공사_청년임대주택 현황_20240630'!J882,""ko"",""en"")"),"294400")</f>
        <v>294400</v>
      </c>
    </row>
    <row r="883" spans="1:10" ht="12.5" x14ac:dyDescent="0.25">
      <c r="A883" s="1" t="str">
        <f ca="1">IFERROR(__xludf.DUMMYFUNCTION("GOOGLETRANSLATE('대전도시공사_청년임대주택 현황_20240630'!A883,""ko"",""en"")"),"Goejeong-dong 3-1 (Samyoung Building 2, Youth Rental)")</f>
        <v>Goejeong-dong 3-1 (Samyoung Building 2, Youth Rental)</v>
      </c>
      <c r="B883" s="1" t="str">
        <f ca="1">IFERROR(__xludf.DUMMYFUNCTION("GOOGLETRANSLATE('대전도시공사_청년임대주택 현황_20240630'!B883,""ko"",""en"")"),"87")</f>
        <v>87</v>
      </c>
      <c r="C883" s="1" t="str">
        <f ca="1">IFERROR(__xludf.DUMMYFUNCTION("GOOGLETRANSLATE('대전도시공사_청년임대주택 현황_20240630'!C883,""ko"",""en"")"),"1")</f>
        <v>1</v>
      </c>
      <c r="D883" s="1" t="str">
        <f ca="1">IFERROR(__xludf.DUMMYFUNCTION("GOOGLETRANSLATE('대전도시공사_청년임대주택 현황_20240630'!D883,""ko"",""en"")"),"811")</f>
        <v>811</v>
      </c>
      <c r="E883" s="1" t="str">
        <f ca="1">IFERROR(__xludf.DUMMYFUNCTION("GOOGLETRANSLATE('대전도시공사_청년임대주택 현황_20240630'!E883,""ko"",""en"")"),"64.993")</f>
        <v>64.993</v>
      </c>
      <c r="F883" s="1" t="str">
        <f ca="1">IFERROR(__xludf.DUMMYFUNCTION("GOOGLETRANSLATE('대전도시공사_청년임대주택 현황_20240630'!F883,""ko"",""en"")"),"22.438")</f>
        <v>22.438</v>
      </c>
      <c r="G883" s="1" t="str">
        <f ca="1">IFERROR(__xludf.DUMMYFUNCTION("GOOGLETRANSLATE('대전도시공사_청년임대주택 현황_20240630'!G883,""ko"",""en"")"),"42.554")</f>
        <v>42.554</v>
      </c>
      <c r="H883" s="1" t="str">
        <f ca="1">IFERROR(__xludf.DUMMYFUNCTION("GOOGLETRANSLATE('대전도시공사_청년임대주택 현황_20240630'!H883,""ko"",""en"")"),"3rd place for youth rental")</f>
        <v>3rd place for youth rental</v>
      </c>
      <c r="I883" s="1" t="str">
        <f ca="1">IFERROR(__xludf.DUMMYFUNCTION("GOOGLETRANSLATE('대전도시공사_청년임대주택 현황_20240630'!I883,""ko"",""en"")"),"2000000")</f>
        <v>2000000</v>
      </c>
      <c r="J883" s="1" t="str">
        <f ca="1">IFERROR(__xludf.DUMMYFUNCTION("GOOGLETRANSLATE('대전도시공사_청년임대주택 현황_20240630'!J883,""ko"",""en"")"),"294400")</f>
        <v>294400</v>
      </c>
    </row>
    <row r="884" spans="1:10" ht="12.5" x14ac:dyDescent="0.25">
      <c r="A884" s="1" t="str">
        <f ca="1">IFERROR(__xludf.DUMMYFUNCTION("GOOGLETRANSLATE('대전도시공사_청년임대주택 현황_20240630'!A884,""ko"",""en"")"),"Goejeong-dong 3-1 (Samyoung Building 2, Youth Rental)")</f>
        <v>Goejeong-dong 3-1 (Samyoung Building 2, Youth Rental)</v>
      </c>
      <c r="B884" s="1" t="str">
        <f ca="1">IFERROR(__xludf.DUMMYFUNCTION("GOOGLETRANSLATE('대전도시공사_청년임대주택 현황_20240630'!B884,""ko"",""en"")"),"88")</f>
        <v>88</v>
      </c>
      <c r="C884" s="1" t="str">
        <f ca="1">IFERROR(__xludf.DUMMYFUNCTION("GOOGLETRANSLATE('대전도시공사_청년임대주택 현황_20240630'!C884,""ko"",""en"")"),"1")</f>
        <v>1</v>
      </c>
      <c r="D884" s="1" t="str">
        <f ca="1">IFERROR(__xludf.DUMMYFUNCTION("GOOGLETRANSLATE('대전도시공사_청년임대주택 현황_20240630'!D884,""ko"",""en"")"),"812")</f>
        <v>812</v>
      </c>
      <c r="E884" s="1" t="str">
        <f ca="1">IFERROR(__xludf.DUMMYFUNCTION("GOOGLETRANSLATE('대전도시공사_청년임대주택 현황_20240630'!E884,""ko"",""en"")"),"64.993")</f>
        <v>64.993</v>
      </c>
      <c r="F884" s="1" t="str">
        <f ca="1">IFERROR(__xludf.DUMMYFUNCTION("GOOGLETRANSLATE('대전도시공사_청년임대주택 현황_20240630'!F884,""ko"",""en"")"),"22.438")</f>
        <v>22.438</v>
      </c>
      <c r="G884" s="1" t="str">
        <f ca="1">IFERROR(__xludf.DUMMYFUNCTION("GOOGLETRANSLATE('대전도시공사_청년임대주택 현황_20240630'!G884,""ko"",""en"")"),"42.554")</f>
        <v>42.554</v>
      </c>
      <c r="H884" s="1" t="str">
        <f ca="1">IFERROR(__xludf.DUMMYFUNCTION("GOOGLETRANSLATE('대전도시공사_청년임대주택 현황_20240630'!H884,""ko"",""en"")"),"Beneficiary")</f>
        <v>Beneficiary</v>
      </c>
      <c r="I884" s="1" t="str">
        <f ca="1">IFERROR(__xludf.DUMMYFUNCTION("GOOGLETRANSLATE('대전도시공사_청년임대주택 현황_20240630'!I884,""ko"",""en"")"),"1000000")</f>
        <v>1000000</v>
      </c>
      <c r="J884" s="1" t="str">
        <f ca="1">IFERROR(__xludf.DUMMYFUNCTION("GOOGLETRANSLATE('대전도시공사_청년임대주택 현황_20240630'!J884,""ko"",""en"")"),"238800")</f>
        <v>238800</v>
      </c>
    </row>
    <row r="885" spans="1:10" ht="12.5" x14ac:dyDescent="0.25">
      <c r="A885" s="1" t="str">
        <f ca="1">IFERROR(__xludf.DUMMYFUNCTION("GOOGLETRANSLATE('대전도시공사_청년임대주택 현황_20240630'!A885,""ko"",""en"")"),"Goejeong-dong 3-1 (Samyoung Building 2, Youth Rental)")</f>
        <v>Goejeong-dong 3-1 (Samyoung Building 2, Youth Rental)</v>
      </c>
      <c r="B885" s="1" t="str">
        <f ca="1">IFERROR(__xludf.DUMMYFUNCTION("GOOGLETRANSLATE('대전도시공사_청년임대주택 현황_20240630'!B885,""ko"",""en"")"),"89")</f>
        <v>89</v>
      </c>
      <c r="C885" s="1" t="str">
        <f ca="1">IFERROR(__xludf.DUMMYFUNCTION("GOOGLETRANSLATE('대전도시공사_청년임대주택 현황_20240630'!C885,""ko"",""en"")"),"1")</f>
        <v>1</v>
      </c>
      <c r="D885" s="1" t="str">
        <f ca="1">IFERROR(__xludf.DUMMYFUNCTION("GOOGLETRANSLATE('대전도시공사_청년임대주택 현황_20240630'!D885,""ko"",""en"")"),"812")</f>
        <v>812</v>
      </c>
      <c r="E885" s="1" t="str">
        <f ca="1">IFERROR(__xludf.DUMMYFUNCTION("GOOGLETRANSLATE('대전도시공사_청년임대주택 현황_20240630'!E885,""ko"",""en"")"),"64.993")</f>
        <v>64.993</v>
      </c>
      <c r="F885" s="1" t="str">
        <f ca="1">IFERROR(__xludf.DUMMYFUNCTION("GOOGLETRANSLATE('대전도시공사_청년임대주택 현황_20240630'!F885,""ko"",""en"")"),"22.438")</f>
        <v>22.438</v>
      </c>
      <c r="G885" s="1" t="str">
        <f ca="1">IFERROR(__xludf.DUMMYFUNCTION("GOOGLETRANSLATE('대전도시공사_청년임대주택 현황_20240630'!G885,""ko"",""en"")"),"42.554")</f>
        <v>42.554</v>
      </c>
      <c r="H885" s="1" t="str">
        <f ca="1">IFERROR(__xludf.DUMMYFUNCTION("GOOGLETRANSLATE('대전도시공사_청년임대주택 현황_20240630'!H885,""ko"",""en"")"),"Youth Rental 2nd Place")</f>
        <v>Youth Rental 2nd Place</v>
      </c>
      <c r="I885" s="1" t="str">
        <f ca="1">IFERROR(__xludf.DUMMYFUNCTION("GOOGLETRANSLATE('대전도시공사_청년임대주택 현황_20240630'!I885,""ko"",""en"")"),"2000000")</f>
        <v>2000000</v>
      </c>
      <c r="J885" s="1" t="str">
        <f ca="1">IFERROR(__xludf.DUMMYFUNCTION("GOOGLETRANSLATE('대전도시공사_청년임대주택 현황_20240630'!J885,""ko"",""en"")"),"294400")</f>
        <v>294400</v>
      </c>
    </row>
    <row r="886" spans="1:10" ht="12.5" x14ac:dyDescent="0.25">
      <c r="A886" s="1" t="str">
        <f ca="1">IFERROR(__xludf.DUMMYFUNCTION("GOOGLETRANSLATE('대전도시공사_청년임대주택 현황_20240630'!A886,""ko"",""en"")"),"Goejeong-dong 3-1 (Samyoung Building 2, Youth Rental)")</f>
        <v>Goejeong-dong 3-1 (Samyoung Building 2, Youth Rental)</v>
      </c>
      <c r="B886" s="1" t="str">
        <f ca="1">IFERROR(__xludf.DUMMYFUNCTION("GOOGLETRANSLATE('대전도시공사_청년임대주택 현황_20240630'!B886,""ko"",""en"")"),"90")</f>
        <v>90</v>
      </c>
      <c r="C886" s="1" t="str">
        <f ca="1">IFERROR(__xludf.DUMMYFUNCTION("GOOGLETRANSLATE('대전도시공사_청년임대주택 현황_20240630'!C886,""ko"",""en"")"),"1")</f>
        <v>1</v>
      </c>
      <c r="D886" s="1" t="str">
        <f ca="1">IFERROR(__xludf.DUMMYFUNCTION("GOOGLETRANSLATE('대전도시공사_청년임대주택 현황_20240630'!D886,""ko"",""en"")"),"812")</f>
        <v>812</v>
      </c>
      <c r="E886" s="1" t="str">
        <f ca="1">IFERROR(__xludf.DUMMYFUNCTION("GOOGLETRANSLATE('대전도시공사_청년임대주택 현황_20240630'!E886,""ko"",""en"")"),"64.993")</f>
        <v>64.993</v>
      </c>
      <c r="F886" s="1" t="str">
        <f ca="1">IFERROR(__xludf.DUMMYFUNCTION("GOOGLETRANSLATE('대전도시공사_청년임대주택 현황_20240630'!F886,""ko"",""en"")"),"22.438")</f>
        <v>22.438</v>
      </c>
      <c r="G886" s="1" t="str">
        <f ca="1">IFERROR(__xludf.DUMMYFUNCTION("GOOGLETRANSLATE('대전도시공사_청년임대주택 현황_20240630'!G886,""ko"",""en"")"),"42.554")</f>
        <v>42.554</v>
      </c>
      <c r="H886" s="1" t="str">
        <f ca="1">IFERROR(__xludf.DUMMYFUNCTION("GOOGLETRANSLATE('대전도시공사_청년임대주택 현황_20240630'!H886,""ko"",""en"")"),"3rd place for youth rental")</f>
        <v>3rd place for youth rental</v>
      </c>
      <c r="I886" s="1" t="str">
        <f ca="1">IFERROR(__xludf.DUMMYFUNCTION("GOOGLETRANSLATE('대전도시공사_청년임대주택 현황_20240630'!I886,""ko"",""en"")"),"2000000")</f>
        <v>2000000</v>
      </c>
      <c r="J886" s="1" t="str">
        <f ca="1">IFERROR(__xludf.DUMMYFUNCTION("GOOGLETRANSLATE('대전도시공사_청년임대주택 현황_20240630'!J886,""ko"",""en"")"),"294400")</f>
        <v>294400</v>
      </c>
    </row>
    <row r="887" spans="1:10" ht="12.5" x14ac:dyDescent="0.25">
      <c r="A887" s="1" t="str">
        <f ca="1">IFERROR(__xludf.DUMMYFUNCTION("GOOGLETRANSLATE('대전도시공사_청년임대주택 현황_20240630'!A887,""ko"",""en"")"),"Goejeong-dong 3-1 (Samyoung Building 2, Youth Rental)")</f>
        <v>Goejeong-dong 3-1 (Samyoung Building 2, Youth Rental)</v>
      </c>
      <c r="B887" s="1" t="str">
        <f ca="1">IFERROR(__xludf.DUMMYFUNCTION("GOOGLETRANSLATE('대전도시공사_청년임대주택 현황_20240630'!B887,""ko"",""en"")"),"91")</f>
        <v>91</v>
      </c>
      <c r="C887" s="1" t="str">
        <f ca="1">IFERROR(__xludf.DUMMYFUNCTION("GOOGLETRANSLATE('대전도시공사_청년임대주택 현황_20240630'!C887,""ko"",""en"")"),"1")</f>
        <v>1</v>
      </c>
      <c r="D887" s="1" t="str">
        <f ca="1">IFERROR(__xludf.DUMMYFUNCTION("GOOGLETRANSLATE('대전도시공사_청년임대주택 현황_20240630'!D887,""ko"",""en"")"),"813")</f>
        <v>813</v>
      </c>
      <c r="E887" s="1" t="str">
        <f ca="1">IFERROR(__xludf.DUMMYFUNCTION("GOOGLETRANSLATE('대전도시공사_청년임대주택 현황_20240630'!E887,""ko"",""en"")"),"64.993")</f>
        <v>64.993</v>
      </c>
      <c r="F887" s="1" t="str">
        <f ca="1">IFERROR(__xludf.DUMMYFUNCTION("GOOGLETRANSLATE('대전도시공사_청년임대주택 현황_20240630'!F887,""ko"",""en"")"),"22.438")</f>
        <v>22.438</v>
      </c>
      <c r="G887" s="1" t="str">
        <f ca="1">IFERROR(__xludf.DUMMYFUNCTION("GOOGLETRANSLATE('대전도시공사_청년임대주택 현황_20240630'!G887,""ko"",""en"")"),"42.554")</f>
        <v>42.554</v>
      </c>
      <c r="H887" s="1" t="str">
        <f ca="1">IFERROR(__xludf.DUMMYFUNCTION("GOOGLETRANSLATE('대전도시공사_청년임대주택 현황_20240630'!H887,""ko"",""en"")"),"Youth Rent 1st Place")</f>
        <v>Youth Rent 1st Place</v>
      </c>
      <c r="I887" s="1" t="str">
        <f ca="1">IFERROR(__xludf.DUMMYFUNCTION("GOOGLETRANSLATE('대전도시공사_청년임대주택 현황_20240630'!I887,""ko"",""en"")"),"1000000")</f>
        <v>1000000</v>
      </c>
      <c r="J887" s="1" t="str">
        <f ca="1">IFERROR(__xludf.DUMMYFUNCTION("GOOGLETRANSLATE('대전도시공사_청년임대주택 현황_20240630'!J887,""ko"",""en"")"),"238800")</f>
        <v>238800</v>
      </c>
    </row>
    <row r="888" spans="1:10" ht="12.5" x14ac:dyDescent="0.25">
      <c r="A888" s="1" t="str">
        <f ca="1">IFERROR(__xludf.DUMMYFUNCTION("GOOGLETRANSLATE('대전도시공사_청년임대주택 현황_20240630'!A888,""ko"",""en"")"),"Goejeong-dong 3-1 (Samyoung Building 2, Youth Rental)")</f>
        <v>Goejeong-dong 3-1 (Samyoung Building 2, Youth Rental)</v>
      </c>
      <c r="B888" s="1" t="str">
        <f ca="1">IFERROR(__xludf.DUMMYFUNCTION("GOOGLETRANSLATE('대전도시공사_청년임대주택 현황_20240630'!B888,""ko"",""en"")"),"92")</f>
        <v>92</v>
      </c>
      <c r="C888" s="1" t="str">
        <f ca="1">IFERROR(__xludf.DUMMYFUNCTION("GOOGLETRANSLATE('대전도시공사_청년임대주택 현황_20240630'!C888,""ko"",""en"")"),"1")</f>
        <v>1</v>
      </c>
      <c r="D888" s="1" t="str">
        <f ca="1">IFERROR(__xludf.DUMMYFUNCTION("GOOGLETRANSLATE('대전도시공사_청년임대주택 현황_20240630'!D888,""ko"",""en"")"),"813")</f>
        <v>813</v>
      </c>
      <c r="E888" s="1" t="str">
        <f ca="1">IFERROR(__xludf.DUMMYFUNCTION("GOOGLETRANSLATE('대전도시공사_청년임대주택 현황_20240630'!E888,""ko"",""en"")"),"64.993")</f>
        <v>64.993</v>
      </c>
      <c r="F888" s="1" t="str">
        <f ca="1">IFERROR(__xludf.DUMMYFUNCTION("GOOGLETRANSLATE('대전도시공사_청년임대주택 현황_20240630'!F888,""ko"",""en"")"),"22.438")</f>
        <v>22.438</v>
      </c>
      <c r="G888" s="1" t="str">
        <f ca="1">IFERROR(__xludf.DUMMYFUNCTION("GOOGLETRANSLATE('대전도시공사_청년임대주택 현황_20240630'!G888,""ko"",""en"")"),"42.554")</f>
        <v>42.554</v>
      </c>
      <c r="H888" s="1" t="str">
        <f ca="1">IFERROR(__xludf.DUMMYFUNCTION("GOOGLETRANSLATE('대전도시공사_청년임대주택 현황_20240630'!H888,""ko"",""en"")"),"Youth Rental 2nd Place")</f>
        <v>Youth Rental 2nd Place</v>
      </c>
      <c r="I888" s="1" t="str">
        <f ca="1">IFERROR(__xludf.DUMMYFUNCTION("GOOGLETRANSLATE('대전도시공사_청년임대주택 현황_20240630'!I888,""ko"",""en"")"),"2000000")</f>
        <v>2000000</v>
      </c>
      <c r="J888" s="1" t="str">
        <f ca="1">IFERROR(__xludf.DUMMYFUNCTION("GOOGLETRANSLATE('대전도시공사_청년임대주택 현황_20240630'!J888,""ko"",""en"")"),"294400")</f>
        <v>294400</v>
      </c>
    </row>
    <row r="889" spans="1:10" ht="12.5" x14ac:dyDescent="0.25">
      <c r="A889" s="1" t="str">
        <f ca="1">IFERROR(__xludf.DUMMYFUNCTION("GOOGLETRANSLATE('대전도시공사_청년임대주택 현황_20240630'!A889,""ko"",""en"")"),"Goejeong-dong 3-1 (Samyoung Building 2, Youth Rental)")</f>
        <v>Goejeong-dong 3-1 (Samyoung Building 2, Youth Rental)</v>
      </c>
      <c r="B889" s="1" t="str">
        <f ca="1">IFERROR(__xludf.DUMMYFUNCTION("GOOGLETRANSLATE('대전도시공사_청년임대주택 현황_20240630'!B889,""ko"",""en"")"),"93")</f>
        <v>93</v>
      </c>
      <c r="C889" s="1" t="str">
        <f ca="1">IFERROR(__xludf.DUMMYFUNCTION("GOOGLETRANSLATE('대전도시공사_청년임대주택 현황_20240630'!C889,""ko"",""en"")"),"1")</f>
        <v>1</v>
      </c>
      <c r="D889" s="1" t="str">
        <f ca="1">IFERROR(__xludf.DUMMYFUNCTION("GOOGLETRANSLATE('대전도시공사_청년임대주택 현황_20240630'!D889,""ko"",""en"")"),"813")</f>
        <v>813</v>
      </c>
      <c r="E889" s="1" t="str">
        <f ca="1">IFERROR(__xludf.DUMMYFUNCTION("GOOGLETRANSLATE('대전도시공사_청년임대주택 현황_20240630'!E889,""ko"",""en"")"),"64.993")</f>
        <v>64.993</v>
      </c>
      <c r="F889" s="1" t="str">
        <f ca="1">IFERROR(__xludf.DUMMYFUNCTION("GOOGLETRANSLATE('대전도시공사_청년임대주택 현황_20240630'!F889,""ko"",""en"")"),"22.438")</f>
        <v>22.438</v>
      </c>
      <c r="G889" s="1" t="str">
        <f ca="1">IFERROR(__xludf.DUMMYFUNCTION("GOOGLETRANSLATE('대전도시공사_청년임대주택 현황_20240630'!G889,""ko"",""en"")"),"42.554")</f>
        <v>42.554</v>
      </c>
      <c r="H889" s="1" t="str">
        <f ca="1">IFERROR(__xludf.DUMMYFUNCTION("GOOGLETRANSLATE('대전도시공사_청년임대주택 현황_20240630'!H889,""ko"",""en"")"),"3rd place for youth rental")</f>
        <v>3rd place for youth rental</v>
      </c>
      <c r="I889" s="1" t="str">
        <f ca="1">IFERROR(__xludf.DUMMYFUNCTION("GOOGLETRANSLATE('대전도시공사_청년임대주택 현황_20240630'!I889,""ko"",""en"")"),"2000000")</f>
        <v>2000000</v>
      </c>
      <c r="J889" s="1" t="str">
        <f ca="1">IFERROR(__xludf.DUMMYFUNCTION("GOOGLETRANSLATE('대전도시공사_청년임대주택 현황_20240630'!J889,""ko"",""en"")"),"294400")</f>
        <v>294400</v>
      </c>
    </row>
    <row r="890" spans="1:10" ht="12.5" x14ac:dyDescent="0.25">
      <c r="A890" s="1" t="str">
        <f ca="1">IFERROR(__xludf.DUMMYFUNCTION("GOOGLETRANSLATE('대전도시공사_청년임대주택 현황_20240630'!A890,""ko"",""en"")"),"Goejeong-dong 3-1 (Samyoung Building 2, Youth Rental)")</f>
        <v>Goejeong-dong 3-1 (Samyoung Building 2, Youth Rental)</v>
      </c>
      <c r="B890" s="1" t="str">
        <f ca="1">IFERROR(__xludf.DUMMYFUNCTION("GOOGLETRANSLATE('대전도시공사_청년임대주택 현황_20240630'!B890,""ko"",""en"")"),"94")</f>
        <v>94</v>
      </c>
      <c r="C890" s="1" t="str">
        <f ca="1">IFERROR(__xludf.DUMMYFUNCTION("GOOGLETRANSLATE('대전도시공사_청년임대주택 현황_20240630'!C890,""ko"",""en"")"),"1")</f>
        <v>1</v>
      </c>
      <c r="D890" s="1" t="str">
        <f ca="1">IFERROR(__xludf.DUMMYFUNCTION("GOOGLETRANSLATE('대전도시공사_청년임대주택 현황_20240630'!D890,""ko"",""en"")"),"814")</f>
        <v>814</v>
      </c>
      <c r="E890" s="1" t="str">
        <f ca="1">IFERROR(__xludf.DUMMYFUNCTION("GOOGLETRANSLATE('대전도시공사_청년임대주택 현황_20240630'!E890,""ko"",""en"")"),"64.993")</f>
        <v>64.993</v>
      </c>
      <c r="F890" s="1" t="str">
        <f ca="1">IFERROR(__xludf.DUMMYFUNCTION("GOOGLETRANSLATE('대전도시공사_청년임대주택 현황_20240630'!F890,""ko"",""en"")"),"22.438")</f>
        <v>22.438</v>
      </c>
      <c r="G890" s="1" t="str">
        <f ca="1">IFERROR(__xludf.DUMMYFUNCTION("GOOGLETRANSLATE('대전도시공사_청년임대주택 현황_20240630'!G890,""ko"",""en"")"),"42.554")</f>
        <v>42.554</v>
      </c>
      <c r="H890" s="1" t="str">
        <f ca="1">IFERROR(__xludf.DUMMYFUNCTION("GOOGLETRANSLATE('대전도시공사_청년임대주택 현황_20240630'!H890,""ko"",""en"")"),"Youth Rent 1st Place")</f>
        <v>Youth Rent 1st Place</v>
      </c>
      <c r="I890" s="1" t="str">
        <f ca="1">IFERROR(__xludf.DUMMYFUNCTION("GOOGLETRANSLATE('대전도시공사_청년임대주택 현황_20240630'!I890,""ko"",""en"")"),"1000000")</f>
        <v>1000000</v>
      </c>
      <c r="J890" s="1" t="str">
        <f ca="1">IFERROR(__xludf.DUMMYFUNCTION("GOOGLETRANSLATE('대전도시공사_청년임대주택 현황_20240630'!J890,""ko"",""en"")"),"238800")</f>
        <v>238800</v>
      </c>
    </row>
    <row r="891" spans="1:10" ht="12.5" x14ac:dyDescent="0.25">
      <c r="A891" s="1" t="str">
        <f ca="1">IFERROR(__xludf.DUMMYFUNCTION("GOOGLETRANSLATE('대전도시공사_청년임대주택 현황_20240630'!A891,""ko"",""en"")"),"Goejeong-dong 3-1 (Samyoung Building 2, Youth Rental)")</f>
        <v>Goejeong-dong 3-1 (Samyoung Building 2, Youth Rental)</v>
      </c>
      <c r="B891" s="1" t="str">
        <f ca="1">IFERROR(__xludf.DUMMYFUNCTION("GOOGLETRANSLATE('대전도시공사_청년임대주택 현황_20240630'!B891,""ko"",""en"")"),"95")</f>
        <v>95</v>
      </c>
      <c r="C891" s="1" t="str">
        <f ca="1">IFERROR(__xludf.DUMMYFUNCTION("GOOGLETRANSLATE('대전도시공사_청년임대주택 현황_20240630'!C891,""ko"",""en"")"),"1")</f>
        <v>1</v>
      </c>
      <c r="D891" s="1" t="str">
        <f ca="1">IFERROR(__xludf.DUMMYFUNCTION("GOOGLETRANSLATE('대전도시공사_청년임대주택 현황_20240630'!D891,""ko"",""en"")"),"814")</f>
        <v>814</v>
      </c>
      <c r="E891" s="1" t="str">
        <f ca="1">IFERROR(__xludf.DUMMYFUNCTION("GOOGLETRANSLATE('대전도시공사_청년임대주택 현황_20240630'!E891,""ko"",""en"")"),"64.993")</f>
        <v>64.993</v>
      </c>
      <c r="F891" s="1" t="str">
        <f ca="1">IFERROR(__xludf.DUMMYFUNCTION("GOOGLETRANSLATE('대전도시공사_청년임대주택 현황_20240630'!F891,""ko"",""en"")"),"22.438")</f>
        <v>22.438</v>
      </c>
      <c r="G891" s="1" t="str">
        <f ca="1">IFERROR(__xludf.DUMMYFUNCTION("GOOGLETRANSLATE('대전도시공사_청년임대주택 현황_20240630'!G891,""ko"",""en"")"),"42.554")</f>
        <v>42.554</v>
      </c>
      <c r="H891" s="1" t="str">
        <f ca="1">IFERROR(__xludf.DUMMYFUNCTION("GOOGLETRANSLATE('대전도시공사_청년임대주택 현황_20240630'!H891,""ko"",""en"")"),"Youth Rental 2nd Place")</f>
        <v>Youth Rental 2nd Place</v>
      </c>
      <c r="I891" s="1" t="str">
        <f ca="1">IFERROR(__xludf.DUMMYFUNCTION("GOOGLETRANSLATE('대전도시공사_청년임대주택 현황_20240630'!I891,""ko"",""en"")"),"2000000")</f>
        <v>2000000</v>
      </c>
      <c r="J891" s="1" t="str">
        <f ca="1">IFERROR(__xludf.DUMMYFUNCTION("GOOGLETRANSLATE('대전도시공사_청년임대주택 현황_20240630'!J891,""ko"",""en"")"),"294400")</f>
        <v>294400</v>
      </c>
    </row>
    <row r="892" spans="1:10" ht="12.5" x14ac:dyDescent="0.25">
      <c r="A892" s="1" t="str">
        <f ca="1">IFERROR(__xludf.DUMMYFUNCTION("GOOGLETRANSLATE('대전도시공사_청년임대주택 현황_20240630'!A892,""ko"",""en"")"),"Goejeong-dong 3-1 (Samyoung Building 2, Youth Rental)")</f>
        <v>Goejeong-dong 3-1 (Samyoung Building 2, Youth Rental)</v>
      </c>
      <c r="B892" s="1" t="str">
        <f ca="1">IFERROR(__xludf.DUMMYFUNCTION("GOOGLETRANSLATE('대전도시공사_청년임대주택 현황_20240630'!B892,""ko"",""en"")"),"96")</f>
        <v>96</v>
      </c>
      <c r="C892" s="1" t="str">
        <f ca="1">IFERROR(__xludf.DUMMYFUNCTION("GOOGLETRANSLATE('대전도시공사_청년임대주택 현황_20240630'!C892,""ko"",""en"")"),"1")</f>
        <v>1</v>
      </c>
      <c r="D892" s="1" t="str">
        <f ca="1">IFERROR(__xludf.DUMMYFUNCTION("GOOGLETRANSLATE('대전도시공사_청년임대주택 현황_20240630'!D892,""ko"",""en"")"),"814")</f>
        <v>814</v>
      </c>
      <c r="E892" s="1" t="str">
        <f ca="1">IFERROR(__xludf.DUMMYFUNCTION("GOOGLETRANSLATE('대전도시공사_청년임대주택 현황_20240630'!E892,""ko"",""en"")"),"64.993")</f>
        <v>64.993</v>
      </c>
      <c r="F892" s="1" t="str">
        <f ca="1">IFERROR(__xludf.DUMMYFUNCTION("GOOGLETRANSLATE('대전도시공사_청년임대주택 현황_20240630'!F892,""ko"",""en"")"),"22.438")</f>
        <v>22.438</v>
      </c>
      <c r="G892" s="1" t="str">
        <f ca="1">IFERROR(__xludf.DUMMYFUNCTION("GOOGLETRANSLATE('대전도시공사_청년임대주택 현황_20240630'!G892,""ko"",""en"")"),"42.554")</f>
        <v>42.554</v>
      </c>
      <c r="H892" s="1" t="str">
        <f ca="1">IFERROR(__xludf.DUMMYFUNCTION("GOOGLETRANSLATE('대전도시공사_청년임대주택 현황_20240630'!H892,""ko"",""en"")"),"3rd place for youth rental")</f>
        <v>3rd place for youth rental</v>
      </c>
      <c r="I892" s="1" t="str">
        <f ca="1">IFERROR(__xludf.DUMMYFUNCTION("GOOGLETRANSLATE('대전도시공사_청년임대주택 현황_20240630'!I892,""ko"",""en"")"),"2000000")</f>
        <v>2000000</v>
      </c>
      <c r="J892" s="1" t="str">
        <f ca="1">IFERROR(__xludf.DUMMYFUNCTION("GOOGLETRANSLATE('대전도시공사_청년임대주택 현황_20240630'!J892,""ko"",""en"")"),"294400")</f>
        <v>294400</v>
      </c>
    </row>
    <row r="893" spans="1:10" ht="12.5" x14ac:dyDescent="0.25">
      <c r="A893" s="1" t="str">
        <f ca="1">IFERROR(__xludf.DUMMYFUNCTION("GOOGLETRANSLATE('대전도시공사_청년임대주택 현황_20240630'!A893,""ko"",""en"")"),"Goejeong-dong 3-1 (Samyoung Building 2, Youth Rental)")</f>
        <v>Goejeong-dong 3-1 (Samyoung Building 2, Youth Rental)</v>
      </c>
      <c r="B893" s="1" t="str">
        <f ca="1">IFERROR(__xludf.DUMMYFUNCTION("GOOGLETRANSLATE('대전도시공사_청년임대주택 현황_20240630'!B893,""ko"",""en"")"),"97")</f>
        <v>97</v>
      </c>
      <c r="C893" s="1" t="str">
        <f ca="1">IFERROR(__xludf.DUMMYFUNCTION("GOOGLETRANSLATE('대전도시공사_청년임대주택 현황_20240630'!C893,""ko"",""en"")"),"1")</f>
        <v>1</v>
      </c>
      <c r="D893" s="1" t="str">
        <f ca="1">IFERROR(__xludf.DUMMYFUNCTION("GOOGLETRANSLATE('대전도시공사_청년임대주택 현황_20240630'!D893,""ko"",""en"")"),"815")</f>
        <v>815</v>
      </c>
      <c r="E893" s="1" t="str">
        <f ca="1">IFERROR(__xludf.DUMMYFUNCTION("GOOGLETRANSLATE('대전도시공사_청년임대주택 현황_20240630'!E893,""ko"",""en"")"),"64.993")</f>
        <v>64.993</v>
      </c>
      <c r="F893" s="1" t="str">
        <f ca="1">IFERROR(__xludf.DUMMYFUNCTION("GOOGLETRANSLATE('대전도시공사_청년임대주택 현황_20240630'!F893,""ko"",""en"")"),"22.438")</f>
        <v>22.438</v>
      </c>
      <c r="G893" s="1" t="str">
        <f ca="1">IFERROR(__xludf.DUMMYFUNCTION("GOOGLETRANSLATE('대전도시공사_청년임대주택 현황_20240630'!G893,""ko"",""en"")"),"42.554")</f>
        <v>42.554</v>
      </c>
      <c r="H893" s="1" t="str">
        <f ca="1">IFERROR(__xludf.DUMMYFUNCTION("GOOGLETRANSLATE('대전도시공사_청년임대주택 현황_20240630'!H893,""ko"",""en"")"),"Youth Rent 1st Place")</f>
        <v>Youth Rent 1st Place</v>
      </c>
      <c r="I893" s="1" t="str">
        <f ca="1">IFERROR(__xludf.DUMMYFUNCTION("GOOGLETRANSLATE('대전도시공사_청년임대주택 현황_20240630'!I893,""ko"",""en"")"),"1000000")</f>
        <v>1000000</v>
      </c>
      <c r="J893" s="1" t="str">
        <f ca="1">IFERROR(__xludf.DUMMYFUNCTION("GOOGLETRANSLATE('대전도시공사_청년임대주택 현황_20240630'!J893,""ko"",""en"")"),"238800")</f>
        <v>238800</v>
      </c>
    </row>
    <row r="894" spans="1:10" ht="12.5" x14ac:dyDescent="0.25">
      <c r="A894" s="1" t="str">
        <f ca="1">IFERROR(__xludf.DUMMYFUNCTION("GOOGLETRANSLATE('대전도시공사_청년임대주택 현황_20240630'!A894,""ko"",""en"")"),"Goejeong-dong 3-1 (Samyoung Building 2, Youth Rental)")</f>
        <v>Goejeong-dong 3-1 (Samyoung Building 2, Youth Rental)</v>
      </c>
      <c r="B894" s="1" t="str">
        <f ca="1">IFERROR(__xludf.DUMMYFUNCTION("GOOGLETRANSLATE('대전도시공사_청년임대주택 현황_20240630'!B894,""ko"",""en"")"),"98")</f>
        <v>98</v>
      </c>
      <c r="C894" s="1" t="str">
        <f ca="1">IFERROR(__xludf.DUMMYFUNCTION("GOOGLETRANSLATE('대전도시공사_청년임대주택 현황_20240630'!C894,""ko"",""en"")"),"1")</f>
        <v>1</v>
      </c>
      <c r="D894" s="1" t="str">
        <f ca="1">IFERROR(__xludf.DUMMYFUNCTION("GOOGLETRANSLATE('대전도시공사_청년임대주택 현황_20240630'!D894,""ko"",""en"")"),"815")</f>
        <v>815</v>
      </c>
      <c r="E894" s="1" t="str">
        <f ca="1">IFERROR(__xludf.DUMMYFUNCTION("GOOGLETRANSLATE('대전도시공사_청년임대주택 현황_20240630'!E894,""ko"",""en"")"),"64.993")</f>
        <v>64.993</v>
      </c>
      <c r="F894" s="1" t="str">
        <f ca="1">IFERROR(__xludf.DUMMYFUNCTION("GOOGLETRANSLATE('대전도시공사_청년임대주택 현황_20240630'!F894,""ko"",""en"")"),"22.438")</f>
        <v>22.438</v>
      </c>
      <c r="G894" s="1" t="str">
        <f ca="1">IFERROR(__xludf.DUMMYFUNCTION("GOOGLETRANSLATE('대전도시공사_청년임대주택 현황_20240630'!G894,""ko"",""en"")"),"42.554")</f>
        <v>42.554</v>
      </c>
      <c r="H894" s="1" t="str">
        <f ca="1">IFERROR(__xludf.DUMMYFUNCTION("GOOGLETRANSLATE('대전도시공사_청년임대주택 현황_20240630'!H894,""ko"",""en"")"),"Youth Rental 2nd Place")</f>
        <v>Youth Rental 2nd Place</v>
      </c>
      <c r="I894" s="1" t="str">
        <f ca="1">IFERROR(__xludf.DUMMYFUNCTION("GOOGLETRANSLATE('대전도시공사_청년임대주택 현황_20240630'!I894,""ko"",""en"")"),"2000000")</f>
        <v>2000000</v>
      </c>
      <c r="J894" s="1" t="str">
        <f ca="1">IFERROR(__xludf.DUMMYFUNCTION("GOOGLETRANSLATE('대전도시공사_청년임대주택 현황_20240630'!J894,""ko"",""en"")"),"294400")</f>
        <v>294400</v>
      </c>
    </row>
    <row r="895" spans="1:10" ht="12.5" x14ac:dyDescent="0.25">
      <c r="A895" s="1" t="str">
        <f ca="1">IFERROR(__xludf.DUMMYFUNCTION("GOOGLETRANSLATE('대전도시공사_청년임대주택 현황_20240630'!A895,""ko"",""en"")"),"Goejeong-dong 3-1 (Samyoung Building 2, Youth Rental)")</f>
        <v>Goejeong-dong 3-1 (Samyoung Building 2, Youth Rental)</v>
      </c>
      <c r="B895" s="1" t="str">
        <f ca="1">IFERROR(__xludf.DUMMYFUNCTION("GOOGLETRANSLATE('대전도시공사_청년임대주택 현황_20240630'!B895,""ko"",""en"")"),"99")</f>
        <v>99</v>
      </c>
      <c r="C895" s="1" t="str">
        <f ca="1">IFERROR(__xludf.DUMMYFUNCTION("GOOGLETRANSLATE('대전도시공사_청년임대주택 현황_20240630'!C895,""ko"",""en"")"),"1")</f>
        <v>1</v>
      </c>
      <c r="D895" s="1" t="str">
        <f ca="1">IFERROR(__xludf.DUMMYFUNCTION("GOOGLETRANSLATE('대전도시공사_청년임대주택 현황_20240630'!D895,""ko"",""en"")"),"815")</f>
        <v>815</v>
      </c>
      <c r="E895" s="1" t="str">
        <f ca="1">IFERROR(__xludf.DUMMYFUNCTION("GOOGLETRANSLATE('대전도시공사_청년임대주택 현황_20240630'!E895,""ko"",""en"")"),"64.993")</f>
        <v>64.993</v>
      </c>
      <c r="F895" s="1" t="str">
        <f ca="1">IFERROR(__xludf.DUMMYFUNCTION("GOOGLETRANSLATE('대전도시공사_청년임대주택 현황_20240630'!F895,""ko"",""en"")"),"22.438")</f>
        <v>22.438</v>
      </c>
      <c r="G895" s="1" t="str">
        <f ca="1">IFERROR(__xludf.DUMMYFUNCTION("GOOGLETRANSLATE('대전도시공사_청년임대주택 현황_20240630'!G895,""ko"",""en"")"),"42.554")</f>
        <v>42.554</v>
      </c>
      <c r="H895" s="1" t="str">
        <f ca="1">IFERROR(__xludf.DUMMYFUNCTION("GOOGLETRANSLATE('대전도시공사_청년임대주택 현황_20240630'!H895,""ko"",""en"")"),"3rd place for youth rental")</f>
        <v>3rd place for youth rental</v>
      </c>
      <c r="I895" s="1" t="str">
        <f ca="1">IFERROR(__xludf.DUMMYFUNCTION("GOOGLETRANSLATE('대전도시공사_청년임대주택 현황_20240630'!I895,""ko"",""en"")"),"2000000")</f>
        <v>2000000</v>
      </c>
      <c r="J895" s="1" t="str">
        <f ca="1">IFERROR(__xludf.DUMMYFUNCTION("GOOGLETRANSLATE('대전도시공사_청년임대주택 현황_20240630'!J895,""ko"",""en"")"),"294400")</f>
        <v>294400</v>
      </c>
    </row>
    <row r="896" spans="1:10" ht="12.5" x14ac:dyDescent="0.25">
      <c r="A896" s="1" t="str">
        <f ca="1">IFERROR(__xludf.DUMMYFUNCTION("GOOGLETRANSLATE('대전도시공사_청년임대주택 현황_20240630'!A896,""ko"",""en"")"),"Goejeong-dong 3-1 (Samyoung Building 2, Youth Rental)")</f>
        <v>Goejeong-dong 3-1 (Samyoung Building 2, Youth Rental)</v>
      </c>
      <c r="B896" s="1" t="str">
        <f ca="1">IFERROR(__xludf.DUMMYFUNCTION("GOOGLETRANSLATE('대전도시공사_청년임대주택 현황_20240630'!B896,""ko"",""en"")"),"100")</f>
        <v>100</v>
      </c>
      <c r="C896" s="1" t="str">
        <f ca="1">IFERROR(__xludf.DUMMYFUNCTION("GOOGLETRANSLATE('대전도시공사_청년임대주택 현황_20240630'!C896,""ko"",""en"")"),"1")</f>
        <v>1</v>
      </c>
      <c r="D896" s="1" t="str">
        <f ca="1">IFERROR(__xludf.DUMMYFUNCTION("GOOGLETRANSLATE('대전도시공사_청년임대주택 현황_20240630'!D896,""ko"",""en"")"),"816")</f>
        <v>816</v>
      </c>
      <c r="E896" s="1" t="str">
        <f ca="1">IFERROR(__xludf.DUMMYFUNCTION("GOOGLETRANSLATE('대전도시공사_청년임대주택 현황_20240630'!E896,""ko"",""en"")"),"64.993")</f>
        <v>64.993</v>
      </c>
      <c r="F896" s="1" t="str">
        <f ca="1">IFERROR(__xludf.DUMMYFUNCTION("GOOGLETRANSLATE('대전도시공사_청년임대주택 현황_20240630'!F896,""ko"",""en"")"),"22.438")</f>
        <v>22.438</v>
      </c>
      <c r="G896" s="1" t="str">
        <f ca="1">IFERROR(__xludf.DUMMYFUNCTION("GOOGLETRANSLATE('대전도시공사_청년임대주택 현황_20240630'!G896,""ko"",""en"")"),"42.554")</f>
        <v>42.554</v>
      </c>
      <c r="H896" s="1" t="str">
        <f ca="1">IFERROR(__xludf.DUMMYFUNCTION("GOOGLETRANSLATE('대전도시공사_청년임대주택 현황_20240630'!H896,""ko"",""en"")"),"Beneficiary")</f>
        <v>Beneficiary</v>
      </c>
      <c r="I896" s="1" t="str">
        <f ca="1">IFERROR(__xludf.DUMMYFUNCTION("GOOGLETRANSLATE('대전도시공사_청년임대주택 현황_20240630'!I896,""ko"",""en"")"),"1000000")</f>
        <v>1000000</v>
      </c>
      <c r="J896" s="1" t="str">
        <f ca="1">IFERROR(__xludf.DUMMYFUNCTION("GOOGLETRANSLATE('대전도시공사_청년임대주택 현황_20240630'!J896,""ko"",""en"")"),"238800")</f>
        <v>238800</v>
      </c>
    </row>
    <row r="897" spans="1:10" ht="12.5" x14ac:dyDescent="0.25">
      <c r="A897" s="1" t="str">
        <f ca="1">IFERROR(__xludf.DUMMYFUNCTION("GOOGLETRANSLATE('대전도시공사_청년임대주택 현황_20240630'!A897,""ko"",""en"")"),"Goejeong-dong 3-1 (Samyoung Building 2, Youth Rental)")</f>
        <v>Goejeong-dong 3-1 (Samyoung Building 2, Youth Rental)</v>
      </c>
      <c r="B897" s="1" t="str">
        <f ca="1">IFERROR(__xludf.DUMMYFUNCTION("GOOGLETRANSLATE('대전도시공사_청년임대주택 현황_20240630'!B897,""ko"",""en"")"),"101")</f>
        <v>101</v>
      </c>
      <c r="C897" s="1" t="str">
        <f ca="1">IFERROR(__xludf.DUMMYFUNCTION("GOOGLETRANSLATE('대전도시공사_청년임대주택 현황_20240630'!C897,""ko"",""en"")"),"1")</f>
        <v>1</v>
      </c>
      <c r="D897" s="1" t="str">
        <f ca="1">IFERROR(__xludf.DUMMYFUNCTION("GOOGLETRANSLATE('대전도시공사_청년임대주택 현황_20240630'!D897,""ko"",""en"")"),"816")</f>
        <v>816</v>
      </c>
      <c r="E897" s="1" t="str">
        <f ca="1">IFERROR(__xludf.DUMMYFUNCTION("GOOGLETRANSLATE('대전도시공사_청년임대주택 현황_20240630'!E897,""ko"",""en"")"),"64.993")</f>
        <v>64.993</v>
      </c>
      <c r="F897" s="1" t="str">
        <f ca="1">IFERROR(__xludf.DUMMYFUNCTION("GOOGLETRANSLATE('대전도시공사_청년임대주택 현황_20240630'!F897,""ko"",""en"")"),"22.438")</f>
        <v>22.438</v>
      </c>
      <c r="G897" s="1" t="str">
        <f ca="1">IFERROR(__xludf.DUMMYFUNCTION("GOOGLETRANSLATE('대전도시공사_청년임대주택 현황_20240630'!G897,""ko"",""en"")"),"42.554")</f>
        <v>42.554</v>
      </c>
      <c r="H897" s="1" t="str">
        <f ca="1">IFERROR(__xludf.DUMMYFUNCTION("GOOGLETRANSLATE('대전도시공사_청년임대주택 현황_20240630'!H897,""ko"",""en"")"),"Youth Rental 2nd Place")</f>
        <v>Youth Rental 2nd Place</v>
      </c>
      <c r="I897" s="1" t="str">
        <f ca="1">IFERROR(__xludf.DUMMYFUNCTION("GOOGLETRANSLATE('대전도시공사_청년임대주택 현황_20240630'!I897,""ko"",""en"")"),"2000000")</f>
        <v>2000000</v>
      </c>
      <c r="J897" s="1" t="str">
        <f ca="1">IFERROR(__xludf.DUMMYFUNCTION("GOOGLETRANSLATE('대전도시공사_청년임대주택 현황_20240630'!J897,""ko"",""en"")"),"294400")</f>
        <v>294400</v>
      </c>
    </row>
    <row r="898" spans="1:10" ht="12.5" x14ac:dyDescent="0.25">
      <c r="A898" s="1" t="str">
        <f ca="1">IFERROR(__xludf.DUMMYFUNCTION("GOOGLETRANSLATE('대전도시공사_청년임대주택 현황_20240630'!A898,""ko"",""en"")"),"Goejeong-dong 3-1 (Samyoung Building 2, Youth Rental)")</f>
        <v>Goejeong-dong 3-1 (Samyoung Building 2, Youth Rental)</v>
      </c>
      <c r="B898" s="1" t="str">
        <f ca="1">IFERROR(__xludf.DUMMYFUNCTION("GOOGLETRANSLATE('대전도시공사_청년임대주택 현황_20240630'!B898,""ko"",""en"")"),"102")</f>
        <v>102</v>
      </c>
      <c r="C898" s="1" t="str">
        <f ca="1">IFERROR(__xludf.DUMMYFUNCTION("GOOGLETRANSLATE('대전도시공사_청년임대주택 현황_20240630'!C898,""ko"",""en"")"),"1")</f>
        <v>1</v>
      </c>
      <c r="D898" s="1" t="str">
        <f ca="1">IFERROR(__xludf.DUMMYFUNCTION("GOOGLETRANSLATE('대전도시공사_청년임대주택 현황_20240630'!D898,""ko"",""en"")"),"816")</f>
        <v>816</v>
      </c>
      <c r="E898" s="1" t="str">
        <f ca="1">IFERROR(__xludf.DUMMYFUNCTION("GOOGLETRANSLATE('대전도시공사_청년임대주택 현황_20240630'!E898,""ko"",""en"")"),"64.993")</f>
        <v>64.993</v>
      </c>
      <c r="F898" s="1" t="str">
        <f ca="1">IFERROR(__xludf.DUMMYFUNCTION("GOOGLETRANSLATE('대전도시공사_청년임대주택 현황_20240630'!F898,""ko"",""en"")"),"22.438")</f>
        <v>22.438</v>
      </c>
      <c r="G898" s="1" t="str">
        <f ca="1">IFERROR(__xludf.DUMMYFUNCTION("GOOGLETRANSLATE('대전도시공사_청년임대주택 현황_20240630'!G898,""ko"",""en"")"),"42.554")</f>
        <v>42.554</v>
      </c>
      <c r="H898" s="1" t="str">
        <f ca="1">IFERROR(__xludf.DUMMYFUNCTION("GOOGLETRANSLATE('대전도시공사_청년임대주택 현황_20240630'!H898,""ko"",""en"")"),"3rd place for youth rental")</f>
        <v>3rd place for youth rental</v>
      </c>
      <c r="I898" s="1" t="str">
        <f ca="1">IFERROR(__xludf.DUMMYFUNCTION("GOOGLETRANSLATE('대전도시공사_청년임대주택 현황_20240630'!I898,""ko"",""en"")"),"2000000")</f>
        <v>2000000</v>
      </c>
      <c r="J898" s="1" t="str">
        <f ca="1">IFERROR(__xludf.DUMMYFUNCTION("GOOGLETRANSLATE('대전도시공사_청년임대주택 현황_20240630'!J898,""ko"",""en"")"),"294400")</f>
        <v>294400</v>
      </c>
    </row>
    <row r="899" spans="1:10" ht="12.5" x14ac:dyDescent="0.25">
      <c r="A899" s="1" t="str">
        <f ca="1">IFERROR(__xludf.DUMMYFUNCTION("GOOGLETRANSLATE('대전도시공사_청년임대주택 현황_20240630'!A899,""ko"",""en"")"),"Goejeong-dong 3-1 (Samyoung Building 2, Youth Rental)")</f>
        <v>Goejeong-dong 3-1 (Samyoung Building 2, Youth Rental)</v>
      </c>
      <c r="B899" s="1" t="str">
        <f ca="1">IFERROR(__xludf.DUMMYFUNCTION("GOOGLETRANSLATE('대전도시공사_청년임대주택 현황_20240630'!B899,""ko"",""en"")"),"103")</f>
        <v>103</v>
      </c>
      <c r="C899" s="1" t="str">
        <f ca="1">IFERROR(__xludf.DUMMYFUNCTION("GOOGLETRANSLATE('대전도시공사_청년임대주택 현황_20240630'!C899,""ko"",""en"")"),"1")</f>
        <v>1</v>
      </c>
      <c r="D899" s="1" t="str">
        <f ca="1">IFERROR(__xludf.DUMMYFUNCTION("GOOGLETRANSLATE('대전도시공사_청년임대주택 현황_20240630'!D899,""ko"",""en"")"),"817")</f>
        <v>817</v>
      </c>
      <c r="E899" s="1" t="str">
        <f ca="1">IFERROR(__xludf.DUMMYFUNCTION("GOOGLETRANSLATE('대전도시공사_청년임대주택 현황_20240630'!E899,""ko"",""en"")"),"64.993")</f>
        <v>64.993</v>
      </c>
      <c r="F899" s="1" t="str">
        <f ca="1">IFERROR(__xludf.DUMMYFUNCTION("GOOGLETRANSLATE('대전도시공사_청년임대주택 현황_20240630'!F899,""ko"",""en"")"),"22.438")</f>
        <v>22.438</v>
      </c>
      <c r="G899" s="1" t="str">
        <f ca="1">IFERROR(__xludf.DUMMYFUNCTION("GOOGLETRANSLATE('대전도시공사_청년임대주택 현황_20240630'!G899,""ko"",""en"")"),"42.554")</f>
        <v>42.554</v>
      </c>
      <c r="H899" s="1" t="str">
        <f ca="1">IFERROR(__xludf.DUMMYFUNCTION("GOOGLETRANSLATE('대전도시공사_청년임대주택 현황_20240630'!H899,""ko"",""en"")"),"Beneficiary")</f>
        <v>Beneficiary</v>
      </c>
      <c r="I899" s="1" t="str">
        <f ca="1">IFERROR(__xludf.DUMMYFUNCTION("GOOGLETRANSLATE('대전도시공사_청년임대주택 현황_20240630'!I899,""ko"",""en"")"),"1000000")</f>
        <v>1000000</v>
      </c>
      <c r="J899" s="1" t="str">
        <f ca="1">IFERROR(__xludf.DUMMYFUNCTION("GOOGLETRANSLATE('대전도시공사_청년임대주택 현황_20240630'!J899,""ko"",""en"")"),"238800")</f>
        <v>238800</v>
      </c>
    </row>
    <row r="900" spans="1:10" ht="12.5" x14ac:dyDescent="0.25">
      <c r="A900" s="1" t="str">
        <f ca="1">IFERROR(__xludf.DUMMYFUNCTION("GOOGLETRANSLATE('대전도시공사_청년임대주택 현황_20240630'!A900,""ko"",""en"")"),"Goejeong-dong 3-1 (Samyoung Building 2, Youth Rental)")</f>
        <v>Goejeong-dong 3-1 (Samyoung Building 2, Youth Rental)</v>
      </c>
      <c r="B900" s="1" t="str">
        <f ca="1">IFERROR(__xludf.DUMMYFUNCTION("GOOGLETRANSLATE('대전도시공사_청년임대주택 현황_20240630'!B900,""ko"",""en"")"),"104")</f>
        <v>104</v>
      </c>
      <c r="C900" s="1" t="str">
        <f ca="1">IFERROR(__xludf.DUMMYFUNCTION("GOOGLETRANSLATE('대전도시공사_청년임대주택 현황_20240630'!C900,""ko"",""en"")"),"1")</f>
        <v>1</v>
      </c>
      <c r="D900" s="1" t="str">
        <f ca="1">IFERROR(__xludf.DUMMYFUNCTION("GOOGLETRANSLATE('대전도시공사_청년임대주택 현황_20240630'!D900,""ko"",""en"")"),"817")</f>
        <v>817</v>
      </c>
      <c r="E900" s="1" t="str">
        <f ca="1">IFERROR(__xludf.DUMMYFUNCTION("GOOGLETRANSLATE('대전도시공사_청년임대주택 현황_20240630'!E900,""ko"",""en"")"),"64.993")</f>
        <v>64.993</v>
      </c>
      <c r="F900" s="1" t="str">
        <f ca="1">IFERROR(__xludf.DUMMYFUNCTION("GOOGLETRANSLATE('대전도시공사_청년임대주택 현황_20240630'!F900,""ko"",""en"")"),"22.438")</f>
        <v>22.438</v>
      </c>
      <c r="G900" s="1" t="str">
        <f ca="1">IFERROR(__xludf.DUMMYFUNCTION("GOOGLETRANSLATE('대전도시공사_청년임대주택 현황_20240630'!G900,""ko"",""en"")"),"42.554")</f>
        <v>42.554</v>
      </c>
      <c r="H900" s="1" t="str">
        <f ca="1">IFERROR(__xludf.DUMMYFUNCTION("GOOGLETRANSLATE('대전도시공사_청년임대주택 현황_20240630'!H900,""ko"",""en"")"),"Youth Rental 2nd Place")</f>
        <v>Youth Rental 2nd Place</v>
      </c>
      <c r="I900" s="1" t="str">
        <f ca="1">IFERROR(__xludf.DUMMYFUNCTION("GOOGLETRANSLATE('대전도시공사_청년임대주택 현황_20240630'!I900,""ko"",""en"")"),"2000000")</f>
        <v>2000000</v>
      </c>
      <c r="J900" s="1" t="str">
        <f ca="1">IFERROR(__xludf.DUMMYFUNCTION("GOOGLETRANSLATE('대전도시공사_청년임대주택 현황_20240630'!J900,""ko"",""en"")"),"294400")</f>
        <v>294400</v>
      </c>
    </row>
    <row r="901" spans="1:10" ht="12.5" x14ac:dyDescent="0.25">
      <c r="A901" s="1" t="str">
        <f ca="1">IFERROR(__xludf.DUMMYFUNCTION("GOOGLETRANSLATE('대전도시공사_청년임대주택 현황_20240630'!A901,""ko"",""en"")"),"Goejeong-dong 3-1 (Samyoung Building 2, Youth Rental)")</f>
        <v>Goejeong-dong 3-1 (Samyoung Building 2, Youth Rental)</v>
      </c>
      <c r="B901" s="1" t="str">
        <f ca="1">IFERROR(__xludf.DUMMYFUNCTION("GOOGLETRANSLATE('대전도시공사_청년임대주택 현황_20240630'!B901,""ko"",""en"")"),"105")</f>
        <v>105</v>
      </c>
      <c r="C901" s="1" t="str">
        <f ca="1">IFERROR(__xludf.DUMMYFUNCTION("GOOGLETRANSLATE('대전도시공사_청년임대주택 현황_20240630'!C901,""ko"",""en"")"),"1")</f>
        <v>1</v>
      </c>
      <c r="D901" s="1" t="str">
        <f ca="1">IFERROR(__xludf.DUMMYFUNCTION("GOOGLETRANSLATE('대전도시공사_청년임대주택 현황_20240630'!D901,""ko"",""en"")"),"817")</f>
        <v>817</v>
      </c>
      <c r="E901" s="1" t="str">
        <f ca="1">IFERROR(__xludf.DUMMYFUNCTION("GOOGLETRANSLATE('대전도시공사_청년임대주택 현황_20240630'!E901,""ko"",""en"")"),"64.993")</f>
        <v>64.993</v>
      </c>
      <c r="F901" s="1" t="str">
        <f ca="1">IFERROR(__xludf.DUMMYFUNCTION("GOOGLETRANSLATE('대전도시공사_청년임대주택 현황_20240630'!F901,""ko"",""en"")"),"22.438")</f>
        <v>22.438</v>
      </c>
      <c r="G901" s="1" t="str">
        <f ca="1">IFERROR(__xludf.DUMMYFUNCTION("GOOGLETRANSLATE('대전도시공사_청년임대주택 현황_20240630'!G901,""ko"",""en"")"),"42.554")</f>
        <v>42.554</v>
      </c>
      <c r="H901" s="1" t="str">
        <f ca="1">IFERROR(__xludf.DUMMYFUNCTION("GOOGLETRANSLATE('대전도시공사_청년임대주택 현황_20240630'!H901,""ko"",""en"")"),"3rd place for youth rental")</f>
        <v>3rd place for youth rental</v>
      </c>
      <c r="I901" s="1" t="str">
        <f ca="1">IFERROR(__xludf.DUMMYFUNCTION("GOOGLETRANSLATE('대전도시공사_청년임대주택 현황_20240630'!I901,""ko"",""en"")"),"2000000")</f>
        <v>2000000</v>
      </c>
      <c r="J901" s="1" t="str">
        <f ca="1">IFERROR(__xludf.DUMMYFUNCTION("GOOGLETRANSLATE('대전도시공사_청년임대주택 현황_20240630'!J901,""ko"",""en"")"),"294400")</f>
        <v>294400</v>
      </c>
    </row>
    <row r="902" spans="1:10" ht="12.5" x14ac:dyDescent="0.25">
      <c r="A902" s="1" t="str">
        <f ca="1">IFERROR(__xludf.DUMMYFUNCTION("GOOGLETRANSLATE('대전도시공사_청년임대주택 현황_20240630'!A902,""ko"",""en"")"),"Goejeong-dong 3-1 (Samyoung Building 2, Youth Rental)")</f>
        <v>Goejeong-dong 3-1 (Samyoung Building 2, Youth Rental)</v>
      </c>
      <c r="B902" s="1" t="str">
        <f ca="1">IFERROR(__xludf.DUMMYFUNCTION("GOOGLETRANSLATE('대전도시공사_청년임대주택 현황_20240630'!B902,""ko"",""en"")"),"106")</f>
        <v>106</v>
      </c>
      <c r="C902" s="1" t="str">
        <f ca="1">IFERROR(__xludf.DUMMYFUNCTION("GOOGLETRANSLATE('대전도시공사_청년임대주택 현황_20240630'!C902,""ko"",""en"")"),"1")</f>
        <v>1</v>
      </c>
      <c r="D902" s="1" t="str">
        <f ca="1">IFERROR(__xludf.DUMMYFUNCTION("GOOGLETRANSLATE('대전도시공사_청년임대주택 현황_20240630'!D902,""ko"",""en"")"),"818")</f>
        <v>818</v>
      </c>
      <c r="E902" s="1" t="str">
        <f ca="1">IFERROR(__xludf.DUMMYFUNCTION("GOOGLETRANSLATE('대전도시공사_청년임대주택 현황_20240630'!E902,""ko"",""en"")"),"97.512")</f>
        <v>97.512</v>
      </c>
      <c r="F902" s="1" t="str">
        <f ca="1">IFERROR(__xludf.DUMMYFUNCTION("GOOGLETRANSLATE('대전도시공사_청년임대주택 현황_20240630'!F902,""ko"",""en"")"),"33.695")</f>
        <v>33.695</v>
      </c>
      <c r="G902" s="1" t="str">
        <f ca="1">IFERROR(__xludf.DUMMYFUNCTION("GOOGLETRANSLATE('대전도시공사_청년임대주택 현황_20240630'!G902,""ko"",""en"")"),"63.916")</f>
        <v>63.916</v>
      </c>
      <c r="H902" s="1" t="str">
        <f ca="1">IFERROR(__xludf.DUMMYFUNCTION("GOOGLETRANSLATE('대전도시공사_청년임대주택 현황_20240630'!H902,""ko"",""en"")"),"Beneficiary")</f>
        <v>Beneficiary</v>
      </c>
      <c r="I902" s="1" t="str">
        <f ca="1">IFERROR(__xludf.DUMMYFUNCTION("GOOGLETRANSLATE('대전도시공사_청년임대주택 현황_20240630'!I902,""ko"",""en"")"),"1000000")</f>
        <v>1000000</v>
      </c>
      <c r="J902" s="1" t="str">
        <f ca="1">IFERROR(__xludf.DUMMYFUNCTION("GOOGLETRANSLATE('대전도시공사_청년임대주택 현황_20240630'!J902,""ko"",""en"")"),"357700")</f>
        <v>357700</v>
      </c>
    </row>
    <row r="903" spans="1:10" ht="12.5" x14ac:dyDescent="0.25">
      <c r="A903" s="1" t="str">
        <f ca="1">IFERROR(__xludf.DUMMYFUNCTION("GOOGLETRANSLATE('대전도시공사_청년임대주택 현황_20240630'!A903,""ko"",""en"")"),"Goejeong-dong 3-1 (Samyoung Building 2, Youth Rental)")</f>
        <v>Goejeong-dong 3-1 (Samyoung Building 2, Youth Rental)</v>
      </c>
      <c r="B903" s="1" t="str">
        <f ca="1">IFERROR(__xludf.DUMMYFUNCTION("GOOGLETRANSLATE('대전도시공사_청년임대주택 현황_20240630'!B903,""ko"",""en"")"),"107")</f>
        <v>107</v>
      </c>
      <c r="C903" s="1" t="str">
        <f ca="1">IFERROR(__xludf.DUMMYFUNCTION("GOOGLETRANSLATE('대전도시공사_청년임대주택 현황_20240630'!C903,""ko"",""en"")"),"1")</f>
        <v>1</v>
      </c>
      <c r="D903" s="1" t="str">
        <f ca="1">IFERROR(__xludf.DUMMYFUNCTION("GOOGLETRANSLATE('대전도시공사_청년임대주택 현황_20240630'!D903,""ko"",""en"")"),"818")</f>
        <v>818</v>
      </c>
      <c r="E903" s="1" t="str">
        <f ca="1">IFERROR(__xludf.DUMMYFUNCTION("GOOGLETRANSLATE('대전도시공사_청년임대주택 현황_20240630'!E903,""ko"",""en"")"),"97.512")</f>
        <v>97.512</v>
      </c>
      <c r="F903" s="1" t="str">
        <f ca="1">IFERROR(__xludf.DUMMYFUNCTION("GOOGLETRANSLATE('대전도시공사_청년임대주택 현황_20240630'!F903,""ko"",""en"")"),"33.695")</f>
        <v>33.695</v>
      </c>
      <c r="G903" s="1" t="str">
        <f ca="1">IFERROR(__xludf.DUMMYFUNCTION("GOOGLETRANSLATE('대전도시공사_청년임대주택 현황_20240630'!G903,""ko"",""en"")"),"63.916")</f>
        <v>63.916</v>
      </c>
      <c r="H903" s="1" t="str">
        <f ca="1">IFERROR(__xludf.DUMMYFUNCTION("GOOGLETRANSLATE('대전도시공사_청년임대주택 현황_20240630'!H903,""ko"",""en"")"),"Youth Rental 2nd Place")</f>
        <v>Youth Rental 2nd Place</v>
      </c>
      <c r="I903" s="1" t="str">
        <f ca="1">IFERROR(__xludf.DUMMYFUNCTION("GOOGLETRANSLATE('대전도시공사_청년임대주택 현황_20240630'!I903,""ko"",""en"")"),"2000000")</f>
        <v>2000000</v>
      </c>
      <c r="J903" s="1" t="str">
        <f ca="1">IFERROR(__xludf.DUMMYFUNCTION("GOOGLETRANSLATE('대전도시공사_청년임대주택 현황_20240630'!J903,""ko"",""en"")"),"442800")</f>
        <v>442800</v>
      </c>
    </row>
    <row r="904" spans="1:10" ht="12.5" x14ac:dyDescent="0.25">
      <c r="A904" s="1" t="str">
        <f ca="1">IFERROR(__xludf.DUMMYFUNCTION("GOOGLETRANSLATE('대전도시공사_청년임대주택 현황_20240630'!A904,""ko"",""en"")"),"Goejeong-dong 3-1 (Samyoung Building 2, Youth Rental)")</f>
        <v>Goejeong-dong 3-1 (Samyoung Building 2, Youth Rental)</v>
      </c>
      <c r="B904" s="1" t="str">
        <f ca="1">IFERROR(__xludf.DUMMYFUNCTION("GOOGLETRANSLATE('대전도시공사_청년임대주택 현황_20240630'!B904,""ko"",""en"")"),"108")</f>
        <v>108</v>
      </c>
      <c r="C904" s="1" t="str">
        <f ca="1">IFERROR(__xludf.DUMMYFUNCTION("GOOGLETRANSLATE('대전도시공사_청년임대주택 현황_20240630'!C904,""ko"",""en"")"),"1")</f>
        <v>1</v>
      </c>
      <c r="D904" s="1" t="str">
        <f ca="1">IFERROR(__xludf.DUMMYFUNCTION("GOOGLETRANSLATE('대전도시공사_청년임대주택 현황_20240630'!D904,""ko"",""en"")"),"818")</f>
        <v>818</v>
      </c>
      <c r="E904" s="1" t="str">
        <f ca="1">IFERROR(__xludf.DUMMYFUNCTION("GOOGLETRANSLATE('대전도시공사_청년임대주택 현황_20240630'!E904,""ko"",""en"")"),"97.512")</f>
        <v>97.512</v>
      </c>
      <c r="F904" s="1" t="str">
        <f ca="1">IFERROR(__xludf.DUMMYFUNCTION("GOOGLETRANSLATE('대전도시공사_청년임대주택 현황_20240630'!F904,""ko"",""en"")"),"33.695")</f>
        <v>33.695</v>
      </c>
      <c r="G904" s="1" t="str">
        <f ca="1">IFERROR(__xludf.DUMMYFUNCTION("GOOGLETRANSLATE('대전도시공사_청년임대주택 현황_20240630'!G904,""ko"",""en"")"),"63.916")</f>
        <v>63.916</v>
      </c>
      <c r="H904" s="1" t="str">
        <f ca="1">IFERROR(__xludf.DUMMYFUNCTION("GOOGLETRANSLATE('대전도시공사_청년임대주택 현황_20240630'!H904,""ko"",""en"")"),"3rd place for youth rental")</f>
        <v>3rd place for youth rental</v>
      </c>
      <c r="I904" s="1" t="str">
        <f ca="1">IFERROR(__xludf.DUMMYFUNCTION("GOOGLETRANSLATE('대전도시공사_청년임대주택 현황_20240630'!I904,""ko"",""en"")"),"2000000")</f>
        <v>2000000</v>
      </c>
      <c r="J904" s="1" t="str">
        <f ca="1">IFERROR(__xludf.DUMMYFUNCTION("GOOGLETRANSLATE('대전도시공사_청년임대주택 현황_20240630'!J904,""ko"",""en"")"),"442800")</f>
        <v>442800</v>
      </c>
    </row>
    <row r="905" spans="1:10" ht="12.5" x14ac:dyDescent="0.25">
      <c r="A905" s="1" t="str">
        <f ca="1">IFERROR(__xludf.DUMMYFUNCTION("GOOGLETRANSLATE('대전도시공사_청년임대주택 현황_20240630'!A905,""ko"",""en"")"),"Goejeong-dong 3-1 (Samyoung Building 2, Youth Rental)")</f>
        <v>Goejeong-dong 3-1 (Samyoung Building 2, Youth Rental)</v>
      </c>
      <c r="B905" s="1" t="str">
        <f ca="1">IFERROR(__xludf.DUMMYFUNCTION("GOOGLETRANSLATE('대전도시공사_청년임대주택 현황_20240630'!B905,""ko"",""en"")"),"109")</f>
        <v>109</v>
      </c>
      <c r="C905" s="1" t="str">
        <f ca="1">IFERROR(__xludf.DUMMYFUNCTION("GOOGLETRANSLATE('대전도시공사_청년임대주택 현황_20240630'!C905,""ko"",""en"")"),"1")</f>
        <v>1</v>
      </c>
      <c r="D905" s="1" t="str">
        <f ca="1">IFERROR(__xludf.DUMMYFUNCTION("GOOGLETRANSLATE('대전도시공사_청년임대주택 현황_20240630'!D905,""ko"",""en"")"),"901")</f>
        <v>901</v>
      </c>
      <c r="E905" s="1" t="str">
        <f ca="1">IFERROR(__xludf.DUMMYFUNCTION("GOOGLETRANSLATE('대전도시공사_청년임대주택 현황_20240630'!E905,""ko"",""en"")"),"97.512")</f>
        <v>97.512</v>
      </c>
      <c r="F905" s="1" t="str">
        <f ca="1">IFERROR(__xludf.DUMMYFUNCTION("GOOGLETRANSLATE('대전도시공사_청년임대주택 현황_20240630'!F905,""ko"",""en"")"),"33.695")</f>
        <v>33.695</v>
      </c>
      <c r="G905" s="1" t="str">
        <f ca="1">IFERROR(__xludf.DUMMYFUNCTION("GOOGLETRANSLATE('대전도시공사_청년임대주택 현황_20240630'!G905,""ko"",""en"")"),"63.916")</f>
        <v>63.916</v>
      </c>
      <c r="H905" s="1" t="str">
        <f ca="1">IFERROR(__xludf.DUMMYFUNCTION("GOOGLETRANSLATE('대전도시공사_청년임대주택 현황_20240630'!H905,""ko"",""en"")"),"Youth Rent 1st Place")</f>
        <v>Youth Rent 1st Place</v>
      </c>
      <c r="I905" s="1" t="str">
        <f ca="1">IFERROR(__xludf.DUMMYFUNCTION("GOOGLETRANSLATE('대전도시공사_청년임대주택 현황_20240630'!I905,""ko"",""en"")"),"1000000")</f>
        <v>1000000</v>
      </c>
      <c r="J905" s="1" t="str">
        <f ca="1">IFERROR(__xludf.DUMMYFUNCTION("GOOGLETRANSLATE('대전도시공사_청년임대주택 현황_20240630'!J905,""ko"",""en"")"),"346400")</f>
        <v>346400</v>
      </c>
    </row>
    <row r="906" spans="1:10" ht="12.5" x14ac:dyDescent="0.25">
      <c r="A906" s="1" t="str">
        <f ca="1">IFERROR(__xludf.DUMMYFUNCTION("GOOGLETRANSLATE('대전도시공사_청년임대주택 현황_20240630'!A906,""ko"",""en"")"),"Goejeong-dong 3-1 (Samyoung Building 2, Youth Rental)")</f>
        <v>Goejeong-dong 3-1 (Samyoung Building 2, Youth Rental)</v>
      </c>
      <c r="B906" s="1" t="str">
        <f ca="1">IFERROR(__xludf.DUMMYFUNCTION("GOOGLETRANSLATE('대전도시공사_청년임대주택 현황_20240630'!B906,""ko"",""en"")"),"110")</f>
        <v>110</v>
      </c>
      <c r="C906" s="1" t="str">
        <f ca="1">IFERROR(__xludf.DUMMYFUNCTION("GOOGLETRANSLATE('대전도시공사_청년임대주택 현황_20240630'!C906,""ko"",""en"")"),"1")</f>
        <v>1</v>
      </c>
      <c r="D906" s="1" t="str">
        <f ca="1">IFERROR(__xludf.DUMMYFUNCTION("GOOGLETRANSLATE('대전도시공사_청년임대주택 현황_20240630'!D906,""ko"",""en"")"),"901")</f>
        <v>901</v>
      </c>
      <c r="E906" s="1" t="str">
        <f ca="1">IFERROR(__xludf.DUMMYFUNCTION("GOOGLETRANSLATE('대전도시공사_청년임대주택 현황_20240630'!E906,""ko"",""en"")"),"97.512")</f>
        <v>97.512</v>
      </c>
      <c r="F906" s="1" t="str">
        <f ca="1">IFERROR(__xludf.DUMMYFUNCTION("GOOGLETRANSLATE('대전도시공사_청년임대주택 현황_20240630'!F906,""ko"",""en"")"),"33.695")</f>
        <v>33.695</v>
      </c>
      <c r="G906" s="1" t="str">
        <f ca="1">IFERROR(__xludf.DUMMYFUNCTION("GOOGLETRANSLATE('대전도시공사_청년임대주택 현황_20240630'!G906,""ko"",""en"")"),"63.916")</f>
        <v>63.916</v>
      </c>
      <c r="H906" s="1" t="str">
        <f ca="1">IFERROR(__xludf.DUMMYFUNCTION("GOOGLETRANSLATE('대전도시공사_청년임대주택 현황_20240630'!H906,""ko"",""en"")"),"Youth Rental 2nd Place")</f>
        <v>Youth Rental 2nd Place</v>
      </c>
      <c r="I906" s="1" t="str">
        <f ca="1">IFERROR(__xludf.DUMMYFUNCTION("GOOGLETRANSLATE('대전도시공사_청년임대주택 현황_20240630'!I906,""ko"",""en"")"),"2000000")</f>
        <v>2000000</v>
      </c>
      <c r="J906" s="1" t="str">
        <f ca="1">IFERROR(__xludf.DUMMYFUNCTION("GOOGLETRANSLATE('대전도시공사_청년임대주택 현황_20240630'!J906,""ko"",""en"")"),"428700")</f>
        <v>428700</v>
      </c>
    </row>
    <row r="907" spans="1:10" ht="12.5" x14ac:dyDescent="0.25">
      <c r="A907" s="1" t="str">
        <f ca="1">IFERROR(__xludf.DUMMYFUNCTION("GOOGLETRANSLATE('대전도시공사_청년임대주택 현황_20240630'!A907,""ko"",""en"")"),"Goejeong-dong 3-1 (Samyoung Building 2, Youth Rental)")</f>
        <v>Goejeong-dong 3-1 (Samyoung Building 2, Youth Rental)</v>
      </c>
      <c r="B907" s="1" t="str">
        <f ca="1">IFERROR(__xludf.DUMMYFUNCTION("GOOGLETRANSLATE('대전도시공사_청년임대주택 현황_20240630'!B907,""ko"",""en"")"),"111")</f>
        <v>111</v>
      </c>
      <c r="C907" s="1" t="str">
        <f ca="1">IFERROR(__xludf.DUMMYFUNCTION("GOOGLETRANSLATE('대전도시공사_청년임대주택 현황_20240630'!C907,""ko"",""en"")"),"1")</f>
        <v>1</v>
      </c>
      <c r="D907" s="1" t="str">
        <f ca="1">IFERROR(__xludf.DUMMYFUNCTION("GOOGLETRANSLATE('대전도시공사_청년임대주택 현황_20240630'!D907,""ko"",""en"")"),"901")</f>
        <v>901</v>
      </c>
      <c r="E907" s="1" t="str">
        <f ca="1">IFERROR(__xludf.DUMMYFUNCTION("GOOGLETRANSLATE('대전도시공사_청년임대주택 현황_20240630'!E907,""ko"",""en"")"),"97.512")</f>
        <v>97.512</v>
      </c>
      <c r="F907" s="1" t="str">
        <f ca="1">IFERROR(__xludf.DUMMYFUNCTION("GOOGLETRANSLATE('대전도시공사_청년임대주택 현황_20240630'!F907,""ko"",""en"")"),"33.695")</f>
        <v>33.695</v>
      </c>
      <c r="G907" s="1" t="str">
        <f ca="1">IFERROR(__xludf.DUMMYFUNCTION("GOOGLETRANSLATE('대전도시공사_청년임대주택 현황_20240630'!G907,""ko"",""en"")"),"63.916")</f>
        <v>63.916</v>
      </c>
      <c r="H907" s="1" t="str">
        <f ca="1">IFERROR(__xludf.DUMMYFUNCTION("GOOGLETRANSLATE('대전도시공사_청년임대주택 현황_20240630'!H907,""ko"",""en"")"),"3rd place for youth rental")</f>
        <v>3rd place for youth rental</v>
      </c>
      <c r="I907" s="1" t="str">
        <f ca="1">IFERROR(__xludf.DUMMYFUNCTION("GOOGLETRANSLATE('대전도시공사_청년임대주택 현황_20240630'!I907,""ko"",""en"")"),"2000000")</f>
        <v>2000000</v>
      </c>
      <c r="J907" s="1" t="str">
        <f ca="1">IFERROR(__xludf.DUMMYFUNCTION("GOOGLETRANSLATE('대전도시공사_청년임대주택 현황_20240630'!J907,""ko"",""en"")"),"428700")</f>
        <v>428700</v>
      </c>
    </row>
    <row r="908" spans="1:10" ht="12.5" x14ac:dyDescent="0.25">
      <c r="A908" s="1" t="str">
        <f ca="1">IFERROR(__xludf.DUMMYFUNCTION("GOOGLETRANSLATE('대전도시공사_청년임대주택 현황_20240630'!A908,""ko"",""en"")"),"Goejeong-dong 3-1 (Samyoung Building 2, Youth Rental)")</f>
        <v>Goejeong-dong 3-1 (Samyoung Building 2, Youth Rental)</v>
      </c>
      <c r="B908" s="1" t="str">
        <f ca="1">IFERROR(__xludf.DUMMYFUNCTION("GOOGLETRANSLATE('대전도시공사_청년임대주택 현황_20240630'!B908,""ko"",""en"")"),"133")</f>
        <v>133</v>
      </c>
      <c r="C908" s="1" t="str">
        <f ca="1">IFERROR(__xludf.DUMMYFUNCTION("GOOGLETRANSLATE('대전도시공사_청년임대주택 현황_20240630'!C908,""ko"",""en"")"),"1")</f>
        <v>1</v>
      </c>
      <c r="D908" s="1" t="str">
        <f ca="1">IFERROR(__xludf.DUMMYFUNCTION("GOOGLETRANSLATE('대전도시공사_청년임대주택 현황_20240630'!D908,""ko"",""en"")"),"910")</f>
        <v>910</v>
      </c>
      <c r="E908" s="1" t="str">
        <f ca="1">IFERROR(__xludf.DUMMYFUNCTION("GOOGLETRANSLATE('대전도시공사_청년임대주택 현황_20240630'!E908,""ko"",""en"")"),"64.993")</f>
        <v>64.993</v>
      </c>
      <c r="F908" s="1" t="str">
        <f ca="1">IFERROR(__xludf.DUMMYFUNCTION("GOOGLETRANSLATE('대전도시공사_청년임대주택 현황_20240630'!F908,""ko"",""en"")"),"22.438")</f>
        <v>22.438</v>
      </c>
      <c r="G908" s="1" t="str">
        <f ca="1">IFERROR(__xludf.DUMMYFUNCTION("GOOGLETRANSLATE('대전도시공사_청년임대주택 현황_20240630'!G908,""ko"",""en"")"),"42.554")</f>
        <v>42.554</v>
      </c>
      <c r="H908" s="1" t="str">
        <f ca="1">IFERROR(__xludf.DUMMYFUNCTION("GOOGLETRANSLATE('대전도시공사_청년임대주택 현황_20240630'!H908,""ko"",""en"")"),"Beneficiary")</f>
        <v>Beneficiary</v>
      </c>
      <c r="I908" s="1" t="str">
        <f ca="1">IFERROR(__xludf.DUMMYFUNCTION("GOOGLETRANSLATE('대전도시공사_청년임대주택 현황_20240630'!I908,""ko"",""en"")"),"1000000")</f>
        <v>1000000</v>
      </c>
      <c r="J908" s="1" t="str">
        <f ca="1">IFERROR(__xludf.DUMMYFUNCTION("GOOGLETRANSLATE('대전도시공사_청년임대주택 현황_20240630'!J908,""ko"",""en"")"),"238800")</f>
        <v>238800</v>
      </c>
    </row>
    <row r="909" spans="1:10" ht="12.5" x14ac:dyDescent="0.25">
      <c r="A909" s="1" t="str">
        <f ca="1">IFERROR(__xludf.DUMMYFUNCTION("GOOGLETRANSLATE('대전도시공사_청년임대주택 현황_20240630'!A909,""ko"",""en"")"),"Goejeong-dong 3-1 (Samyoung Building 2, Youth Rental)")</f>
        <v>Goejeong-dong 3-1 (Samyoung Building 2, Youth Rental)</v>
      </c>
      <c r="B909" s="1" t="str">
        <f ca="1">IFERROR(__xludf.DUMMYFUNCTION("GOOGLETRANSLATE('대전도시공사_청년임대주택 현황_20240630'!B909,""ko"",""en"")"),"134")</f>
        <v>134</v>
      </c>
      <c r="C909" s="1" t="str">
        <f ca="1">IFERROR(__xludf.DUMMYFUNCTION("GOOGLETRANSLATE('대전도시공사_청년임대주택 현황_20240630'!C909,""ko"",""en"")"),"1")</f>
        <v>1</v>
      </c>
      <c r="D909" s="1" t="str">
        <f ca="1">IFERROR(__xludf.DUMMYFUNCTION("GOOGLETRANSLATE('대전도시공사_청년임대주택 현황_20240630'!D909,""ko"",""en"")"),"910")</f>
        <v>910</v>
      </c>
      <c r="E909" s="1" t="str">
        <f ca="1">IFERROR(__xludf.DUMMYFUNCTION("GOOGLETRANSLATE('대전도시공사_청년임대주택 현황_20240630'!E909,""ko"",""en"")"),"64.993")</f>
        <v>64.993</v>
      </c>
      <c r="F909" s="1" t="str">
        <f ca="1">IFERROR(__xludf.DUMMYFUNCTION("GOOGLETRANSLATE('대전도시공사_청년임대주택 현황_20240630'!F909,""ko"",""en"")"),"22.438")</f>
        <v>22.438</v>
      </c>
      <c r="G909" s="1" t="str">
        <f ca="1">IFERROR(__xludf.DUMMYFUNCTION("GOOGLETRANSLATE('대전도시공사_청년임대주택 현황_20240630'!G909,""ko"",""en"")"),"42.554")</f>
        <v>42.554</v>
      </c>
      <c r="H909" s="1" t="str">
        <f ca="1">IFERROR(__xludf.DUMMYFUNCTION("GOOGLETRANSLATE('대전도시공사_청년임대주택 현황_20240630'!H909,""ko"",""en"")"),"Youth Rental 2nd Place")</f>
        <v>Youth Rental 2nd Place</v>
      </c>
      <c r="I909" s="1" t="str">
        <f ca="1">IFERROR(__xludf.DUMMYFUNCTION("GOOGLETRANSLATE('대전도시공사_청년임대주택 현황_20240630'!I909,""ko"",""en"")"),"2000000")</f>
        <v>2000000</v>
      </c>
      <c r="J909" s="1" t="str">
        <f ca="1">IFERROR(__xludf.DUMMYFUNCTION("GOOGLETRANSLATE('대전도시공사_청년임대주택 현황_20240630'!J909,""ko"",""en"")"),"294400")</f>
        <v>294400</v>
      </c>
    </row>
    <row r="910" spans="1:10" ht="12.5" x14ac:dyDescent="0.25">
      <c r="A910" s="1" t="str">
        <f ca="1">IFERROR(__xludf.DUMMYFUNCTION("GOOGLETRANSLATE('대전도시공사_청년임대주택 현황_20240630'!A910,""ko"",""en"")"),"Goejeong-dong 3-1 (Samyoung Building 2, Youth Rental)")</f>
        <v>Goejeong-dong 3-1 (Samyoung Building 2, Youth Rental)</v>
      </c>
      <c r="B910" s="1" t="str">
        <f ca="1">IFERROR(__xludf.DUMMYFUNCTION("GOOGLETRANSLATE('대전도시공사_청년임대주택 현황_20240630'!B910,""ko"",""en"")"),"135")</f>
        <v>135</v>
      </c>
      <c r="C910" s="1" t="str">
        <f ca="1">IFERROR(__xludf.DUMMYFUNCTION("GOOGLETRANSLATE('대전도시공사_청년임대주택 현황_20240630'!C910,""ko"",""en"")"),"1")</f>
        <v>1</v>
      </c>
      <c r="D910" s="1" t="str">
        <f ca="1">IFERROR(__xludf.DUMMYFUNCTION("GOOGLETRANSLATE('대전도시공사_청년임대주택 현황_20240630'!D910,""ko"",""en"")"),"910")</f>
        <v>910</v>
      </c>
      <c r="E910" s="1" t="str">
        <f ca="1">IFERROR(__xludf.DUMMYFUNCTION("GOOGLETRANSLATE('대전도시공사_청년임대주택 현황_20240630'!E910,""ko"",""en"")"),"64.993")</f>
        <v>64.993</v>
      </c>
      <c r="F910" s="1" t="str">
        <f ca="1">IFERROR(__xludf.DUMMYFUNCTION("GOOGLETRANSLATE('대전도시공사_청년임대주택 현황_20240630'!F910,""ko"",""en"")"),"22.438")</f>
        <v>22.438</v>
      </c>
      <c r="G910" s="1" t="str">
        <f ca="1">IFERROR(__xludf.DUMMYFUNCTION("GOOGLETRANSLATE('대전도시공사_청년임대주택 현황_20240630'!G910,""ko"",""en"")"),"42.554")</f>
        <v>42.554</v>
      </c>
      <c r="H910" s="1" t="str">
        <f ca="1">IFERROR(__xludf.DUMMYFUNCTION("GOOGLETRANSLATE('대전도시공사_청년임대주택 현황_20240630'!H910,""ko"",""en"")"),"3rd place for youth rental")</f>
        <v>3rd place for youth rental</v>
      </c>
      <c r="I910" s="1" t="str">
        <f ca="1">IFERROR(__xludf.DUMMYFUNCTION("GOOGLETRANSLATE('대전도시공사_청년임대주택 현황_20240630'!I910,""ko"",""en"")"),"2000000")</f>
        <v>2000000</v>
      </c>
      <c r="J910" s="1" t="str">
        <f ca="1">IFERROR(__xludf.DUMMYFUNCTION("GOOGLETRANSLATE('대전도시공사_청년임대주택 현황_20240630'!J910,""ko"",""en"")"),"294400")</f>
        <v>294400</v>
      </c>
    </row>
    <row r="911" spans="1:10" ht="12.5" x14ac:dyDescent="0.25">
      <c r="A911" s="1" t="str">
        <f ca="1">IFERROR(__xludf.DUMMYFUNCTION("GOOGLETRANSLATE('대전도시공사_청년임대주택 현황_20240630'!A911,""ko"",""en"")"),"Goejeong-dong 3-1 (Samyoung Building 2, Youth Rental)")</f>
        <v>Goejeong-dong 3-1 (Samyoung Building 2, Youth Rental)</v>
      </c>
      <c r="B911" s="1" t="str">
        <f ca="1">IFERROR(__xludf.DUMMYFUNCTION("GOOGLETRANSLATE('대전도시공사_청년임대주택 현황_20240630'!B911,""ko"",""en"")"),"136")</f>
        <v>136</v>
      </c>
      <c r="C911" s="1" t="str">
        <f ca="1">IFERROR(__xludf.DUMMYFUNCTION("GOOGLETRANSLATE('대전도시공사_청년임대주택 현황_20240630'!C911,""ko"",""en"")"),"1")</f>
        <v>1</v>
      </c>
      <c r="D911" s="1" t="str">
        <f ca="1">IFERROR(__xludf.DUMMYFUNCTION("GOOGLETRANSLATE('대전도시공사_청년임대주택 현황_20240630'!D911,""ko"",""en"")"),"911")</f>
        <v>911</v>
      </c>
      <c r="E911" s="1" t="str">
        <f ca="1">IFERROR(__xludf.DUMMYFUNCTION("GOOGLETRANSLATE('대전도시공사_청년임대주택 현황_20240630'!E911,""ko"",""en"")"),"64.993")</f>
        <v>64.993</v>
      </c>
      <c r="F911" s="1" t="str">
        <f ca="1">IFERROR(__xludf.DUMMYFUNCTION("GOOGLETRANSLATE('대전도시공사_청년임대주택 현황_20240630'!F911,""ko"",""en"")"),"22.438")</f>
        <v>22.438</v>
      </c>
      <c r="G911" s="1" t="str">
        <f ca="1">IFERROR(__xludf.DUMMYFUNCTION("GOOGLETRANSLATE('대전도시공사_청년임대주택 현황_20240630'!G911,""ko"",""en"")"),"42.554")</f>
        <v>42.554</v>
      </c>
      <c r="H911" s="1" t="str">
        <f ca="1">IFERROR(__xludf.DUMMYFUNCTION("GOOGLETRANSLATE('대전도시공사_청년임대주택 현황_20240630'!H911,""ko"",""en"")"),"Beneficiary")</f>
        <v>Beneficiary</v>
      </c>
      <c r="I911" s="1" t="str">
        <f ca="1">IFERROR(__xludf.DUMMYFUNCTION("GOOGLETRANSLATE('대전도시공사_청년임대주택 현황_20240630'!I911,""ko"",""en"")"),"1000000")</f>
        <v>1000000</v>
      </c>
      <c r="J911" s="1" t="str">
        <f ca="1">IFERROR(__xludf.DUMMYFUNCTION("GOOGLETRANSLATE('대전도시공사_청년임대주택 현황_20240630'!J911,""ko"",""en"")"),"238800")</f>
        <v>238800</v>
      </c>
    </row>
    <row r="912" spans="1:10" ht="12.5" x14ac:dyDescent="0.25">
      <c r="A912" s="1" t="str">
        <f ca="1">IFERROR(__xludf.DUMMYFUNCTION("GOOGLETRANSLATE('대전도시공사_청년임대주택 현황_20240630'!A912,""ko"",""en"")"),"Goejeong-dong 3-1 (Samyoung Building 2, Youth Rental)")</f>
        <v>Goejeong-dong 3-1 (Samyoung Building 2, Youth Rental)</v>
      </c>
      <c r="B912" s="1" t="str">
        <f ca="1">IFERROR(__xludf.DUMMYFUNCTION("GOOGLETRANSLATE('대전도시공사_청년임대주택 현황_20240630'!B912,""ko"",""en"")"),"137")</f>
        <v>137</v>
      </c>
      <c r="C912" s="1" t="str">
        <f ca="1">IFERROR(__xludf.DUMMYFUNCTION("GOOGLETRANSLATE('대전도시공사_청년임대주택 현황_20240630'!C912,""ko"",""en"")"),"1")</f>
        <v>1</v>
      </c>
      <c r="D912" s="1" t="str">
        <f ca="1">IFERROR(__xludf.DUMMYFUNCTION("GOOGLETRANSLATE('대전도시공사_청년임대주택 현황_20240630'!D912,""ko"",""en"")"),"911")</f>
        <v>911</v>
      </c>
      <c r="E912" s="1" t="str">
        <f ca="1">IFERROR(__xludf.DUMMYFUNCTION("GOOGLETRANSLATE('대전도시공사_청년임대주택 현황_20240630'!E912,""ko"",""en"")"),"64.993")</f>
        <v>64.993</v>
      </c>
      <c r="F912" s="1" t="str">
        <f ca="1">IFERROR(__xludf.DUMMYFUNCTION("GOOGLETRANSLATE('대전도시공사_청년임대주택 현황_20240630'!F912,""ko"",""en"")"),"22.438")</f>
        <v>22.438</v>
      </c>
      <c r="G912" s="1" t="str">
        <f ca="1">IFERROR(__xludf.DUMMYFUNCTION("GOOGLETRANSLATE('대전도시공사_청년임대주택 현황_20240630'!G912,""ko"",""en"")"),"42.554")</f>
        <v>42.554</v>
      </c>
      <c r="H912" s="1" t="str">
        <f ca="1">IFERROR(__xludf.DUMMYFUNCTION("GOOGLETRANSLATE('대전도시공사_청년임대주택 현황_20240630'!H912,""ko"",""en"")"),"Youth Rental 2nd Place")</f>
        <v>Youth Rental 2nd Place</v>
      </c>
      <c r="I912" s="1" t="str">
        <f ca="1">IFERROR(__xludf.DUMMYFUNCTION("GOOGLETRANSLATE('대전도시공사_청년임대주택 현황_20240630'!I912,""ko"",""en"")"),"2000000")</f>
        <v>2000000</v>
      </c>
      <c r="J912" s="1" t="str">
        <f ca="1">IFERROR(__xludf.DUMMYFUNCTION("GOOGLETRANSLATE('대전도시공사_청년임대주택 현황_20240630'!J912,""ko"",""en"")"),"294400")</f>
        <v>294400</v>
      </c>
    </row>
    <row r="913" spans="1:10" ht="12.5" x14ac:dyDescent="0.25">
      <c r="A913" s="1" t="str">
        <f ca="1">IFERROR(__xludf.DUMMYFUNCTION("GOOGLETRANSLATE('대전도시공사_청년임대주택 현황_20240630'!A913,""ko"",""en"")"),"Goejeong-dong 3-1 (Samyoung Building 2, Youth Rental)")</f>
        <v>Goejeong-dong 3-1 (Samyoung Building 2, Youth Rental)</v>
      </c>
      <c r="B913" s="1" t="str">
        <f ca="1">IFERROR(__xludf.DUMMYFUNCTION("GOOGLETRANSLATE('대전도시공사_청년임대주택 현황_20240630'!B913,""ko"",""en"")"),"138")</f>
        <v>138</v>
      </c>
      <c r="C913" s="1" t="str">
        <f ca="1">IFERROR(__xludf.DUMMYFUNCTION("GOOGLETRANSLATE('대전도시공사_청년임대주택 현황_20240630'!C913,""ko"",""en"")"),"1")</f>
        <v>1</v>
      </c>
      <c r="D913" s="1" t="str">
        <f ca="1">IFERROR(__xludf.DUMMYFUNCTION("GOOGLETRANSLATE('대전도시공사_청년임대주택 현황_20240630'!D913,""ko"",""en"")"),"911")</f>
        <v>911</v>
      </c>
      <c r="E913" s="1" t="str">
        <f ca="1">IFERROR(__xludf.DUMMYFUNCTION("GOOGLETRANSLATE('대전도시공사_청년임대주택 현황_20240630'!E913,""ko"",""en"")"),"64.993")</f>
        <v>64.993</v>
      </c>
      <c r="F913" s="1" t="str">
        <f ca="1">IFERROR(__xludf.DUMMYFUNCTION("GOOGLETRANSLATE('대전도시공사_청년임대주택 현황_20240630'!F913,""ko"",""en"")"),"22.438")</f>
        <v>22.438</v>
      </c>
      <c r="G913" s="1" t="str">
        <f ca="1">IFERROR(__xludf.DUMMYFUNCTION("GOOGLETRANSLATE('대전도시공사_청년임대주택 현황_20240630'!G913,""ko"",""en"")"),"42.554")</f>
        <v>42.554</v>
      </c>
      <c r="H913" s="1" t="str">
        <f ca="1">IFERROR(__xludf.DUMMYFUNCTION("GOOGLETRANSLATE('대전도시공사_청년임대주택 현황_20240630'!H913,""ko"",""en"")"),"3rd place for youth rental")</f>
        <v>3rd place for youth rental</v>
      </c>
      <c r="I913" s="1" t="str">
        <f ca="1">IFERROR(__xludf.DUMMYFUNCTION("GOOGLETRANSLATE('대전도시공사_청년임대주택 현황_20240630'!I913,""ko"",""en"")"),"2000000")</f>
        <v>2000000</v>
      </c>
      <c r="J913" s="1" t="str">
        <f ca="1">IFERROR(__xludf.DUMMYFUNCTION("GOOGLETRANSLATE('대전도시공사_청년임대주택 현황_20240630'!J913,""ko"",""en"")"),"294400")</f>
        <v>294400</v>
      </c>
    </row>
    <row r="914" spans="1:10" ht="12.5" x14ac:dyDescent="0.25">
      <c r="A914" s="1" t="str">
        <f ca="1">IFERROR(__xludf.DUMMYFUNCTION("GOOGLETRANSLATE('대전도시공사_청년임대주택 현황_20240630'!A914,""ko"",""en"")"),"Goejeong-dong 3-1 (Samyoung Building 2, Youth Rental)")</f>
        <v>Goejeong-dong 3-1 (Samyoung Building 2, Youth Rental)</v>
      </c>
      <c r="B914" s="1" t="str">
        <f ca="1">IFERROR(__xludf.DUMMYFUNCTION("GOOGLETRANSLATE('대전도시공사_청년임대주택 현황_20240630'!B914,""ko"",""en"")"),"139")</f>
        <v>139</v>
      </c>
      <c r="C914" s="1" t="str">
        <f ca="1">IFERROR(__xludf.DUMMYFUNCTION("GOOGLETRANSLATE('대전도시공사_청년임대주택 현황_20240630'!C914,""ko"",""en"")"),"1")</f>
        <v>1</v>
      </c>
      <c r="D914" s="1" t="str">
        <f ca="1">IFERROR(__xludf.DUMMYFUNCTION("GOOGLETRANSLATE('대전도시공사_청년임대주택 현황_20240630'!D914,""ko"",""en"")"),"913")</f>
        <v>913</v>
      </c>
      <c r="E914" s="1" t="str">
        <f ca="1">IFERROR(__xludf.DUMMYFUNCTION("GOOGLETRANSLATE('대전도시공사_청년임대주택 현황_20240630'!E914,""ko"",""en"")"),"64.993")</f>
        <v>64.993</v>
      </c>
      <c r="F914" s="1" t="str">
        <f ca="1">IFERROR(__xludf.DUMMYFUNCTION("GOOGLETRANSLATE('대전도시공사_청년임대주택 현황_20240630'!F914,""ko"",""en"")"),"22.438")</f>
        <v>22.438</v>
      </c>
      <c r="G914" s="1" t="str">
        <f ca="1">IFERROR(__xludf.DUMMYFUNCTION("GOOGLETRANSLATE('대전도시공사_청년임대주택 현황_20240630'!G914,""ko"",""en"")"),"42.554")</f>
        <v>42.554</v>
      </c>
      <c r="H914" s="1" t="str">
        <f ca="1">IFERROR(__xludf.DUMMYFUNCTION("GOOGLETRANSLATE('대전도시공사_청년임대주택 현황_20240630'!H914,""ko"",""en"")"),"Beneficiary")</f>
        <v>Beneficiary</v>
      </c>
      <c r="I914" s="1" t="str">
        <f ca="1">IFERROR(__xludf.DUMMYFUNCTION("GOOGLETRANSLATE('대전도시공사_청년임대주택 현황_20240630'!I914,""ko"",""en"")"),"1000000")</f>
        <v>1000000</v>
      </c>
      <c r="J914" s="1" t="str">
        <f ca="1">IFERROR(__xludf.DUMMYFUNCTION("GOOGLETRANSLATE('대전도시공사_청년임대주택 현황_20240630'!J914,""ko"",""en"")"),"238800")</f>
        <v>238800</v>
      </c>
    </row>
    <row r="915" spans="1:10" ht="12.5" x14ac:dyDescent="0.25">
      <c r="A915" s="1" t="str">
        <f ca="1">IFERROR(__xludf.DUMMYFUNCTION("GOOGLETRANSLATE('대전도시공사_청년임대주택 현황_20240630'!A915,""ko"",""en"")"),"Goejeong-dong 3-1 (Samyoung Building 2, Youth Rental)")</f>
        <v>Goejeong-dong 3-1 (Samyoung Building 2, Youth Rental)</v>
      </c>
      <c r="B915" s="1" t="str">
        <f ca="1">IFERROR(__xludf.DUMMYFUNCTION("GOOGLETRANSLATE('대전도시공사_청년임대주택 현황_20240630'!B915,""ko"",""en"")"),"140")</f>
        <v>140</v>
      </c>
      <c r="C915" s="1" t="str">
        <f ca="1">IFERROR(__xludf.DUMMYFUNCTION("GOOGLETRANSLATE('대전도시공사_청년임대주택 현황_20240630'!C915,""ko"",""en"")"),"1")</f>
        <v>1</v>
      </c>
      <c r="D915" s="1" t="str">
        <f ca="1">IFERROR(__xludf.DUMMYFUNCTION("GOOGLETRANSLATE('대전도시공사_청년임대주택 현황_20240630'!D915,""ko"",""en"")"),"913")</f>
        <v>913</v>
      </c>
      <c r="E915" s="1" t="str">
        <f ca="1">IFERROR(__xludf.DUMMYFUNCTION("GOOGLETRANSLATE('대전도시공사_청년임대주택 현황_20240630'!E915,""ko"",""en"")"),"64.993")</f>
        <v>64.993</v>
      </c>
      <c r="F915" s="1" t="str">
        <f ca="1">IFERROR(__xludf.DUMMYFUNCTION("GOOGLETRANSLATE('대전도시공사_청년임대주택 현황_20240630'!F915,""ko"",""en"")"),"22.438")</f>
        <v>22.438</v>
      </c>
      <c r="G915" s="1" t="str">
        <f ca="1">IFERROR(__xludf.DUMMYFUNCTION("GOOGLETRANSLATE('대전도시공사_청년임대주택 현황_20240630'!G915,""ko"",""en"")"),"42.554")</f>
        <v>42.554</v>
      </c>
      <c r="H915" s="1" t="str">
        <f ca="1">IFERROR(__xludf.DUMMYFUNCTION("GOOGLETRANSLATE('대전도시공사_청년임대주택 현황_20240630'!H915,""ko"",""en"")"),"Youth Rental 2nd Place")</f>
        <v>Youth Rental 2nd Place</v>
      </c>
      <c r="I915" s="1" t="str">
        <f ca="1">IFERROR(__xludf.DUMMYFUNCTION("GOOGLETRANSLATE('대전도시공사_청년임대주택 현황_20240630'!I915,""ko"",""en"")"),"2000000")</f>
        <v>2000000</v>
      </c>
      <c r="J915" s="1" t="str">
        <f ca="1">IFERROR(__xludf.DUMMYFUNCTION("GOOGLETRANSLATE('대전도시공사_청년임대주택 현황_20240630'!J915,""ko"",""en"")"),"294400")</f>
        <v>294400</v>
      </c>
    </row>
    <row r="916" spans="1:10" ht="12.5" x14ac:dyDescent="0.25">
      <c r="A916" s="1" t="str">
        <f ca="1">IFERROR(__xludf.DUMMYFUNCTION("GOOGLETRANSLATE('대전도시공사_청년임대주택 현황_20240630'!A916,""ko"",""en"")"),"Goejeong-dong 3-1 (Samyoung Building 2, Youth Rental)")</f>
        <v>Goejeong-dong 3-1 (Samyoung Building 2, Youth Rental)</v>
      </c>
      <c r="B916" s="1" t="str">
        <f ca="1">IFERROR(__xludf.DUMMYFUNCTION("GOOGLETRANSLATE('대전도시공사_청년임대주택 현황_20240630'!B916,""ko"",""en"")"),"141")</f>
        <v>141</v>
      </c>
      <c r="C916" s="1" t="str">
        <f ca="1">IFERROR(__xludf.DUMMYFUNCTION("GOOGLETRANSLATE('대전도시공사_청년임대주택 현황_20240630'!C916,""ko"",""en"")"),"1")</f>
        <v>1</v>
      </c>
      <c r="D916" s="1" t="str">
        <f ca="1">IFERROR(__xludf.DUMMYFUNCTION("GOOGLETRANSLATE('대전도시공사_청년임대주택 현황_20240630'!D916,""ko"",""en"")"),"913")</f>
        <v>913</v>
      </c>
      <c r="E916" s="1" t="str">
        <f ca="1">IFERROR(__xludf.DUMMYFUNCTION("GOOGLETRANSLATE('대전도시공사_청년임대주택 현황_20240630'!E916,""ko"",""en"")"),"64.993")</f>
        <v>64.993</v>
      </c>
      <c r="F916" s="1" t="str">
        <f ca="1">IFERROR(__xludf.DUMMYFUNCTION("GOOGLETRANSLATE('대전도시공사_청년임대주택 현황_20240630'!F916,""ko"",""en"")"),"22.438")</f>
        <v>22.438</v>
      </c>
      <c r="G916" s="1" t="str">
        <f ca="1">IFERROR(__xludf.DUMMYFUNCTION("GOOGLETRANSLATE('대전도시공사_청년임대주택 현황_20240630'!G916,""ko"",""en"")"),"42.554")</f>
        <v>42.554</v>
      </c>
      <c r="H916" s="1" t="str">
        <f ca="1">IFERROR(__xludf.DUMMYFUNCTION("GOOGLETRANSLATE('대전도시공사_청년임대주택 현황_20240630'!H916,""ko"",""en"")"),"3rd place for youth rental")</f>
        <v>3rd place for youth rental</v>
      </c>
      <c r="I916" s="1" t="str">
        <f ca="1">IFERROR(__xludf.DUMMYFUNCTION("GOOGLETRANSLATE('대전도시공사_청년임대주택 현황_20240630'!I916,""ko"",""en"")"),"2000000")</f>
        <v>2000000</v>
      </c>
      <c r="J916" s="1" t="str">
        <f ca="1">IFERROR(__xludf.DUMMYFUNCTION("GOOGLETRANSLATE('대전도시공사_청년임대주택 현황_20240630'!J916,""ko"",""en"")"),"294400")</f>
        <v>294400</v>
      </c>
    </row>
    <row r="917" spans="1:10" ht="12.5" x14ac:dyDescent="0.25">
      <c r="A917" s="1" t="str">
        <f ca="1">IFERROR(__xludf.DUMMYFUNCTION("GOOGLETRANSLATE('대전도시공사_청년임대주택 현황_20240630'!A917,""ko"",""en"")"),"Goejeong-dong 3-1 (Samyoung Building 2, Youth Rental)")</f>
        <v>Goejeong-dong 3-1 (Samyoung Building 2, Youth Rental)</v>
      </c>
      <c r="B917" s="1" t="str">
        <f ca="1">IFERROR(__xludf.DUMMYFUNCTION("GOOGLETRANSLATE('대전도시공사_청년임대주택 현황_20240630'!B917,""ko"",""en"")"),"142")</f>
        <v>142</v>
      </c>
      <c r="C917" s="1" t="str">
        <f ca="1">IFERROR(__xludf.DUMMYFUNCTION("GOOGLETRANSLATE('대전도시공사_청년임대주택 현황_20240630'!C917,""ko"",""en"")"),"1")</f>
        <v>1</v>
      </c>
      <c r="D917" s="1" t="str">
        <f ca="1">IFERROR(__xludf.DUMMYFUNCTION("GOOGLETRANSLATE('대전도시공사_청년임대주택 현황_20240630'!D917,""ko"",""en"")"),"914")</f>
        <v>914</v>
      </c>
      <c r="E917" s="1" t="str">
        <f ca="1">IFERROR(__xludf.DUMMYFUNCTION("GOOGLETRANSLATE('대전도시공사_청년임대주택 현황_20240630'!E917,""ko"",""en"")"),"64.993")</f>
        <v>64.993</v>
      </c>
      <c r="F917" s="1" t="str">
        <f ca="1">IFERROR(__xludf.DUMMYFUNCTION("GOOGLETRANSLATE('대전도시공사_청년임대주택 현황_20240630'!F917,""ko"",""en"")"),"22.438")</f>
        <v>22.438</v>
      </c>
      <c r="G917" s="1" t="str">
        <f ca="1">IFERROR(__xludf.DUMMYFUNCTION("GOOGLETRANSLATE('대전도시공사_청년임대주택 현황_20240630'!G917,""ko"",""en"")"),"42.554")</f>
        <v>42.554</v>
      </c>
      <c r="H917" s="1" t="str">
        <f ca="1">IFERROR(__xludf.DUMMYFUNCTION("GOOGLETRANSLATE('대전도시공사_청년임대주택 현황_20240630'!H917,""ko"",""en"")"),"Beneficiary")</f>
        <v>Beneficiary</v>
      </c>
      <c r="I917" s="1" t="str">
        <f ca="1">IFERROR(__xludf.DUMMYFUNCTION("GOOGLETRANSLATE('대전도시공사_청년임대주택 현황_20240630'!I917,""ko"",""en"")"),"1000000")</f>
        <v>1000000</v>
      </c>
      <c r="J917" s="1" t="str">
        <f ca="1">IFERROR(__xludf.DUMMYFUNCTION("GOOGLETRANSLATE('대전도시공사_청년임대주택 현황_20240630'!J917,""ko"",""en"")"),"238800")</f>
        <v>238800</v>
      </c>
    </row>
    <row r="918" spans="1:10" ht="12.5" x14ac:dyDescent="0.25">
      <c r="A918" s="1" t="str">
        <f ca="1">IFERROR(__xludf.DUMMYFUNCTION("GOOGLETRANSLATE('대전도시공사_청년임대주택 현황_20240630'!A918,""ko"",""en"")"),"Goejeong-dong 3-1 (Samyoung Building 2, Youth Rental)")</f>
        <v>Goejeong-dong 3-1 (Samyoung Building 2, Youth Rental)</v>
      </c>
      <c r="B918" s="1" t="str">
        <f ca="1">IFERROR(__xludf.DUMMYFUNCTION("GOOGLETRANSLATE('대전도시공사_청년임대주택 현황_20240630'!B918,""ko"",""en"")"),"143")</f>
        <v>143</v>
      </c>
      <c r="C918" s="1" t="str">
        <f ca="1">IFERROR(__xludf.DUMMYFUNCTION("GOOGLETRANSLATE('대전도시공사_청년임대주택 현황_20240630'!C918,""ko"",""en"")"),"1")</f>
        <v>1</v>
      </c>
      <c r="D918" s="1" t="str">
        <f ca="1">IFERROR(__xludf.DUMMYFUNCTION("GOOGLETRANSLATE('대전도시공사_청년임대주택 현황_20240630'!D918,""ko"",""en"")"),"914")</f>
        <v>914</v>
      </c>
      <c r="E918" s="1" t="str">
        <f ca="1">IFERROR(__xludf.DUMMYFUNCTION("GOOGLETRANSLATE('대전도시공사_청년임대주택 현황_20240630'!E918,""ko"",""en"")"),"64.993")</f>
        <v>64.993</v>
      </c>
      <c r="F918" s="1" t="str">
        <f ca="1">IFERROR(__xludf.DUMMYFUNCTION("GOOGLETRANSLATE('대전도시공사_청년임대주택 현황_20240630'!F918,""ko"",""en"")"),"22.438")</f>
        <v>22.438</v>
      </c>
      <c r="G918" s="1" t="str">
        <f ca="1">IFERROR(__xludf.DUMMYFUNCTION("GOOGLETRANSLATE('대전도시공사_청년임대주택 현황_20240630'!G918,""ko"",""en"")"),"42.554")</f>
        <v>42.554</v>
      </c>
      <c r="H918" s="1" t="str">
        <f ca="1">IFERROR(__xludf.DUMMYFUNCTION("GOOGLETRANSLATE('대전도시공사_청년임대주택 현황_20240630'!H918,""ko"",""en"")"),"Youth Rental 2nd Place")</f>
        <v>Youth Rental 2nd Place</v>
      </c>
      <c r="I918" s="1" t="str">
        <f ca="1">IFERROR(__xludf.DUMMYFUNCTION("GOOGLETRANSLATE('대전도시공사_청년임대주택 현황_20240630'!I918,""ko"",""en"")"),"2000000")</f>
        <v>2000000</v>
      </c>
      <c r="J918" s="1" t="str">
        <f ca="1">IFERROR(__xludf.DUMMYFUNCTION("GOOGLETRANSLATE('대전도시공사_청년임대주택 현황_20240630'!J918,""ko"",""en"")"),"294400")</f>
        <v>294400</v>
      </c>
    </row>
    <row r="919" spans="1:10" ht="12.5" x14ac:dyDescent="0.25">
      <c r="A919" s="1" t="str">
        <f ca="1">IFERROR(__xludf.DUMMYFUNCTION("GOOGLETRANSLATE('대전도시공사_청년임대주택 현황_20240630'!A919,""ko"",""en"")"),"Goejeong-dong 3-1 (Samyoung Building 2, Youth Rental)")</f>
        <v>Goejeong-dong 3-1 (Samyoung Building 2, Youth Rental)</v>
      </c>
      <c r="B919" s="1" t="str">
        <f ca="1">IFERROR(__xludf.DUMMYFUNCTION("GOOGLETRANSLATE('대전도시공사_청년임대주택 현황_20240630'!B919,""ko"",""en"")"),"144")</f>
        <v>144</v>
      </c>
      <c r="C919" s="1" t="str">
        <f ca="1">IFERROR(__xludf.DUMMYFUNCTION("GOOGLETRANSLATE('대전도시공사_청년임대주택 현황_20240630'!C919,""ko"",""en"")"),"1")</f>
        <v>1</v>
      </c>
      <c r="D919" s="1" t="str">
        <f ca="1">IFERROR(__xludf.DUMMYFUNCTION("GOOGLETRANSLATE('대전도시공사_청년임대주택 현황_20240630'!D919,""ko"",""en"")"),"914")</f>
        <v>914</v>
      </c>
      <c r="E919" s="1" t="str">
        <f ca="1">IFERROR(__xludf.DUMMYFUNCTION("GOOGLETRANSLATE('대전도시공사_청년임대주택 현황_20240630'!E919,""ko"",""en"")"),"64.993")</f>
        <v>64.993</v>
      </c>
      <c r="F919" s="1" t="str">
        <f ca="1">IFERROR(__xludf.DUMMYFUNCTION("GOOGLETRANSLATE('대전도시공사_청년임대주택 현황_20240630'!F919,""ko"",""en"")"),"22.438")</f>
        <v>22.438</v>
      </c>
      <c r="G919" s="1" t="str">
        <f ca="1">IFERROR(__xludf.DUMMYFUNCTION("GOOGLETRANSLATE('대전도시공사_청년임대주택 현황_20240630'!G919,""ko"",""en"")"),"42.554")</f>
        <v>42.554</v>
      </c>
      <c r="H919" s="1" t="str">
        <f ca="1">IFERROR(__xludf.DUMMYFUNCTION("GOOGLETRANSLATE('대전도시공사_청년임대주택 현황_20240630'!H919,""ko"",""en"")"),"3rd place for youth rental")</f>
        <v>3rd place for youth rental</v>
      </c>
      <c r="I919" s="1" t="str">
        <f ca="1">IFERROR(__xludf.DUMMYFUNCTION("GOOGLETRANSLATE('대전도시공사_청년임대주택 현황_20240630'!I919,""ko"",""en"")"),"2000000")</f>
        <v>2000000</v>
      </c>
      <c r="J919" s="1" t="str">
        <f ca="1">IFERROR(__xludf.DUMMYFUNCTION("GOOGLETRANSLATE('대전도시공사_청년임대주택 현황_20240630'!J919,""ko"",""en"")"),"294400")</f>
        <v>294400</v>
      </c>
    </row>
    <row r="920" spans="1:10" ht="12.5" x14ac:dyDescent="0.25">
      <c r="A920" s="1" t="str">
        <f ca="1">IFERROR(__xludf.DUMMYFUNCTION("GOOGLETRANSLATE('대전도시공사_청년임대주택 현황_20240630'!A920,""ko"",""en"")"),"Goejeong-dong 3-1 (Samyoung Building 2, Youth Rental)")</f>
        <v>Goejeong-dong 3-1 (Samyoung Building 2, Youth Rental)</v>
      </c>
      <c r="B920" s="1" t="str">
        <f ca="1">IFERROR(__xludf.DUMMYFUNCTION("GOOGLETRANSLATE('대전도시공사_청년임대주택 현황_20240630'!B920,""ko"",""en"")"),"145")</f>
        <v>145</v>
      </c>
      <c r="C920" s="1" t="str">
        <f ca="1">IFERROR(__xludf.DUMMYFUNCTION("GOOGLETRANSLATE('대전도시공사_청년임대주택 현황_20240630'!C920,""ko"",""en"")"),"1")</f>
        <v>1</v>
      </c>
      <c r="D920" s="1" t="str">
        <f ca="1">IFERROR(__xludf.DUMMYFUNCTION("GOOGLETRANSLATE('대전도시공사_청년임대주택 현황_20240630'!D920,""ko"",""en"")"),"915")</f>
        <v>915</v>
      </c>
      <c r="E920" s="1" t="str">
        <f ca="1">IFERROR(__xludf.DUMMYFUNCTION("GOOGLETRANSLATE('대전도시공사_청년임대주택 현황_20240630'!E920,""ko"",""en"")"),"64.993")</f>
        <v>64.993</v>
      </c>
      <c r="F920" s="1" t="str">
        <f ca="1">IFERROR(__xludf.DUMMYFUNCTION("GOOGLETRANSLATE('대전도시공사_청년임대주택 현황_20240630'!F920,""ko"",""en"")"),"22.438")</f>
        <v>22.438</v>
      </c>
      <c r="G920" s="1" t="str">
        <f ca="1">IFERROR(__xludf.DUMMYFUNCTION("GOOGLETRANSLATE('대전도시공사_청년임대주택 현황_20240630'!G920,""ko"",""en"")"),"42.554")</f>
        <v>42.554</v>
      </c>
      <c r="H920" s="1" t="str">
        <f ca="1">IFERROR(__xludf.DUMMYFUNCTION("GOOGLETRANSLATE('대전도시공사_청년임대주택 현황_20240630'!H920,""ko"",""en"")"),"Beneficiary")</f>
        <v>Beneficiary</v>
      </c>
      <c r="I920" s="1" t="str">
        <f ca="1">IFERROR(__xludf.DUMMYFUNCTION("GOOGLETRANSLATE('대전도시공사_청년임대주택 현황_20240630'!I920,""ko"",""en"")"),"1000000")</f>
        <v>1000000</v>
      </c>
      <c r="J920" s="1" t="str">
        <f ca="1">IFERROR(__xludf.DUMMYFUNCTION("GOOGLETRANSLATE('대전도시공사_청년임대주택 현황_20240630'!J920,""ko"",""en"")"),"238800")</f>
        <v>238800</v>
      </c>
    </row>
    <row r="921" spans="1:10" ht="12.5" x14ac:dyDescent="0.25">
      <c r="A921" s="1" t="str">
        <f ca="1">IFERROR(__xludf.DUMMYFUNCTION("GOOGLETRANSLATE('대전도시공사_청년임대주택 현황_20240630'!A921,""ko"",""en"")"),"Goejeong-dong 3-1 (Samyoung Building 2, Youth Rental)")</f>
        <v>Goejeong-dong 3-1 (Samyoung Building 2, Youth Rental)</v>
      </c>
      <c r="B921" s="1" t="str">
        <f ca="1">IFERROR(__xludf.DUMMYFUNCTION("GOOGLETRANSLATE('대전도시공사_청년임대주택 현황_20240630'!B921,""ko"",""en"")"),"146")</f>
        <v>146</v>
      </c>
      <c r="C921" s="1" t="str">
        <f ca="1">IFERROR(__xludf.DUMMYFUNCTION("GOOGLETRANSLATE('대전도시공사_청년임대주택 현황_20240630'!C921,""ko"",""en"")"),"1")</f>
        <v>1</v>
      </c>
      <c r="D921" s="1" t="str">
        <f ca="1">IFERROR(__xludf.DUMMYFUNCTION("GOOGLETRANSLATE('대전도시공사_청년임대주택 현황_20240630'!D921,""ko"",""en"")"),"915")</f>
        <v>915</v>
      </c>
      <c r="E921" s="1" t="str">
        <f ca="1">IFERROR(__xludf.DUMMYFUNCTION("GOOGLETRANSLATE('대전도시공사_청년임대주택 현황_20240630'!E921,""ko"",""en"")"),"64.993")</f>
        <v>64.993</v>
      </c>
      <c r="F921" s="1" t="str">
        <f ca="1">IFERROR(__xludf.DUMMYFUNCTION("GOOGLETRANSLATE('대전도시공사_청년임대주택 현황_20240630'!F921,""ko"",""en"")"),"22.438")</f>
        <v>22.438</v>
      </c>
      <c r="G921" s="1" t="str">
        <f ca="1">IFERROR(__xludf.DUMMYFUNCTION("GOOGLETRANSLATE('대전도시공사_청년임대주택 현황_20240630'!G921,""ko"",""en"")"),"42.554")</f>
        <v>42.554</v>
      </c>
      <c r="H921" s="1" t="str">
        <f ca="1">IFERROR(__xludf.DUMMYFUNCTION("GOOGLETRANSLATE('대전도시공사_청년임대주택 현황_20240630'!H921,""ko"",""en"")"),"Youth Rental 2nd Place")</f>
        <v>Youth Rental 2nd Place</v>
      </c>
      <c r="I921" s="1" t="str">
        <f ca="1">IFERROR(__xludf.DUMMYFUNCTION("GOOGLETRANSLATE('대전도시공사_청년임대주택 현황_20240630'!I921,""ko"",""en"")"),"2000000")</f>
        <v>2000000</v>
      </c>
      <c r="J921" s="1" t="str">
        <f ca="1">IFERROR(__xludf.DUMMYFUNCTION("GOOGLETRANSLATE('대전도시공사_청년임대주택 현황_20240630'!J921,""ko"",""en"")"),"294400")</f>
        <v>294400</v>
      </c>
    </row>
    <row r="922" spans="1:10" ht="12.5" x14ac:dyDescent="0.25">
      <c r="A922" s="1" t="str">
        <f ca="1">IFERROR(__xludf.DUMMYFUNCTION("GOOGLETRANSLATE('대전도시공사_청년임대주택 현황_20240630'!A922,""ko"",""en"")"),"Goejeong-dong 3-1 (Samyoung Building 2, Youth Rental)")</f>
        <v>Goejeong-dong 3-1 (Samyoung Building 2, Youth Rental)</v>
      </c>
      <c r="B922" s="1" t="str">
        <f ca="1">IFERROR(__xludf.DUMMYFUNCTION("GOOGLETRANSLATE('대전도시공사_청년임대주택 현황_20240630'!B922,""ko"",""en"")"),"147")</f>
        <v>147</v>
      </c>
      <c r="C922" s="1" t="str">
        <f ca="1">IFERROR(__xludf.DUMMYFUNCTION("GOOGLETRANSLATE('대전도시공사_청년임대주택 현황_20240630'!C922,""ko"",""en"")"),"1")</f>
        <v>1</v>
      </c>
      <c r="D922" s="1" t="str">
        <f ca="1">IFERROR(__xludf.DUMMYFUNCTION("GOOGLETRANSLATE('대전도시공사_청년임대주택 현황_20240630'!D922,""ko"",""en"")"),"915")</f>
        <v>915</v>
      </c>
      <c r="E922" s="1" t="str">
        <f ca="1">IFERROR(__xludf.DUMMYFUNCTION("GOOGLETRANSLATE('대전도시공사_청년임대주택 현황_20240630'!E922,""ko"",""en"")"),"64.993")</f>
        <v>64.993</v>
      </c>
      <c r="F922" s="1" t="str">
        <f ca="1">IFERROR(__xludf.DUMMYFUNCTION("GOOGLETRANSLATE('대전도시공사_청년임대주택 현황_20240630'!F922,""ko"",""en"")"),"22.438")</f>
        <v>22.438</v>
      </c>
      <c r="G922" s="1" t="str">
        <f ca="1">IFERROR(__xludf.DUMMYFUNCTION("GOOGLETRANSLATE('대전도시공사_청년임대주택 현황_20240630'!G922,""ko"",""en"")"),"42.554")</f>
        <v>42.554</v>
      </c>
      <c r="H922" s="1" t="str">
        <f ca="1">IFERROR(__xludf.DUMMYFUNCTION("GOOGLETRANSLATE('대전도시공사_청년임대주택 현황_20240630'!H922,""ko"",""en"")"),"3rd place for youth rental")</f>
        <v>3rd place for youth rental</v>
      </c>
      <c r="I922" s="1" t="str">
        <f ca="1">IFERROR(__xludf.DUMMYFUNCTION("GOOGLETRANSLATE('대전도시공사_청년임대주택 현황_20240630'!I922,""ko"",""en"")"),"2000000")</f>
        <v>2000000</v>
      </c>
      <c r="J922" s="1" t="str">
        <f ca="1">IFERROR(__xludf.DUMMYFUNCTION("GOOGLETRANSLATE('대전도시공사_청년임대주택 현황_20240630'!J922,""ko"",""en"")"),"294400")</f>
        <v>294400</v>
      </c>
    </row>
    <row r="923" spans="1:10" ht="12.5" x14ac:dyDescent="0.25">
      <c r="A923" s="1" t="str">
        <f ca="1">IFERROR(__xludf.DUMMYFUNCTION("GOOGLETRANSLATE('대전도시공사_청년임대주택 현황_20240630'!A923,""ko"",""en"")"),"Gayang-dong 146-56 (Dawuri Housing, Youth Rental)")</f>
        <v>Gayang-dong 146-56 (Dawuri Housing, Youth Rental)</v>
      </c>
      <c r="B923" s="1" t="str">
        <f ca="1">IFERROR(__xludf.DUMMYFUNCTION("GOOGLETRANSLATE('대전도시공사_청년임대주택 현황_20240630'!B923,""ko"",""en"")"),"1")</f>
        <v>1</v>
      </c>
      <c r="C923" s="1" t="str">
        <f ca="1">IFERROR(__xludf.DUMMYFUNCTION("GOOGLETRANSLATE('대전도시공사_청년임대주택 현황_20240630'!C923,""ko"",""en"")"),"1")</f>
        <v>1</v>
      </c>
      <c r="D923" s="1" t="str">
        <f ca="1">IFERROR(__xludf.DUMMYFUNCTION("GOOGLETRANSLATE('대전도시공사_청년임대주택 현황_20240630'!D923,""ko"",""en"")"),"201")</f>
        <v>201</v>
      </c>
      <c r="E923" s="1" t="str">
        <f ca="1">IFERROR(__xludf.DUMMYFUNCTION("GOOGLETRANSLATE('대전도시공사_청년임대주택 현황_20240630'!E923,""ko"",""en"")"),"36.97")</f>
        <v>36.97</v>
      </c>
      <c r="F923" s="1" t="str">
        <f ca="1">IFERROR(__xludf.DUMMYFUNCTION("GOOGLETRANSLATE('대전도시공사_청년임대주택 현황_20240630'!F923,""ko"",""en"")"),"29")</f>
        <v>29</v>
      </c>
      <c r="G923" s="1" t="str">
        <f ca="1">IFERROR(__xludf.DUMMYFUNCTION("GOOGLETRANSLATE('대전도시공사_청년임대주택 현황_20240630'!G923,""ko"",""en"")"),"7.97")</f>
        <v>7.97</v>
      </c>
      <c r="H923" s="1" t="str">
        <f ca="1">IFERROR(__xludf.DUMMYFUNCTION("GOOGLETRANSLATE('대전도시공사_청년임대주택 현황_20240630'!H923,""ko"",""en"")"),"Beneficiary")</f>
        <v>Beneficiary</v>
      </c>
      <c r="I923" s="1" t="str">
        <f ca="1">IFERROR(__xludf.DUMMYFUNCTION("GOOGLETRANSLATE('대전도시공사_청년임대주택 현황_20240630'!I923,""ko"",""en"")"),"1000000")</f>
        <v>1000000</v>
      </c>
      <c r="J923" s="1" t="str">
        <f ca="1">IFERROR(__xludf.DUMMYFUNCTION("GOOGLETRANSLATE('대전도시공사_청년임대주택 현황_20240630'!J923,""ko"",""en"")"),"231100")</f>
        <v>231100</v>
      </c>
    </row>
    <row r="924" spans="1:10" ht="12.5" x14ac:dyDescent="0.25">
      <c r="A924" s="1" t="str">
        <f ca="1">IFERROR(__xludf.DUMMYFUNCTION("GOOGLETRANSLATE('대전도시공사_청년임대주택 현황_20240630'!A924,""ko"",""en"")"),"Gayang-dong 146-56 (Dawuri Housing, Youth Rental)")</f>
        <v>Gayang-dong 146-56 (Dawuri Housing, Youth Rental)</v>
      </c>
      <c r="B924" s="1" t="str">
        <f ca="1">IFERROR(__xludf.DUMMYFUNCTION("GOOGLETRANSLATE('대전도시공사_청년임대주택 현황_20240630'!B924,""ko"",""en"")"),"2")</f>
        <v>2</v>
      </c>
      <c r="C924" s="1" t="str">
        <f ca="1">IFERROR(__xludf.DUMMYFUNCTION("GOOGLETRANSLATE('대전도시공사_청년임대주택 현황_20240630'!C924,""ko"",""en"")"),"1")</f>
        <v>1</v>
      </c>
      <c r="D924" s="1" t="str">
        <f ca="1">IFERROR(__xludf.DUMMYFUNCTION("GOOGLETRANSLATE('대전도시공사_청년임대주택 현황_20240630'!D924,""ko"",""en"")"),"201")</f>
        <v>201</v>
      </c>
      <c r="E924" s="1" t="str">
        <f ca="1">IFERROR(__xludf.DUMMYFUNCTION("GOOGLETRANSLATE('대전도시공사_청년임대주택 현황_20240630'!E924,""ko"",""en"")"),"36.97")</f>
        <v>36.97</v>
      </c>
      <c r="F924" s="1" t="str">
        <f ca="1">IFERROR(__xludf.DUMMYFUNCTION("GOOGLETRANSLATE('대전도시공사_청년임대주택 현황_20240630'!F924,""ko"",""en"")"),"29")</f>
        <v>29</v>
      </c>
      <c r="G924" s="1" t="str">
        <f ca="1">IFERROR(__xludf.DUMMYFUNCTION("GOOGLETRANSLATE('대전도시공사_청년임대주택 현황_20240630'!G924,""ko"",""en"")"),"7.97")</f>
        <v>7.97</v>
      </c>
      <c r="H924" s="1" t="str">
        <f ca="1">IFERROR(__xludf.DUMMYFUNCTION("GOOGLETRANSLATE('대전도시공사_청년임대주택 현황_20240630'!H924,""ko"",""en"")"),"Youth Rental 2nd Place")</f>
        <v>Youth Rental 2nd Place</v>
      </c>
      <c r="I924" s="1" t="str">
        <f ca="1">IFERROR(__xludf.DUMMYFUNCTION("GOOGLETRANSLATE('대전도시공사_청년임대주택 현황_20240630'!I924,""ko"",""en"")"),"2000000")</f>
        <v>2000000</v>
      </c>
      <c r="J924" s="1" t="str">
        <f ca="1">IFERROR(__xludf.DUMMYFUNCTION("GOOGLETRANSLATE('대전도시공사_청년임대주택 현황_20240630'!J924,""ko"",""en"")"),"284400")</f>
        <v>284400</v>
      </c>
    </row>
    <row r="925" spans="1:10" ht="12.5" x14ac:dyDescent="0.25">
      <c r="A925" s="1" t="str">
        <f ca="1">IFERROR(__xludf.DUMMYFUNCTION("GOOGLETRANSLATE('대전도시공사_청년임대주택 현황_20240630'!A925,""ko"",""en"")"),"Gayang-dong 146-56 (Dawuri Housing, Youth Rental)")</f>
        <v>Gayang-dong 146-56 (Dawuri Housing, Youth Rental)</v>
      </c>
      <c r="B925" s="1" t="str">
        <f ca="1">IFERROR(__xludf.DUMMYFUNCTION("GOOGLETRANSLATE('대전도시공사_청년임대주택 현황_20240630'!B925,""ko"",""en"")"),"3")</f>
        <v>3</v>
      </c>
      <c r="C925" s="1" t="str">
        <f ca="1">IFERROR(__xludf.DUMMYFUNCTION("GOOGLETRANSLATE('대전도시공사_청년임대주택 현황_20240630'!C925,""ko"",""en"")"),"1")</f>
        <v>1</v>
      </c>
      <c r="D925" s="1" t="str">
        <f ca="1">IFERROR(__xludf.DUMMYFUNCTION("GOOGLETRANSLATE('대전도시공사_청년임대주택 현황_20240630'!D925,""ko"",""en"")"),"201")</f>
        <v>201</v>
      </c>
      <c r="E925" s="1" t="str">
        <f ca="1">IFERROR(__xludf.DUMMYFUNCTION("GOOGLETRANSLATE('대전도시공사_청년임대주택 현황_20240630'!E925,""ko"",""en"")"),"36.97")</f>
        <v>36.97</v>
      </c>
      <c r="F925" s="1" t="str">
        <f ca="1">IFERROR(__xludf.DUMMYFUNCTION("GOOGLETRANSLATE('대전도시공사_청년임대주택 현황_20240630'!F925,""ko"",""en"")"),"29")</f>
        <v>29</v>
      </c>
      <c r="G925" s="1" t="str">
        <f ca="1">IFERROR(__xludf.DUMMYFUNCTION("GOOGLETRANSLATE('대전도시공사_청년임대주택 현황_20240630'!G925,""ko"",""en"")"),"7.97")</f>
        <v>7.97</v>
      </c>
      <c r="H925" s="1" t="str">
        <f ca="1">IFERROR(__xludf.DUMMYFUNCTION("GOOGLETRANSLATE('대전도시공사_청년임대주택 현황_20240630'!H925,""ko"",""en"")"),"3rd place for youth rental")</f>
        <v>3rd place for youth rental</v>
      </c>
      <c r="I925" s="1" t="str">
        <f ca="1">IFERROR(__xludf.DUMMYFUNCTION("GOOGLETRANSLATE('대전도시공사_청년임대주택 현황_20240630'!I925,""ko"",""en"")"),"2000000")</f>
        <v>2000000</v>
      </c>
      <c r="J925" s="1" t="str">
        <f ca="1">IFERROR(__xludf.DUMMYFUNCTION("GOOGLETRANSLATE('대전도시공사_청년임대주택 현황_20240630'!J925,""ko"",""en"")"),"284400")</f>
        <v>284400</v>
      </c>
    </row>
    <row r="926" spans="1:10" ht="12.5" x14ac:dyDescent="0.25">
      <c r="A926" s="1" t="str">
        <f ca="1">IFERROR(__xludf.DUMMYFUNCTION("GOOGLETRANSLATE('대전도시공사_청년임대주택 현황_20240630'!A926,""ko"",""en"")"),"Gayang-dong 146-56 (Dawuri Housing, Youth Rental)")</f>
        <v>Gayang-dong 146-56 (Dawuri Housing, Youth Rental)</v>
      </c>
      <c r="B926" s="1" t="str">
        <f ca="1">IFERROR(__xludf.DUMMYFUNCTION("GOOGLETRANSLATE('대전도시공사_청년임대주택 현황_20240630'!B926,""ko"",""en"")"),"4")</f>
        <v>4</v>
      </c>
      <c r="C926" s="1" t="str">
        <f ca="1">IFERROR(__xludf.DUMMYFUNCTION("GOOGLETRANSLATE('대전도시공사_청년임대주택 현황_20240630'!C926,""ko"",""en"")"),"1")</f>
        <v>1</v>
      </c>
      <c r="D926" s="1" t="str">
        <f ca="1">IFERROR(__xludf.DUMMYFUNCTION("GOOGLETRANSLATE('대전도시공사_청년임대주택 현황_20240630'!D926,""ko"",""en"")"),"202")</f>
        <v>202</v>
      </c>
      <c r="E926" s="1" t="str">
        <f ca="1">IFERROR(__xludf.DUMMYFUNCTION("GOOGLETRANSLATE('대전도시공사_청년임대주택 현황_20240630'!E926,""ko"",""en"")"),"35.65")</f>
        <v>35.65</v>
      </c>
      <c r="F926" s="1" t="str">
        <f ca="1">IFERROR(__xludf.DUMMYFUNCTION("GOOGLETRANSLATE('대전도시공사_청년임대주택 현황_20240630'!F926,""ko"",""en"")"),"27.95")</f>
        <v>27.95</v>
      </c>
      <c r="G926" s="1" t="str">
        <f ca="1">IFERROR(__xludf.DUMMYFUNCTION("GOOGLETRANSLATE('대전도시공사_청년임대주택 현황_20240630'!G926,""ko"",""en"")"),"7.7")</f>
        <v>7.7</v>
      </c>
      <c r="H926" s="1" t="str">
        <f ca="1">IFERROR(__xludf.DUMMYFUNCTION("GOOGLETRANSLATE('대전도시공사_청년임대주택 현황_20240630'!H926,""ko"",""en"")"),"Beneficiary")</f>
        <v>Beneficiary</v>
      </c>
      <c r="I926" s="1" t="str">
        <f ca="1">IFERROR(__xludf.DUMMYFUNCTION("GOOGLETRANSLATE('대전도시공사_청년임대주택 현황_20240630'!I926,""ko"",""en"")"),"1000000")</f>
        <v>1000000</v>
      </c>
      <c r="J926" s="1" t="str">
        <f ca="1">IFERROR(__xludf.DUMMYFUNCTION("GOOGLETRANSLATE('대전도시공사_청년임대주택 현황_20240630'!J926,""ko"",""en"")"),"227600")</f>
        <v>227600</v>
      </c>
    </row>
    <row r="927" spans="1:10" ht="12.5" x14ac:dyDescent="0.25">
      <c r="A927" s="1" t="str">
        <f ca="1">IFERROR(__xludf.DUMMYFUNCTION("GOOGLETRANSLATE('대전도시공사_청년임대주택 현황_20240630'!A927,""ko"",""en"")"),"Gayang-dong 146-56 (Dawuri Housing, Youth Rental)")</f>
        <v>Gayang-dong 146-56 (Dawuri Housing, Youth Rental)</v>
      </c>
      <c r="B927" s="1" t="str">
        <f ca="1">IFERROR(__xludf.DUMMYFUNCTION("GOOGLETRANSLATE('대전도시공사_청년임대주택 현황_20240630'!B927,""ko"",""en"")"),"5")</f>
        <v>5</v>
      </c>
      <c r="C927" s="1" t="str">
        <f ca="1">IFERROR(__xludf.DUMMYFUNCTION("GOOGLETRANSLATE('대전도시공사_청년임대주택 현황_20240630'!C927,""ko"",""en"")"),"1")</f>
        <v>1</v>
      </c>
      <c r="D927" s="1" t="str">
        <f ca="1">IFERROR(__xludf.DUMMYFUNCTION("GOOGLETRANSLATE('대전도시공사_청년임대주택 현황_20240630'!D927,""ko"",""en"")"),"202")</f>
        <v>202</v>
      </c>
      <c r="E927" s="1" t="str">
        <f ca="1">IFERROR(__xludf.DUMMYFUNCTION("GOOGLETRANSLATE('대전도시공사_청년임대주택 현황_20240630'!E927,""ko"",""en"")"),"35.65")</f>
        <v>35.65</v>
      </c>
      <c r="F927" s="1" t="str">
        <f ca="1">IFERROR(__xludf.DUMMYFUNCTION("GOOGLETRANSLATE('대전도시공사_청년임대주택 현황_20240630'!F927,""ko"",""en"")"),"27.95")</f>
        <v>27.95</v>
      </c>
      <c r="G927" s="1" t="str">
        <f ca="1">IFERROR(__xludf.DUMMYFUNCTION("GOOGLETRANSLATE('대전도시공사_청년임대주택 현황_20240630'!G927,""ko"",""en"")"),"7.7")</f>
        <v>7.7</v>
      </c>
      <c r="H927" s="1" t="str">
        <f ca="1">IFERROR(__xludf.DUMMYFUNCTION("GOOGLETRANSLATE('대전도시공사_청년임대주택 현황_20240630'!H927,""ko"",""en"")"),"Youth Rental 2nd Place")</f>
        <v>Youth Rental 2nd Place</v>
      </c>
      <c r="I927" s="1" t="str">
        <f ca="1">IFERROR(__xludf.DUMMYFUNCTION("GOOGLETRANSLATE('대전도시공사_청년임대주택 현황_20240630'!I927,""ko"",""en"")"),"2000000")</f>
        <v>2000000</v>
      </c>
      <c r="J927" s="1" t="str">
        <f ca="1">IFERROR(__xludf.DUMMYFUNCTION("GOOGLETRANSLATE('대전도시공사_청년임대주택 현황_20240630'!J927,""ko"",""en"")"),"280100")</f>
        <v>280100</v>
      </c>
    </row>
    <row r="928" spans="1:10" ht="12.5" x14ac:dyDescent="0.25">
      <c r="A928" s="1" t="str">
        <f ca="1">IFERROR(__xludf.DUMMYFUNCTION("GOOGLETRANSLATE('대전도시공사_청년임대주택 현황_20240630'!A928,""ko"",""en"")"),"Gayang-dong 146-56 (Dawuri Housing, Youth Rental)")</f>
        <v>Gayang-dong 146-56 (Dawuri Housing, Youth Rental)</v>
      </c>
      <c r="B928" s="1" t="str">
        <f ca="1">IFERROR(__xludf.DUMMYFUNCTION("GOOGLETRANSLATE('대전도시공사_청년임대주택 현황_20240630'!B928,""ko"",""en"")"),"6")</f>
        <v>6</v>
      </c>
      <c r="C928" s="1" t="str">
        <f ca="1">IFERROR(__xludf.DUMMYFUNCTION("GOOGLETRANSLATE('대전도시공사_청년임대주택 현황_20240630'!C928,""ko"",""en"")"),"1")</f>
        <v>1</v>
      </c>
      <c r="D928" s="1" t="str">
        <f ca="1">IFERROR(__xludf.DUMMYFUNCTION("GOOGLETRANSLATE('대전도시공사_청년임대주택 현황_20240630'!D928,""ko"",""en"")"),"202")</f>
        <v>202</v>
      </c>
      <c r="E928" s="1" t="str">
        <f ca="1">IFERROR(__xludf.DUMMYFUNCTION("GOOGLETRANSLATE('대전도시공사_청년임대주택 현황_20240630'!E928,""ko"",""en"")"),"35.65")</f>
        <v>35.65</v>
      </c>
      <c r="F928" s="1" t="str">
        <f ca="1">IFERROR(__xludf.DUMMYFUNCTION("GOOGLETRANSLATE('대전도시공사_청년임대주택 현황_20240630'!F928,""ko"",""en"")"),"27.95")</f>
        <v>27.95</v>
      </c>
      <c r="G928" s="1" t="str">
        <f ca="1">IFERROR(__xludf.DUMMYFUNCTION("GOOGLETRANSLATE('대전도시공사_청년임대주택 현황_20240630'!G928,""ko"",""en"")"),"7.7")</f>
        <v>7.7</v>
      </c>
      <c r="H928" s="1" t="str">
        <f ca="1">IFERROR(__xludf.DUMMYFUNCTION("GOOGLETRANSLATE('대전도시공사_청년임대주택 현황_20240630'!H928,""ko"",""en"")"),"3rd place for youth rental")</f>
        <v>3rd place for youth rental</v>
      </c>
      <c r="I928" s="1" t="str">
        <f ca="1">IFERROR(__xludf.DUMMYFUNCTION("GOOGLETRANSLATE('대전도시공사_청년임대주택 현황_20240630'!I928,""ko"",""en"")"),"2000000")</f>
        <v>2000000</v>
      </c>
      <c r="J928" s="1" t="str">
        <f ca="1">IFERROR(__xludf.DUMMYFUNCTION("GOOGLETRANSLATE('대전도시공사_청년임대주택 현황_20240630'!J928,""ko"",""en"")"),"280100")</f>
        <v>280100</v>
      </c>
    </row>
    <row r="929" spans="1:10" ht="12.5" x14ac:dyDescent="0.25">
      <c r="A929" s="1" t="str">
        <f ca="1">IFERROR(__xludf.DUMMYFUNCTION("GOOGLETRANSLATE('대전도시공사_청년임대주택 현황_20240630'!A929,""ko"",""en"")"),"Gayang-dong 146-56 (Dawuri Housing, Youth Rental)")</f>
        <v>Gayang-dong 146-56 (Dawuri Housing, Youth Rental)</v>
      </c>
      <c r="B929" s="1" t="str">
        <f ca="1">IFERROR(__xludf.DUMMYFUNCTION("GOOGLETRANSLATE('대전도시공사_청년임대주택 현황_20240630'!B929,""ko"",""en"")"),"7")</f>
        <v>7</v>
      </c>
      <c r="C929" s="1" t="str">
        <f ca="1">IFERROR(__xludf.DUMMYFUNCTION("GOOGLETRANSLATE('대전도시공사_청년임대주택 현황_20240630'!C929,""ko"",""en"")"),"1")</f>
        <v>1</v>
      </c>
      <c r="D929" s="1" t="str">
        <f ca="1">IFERROR(__xludf.DUMMYFUNCTION("GOOGLETRANSLATE('대전도시공사_청년임대주택 현황_20240630'!D929,""ko"",""en"")"),"203")</f>
        <v>203</v>
      </c>
      <c r="E929" s="1" t="str">
        <f ca="1">IFERROR(__xludf.DUMMYFUNCTION("GOOGLETRANSLATE('대전도시공사_청년임대주택 현황_20240630'!E929,""ko"",""en"")"),"34.79")</f>
        <v>34.79</v>
      </c>
      <c r="F929" s="1" t="str">
        <f ca="1">IFERROR(__xludf.DUMMYFUNCTION("GOOGLETRANSLATE('대전도시공사_청년임대주택 현황_20240630'!F929,""ko"",""en"")"),"27.28")</f>
        <v>27.28</v>
      </c>
      <c r="G929" s="1" t="str">
        <f ca="1">IFERROR(__xludf.DUMMYFUNCTION("GOOGLETRANSLATE('대전도시공사_청년임대주택 현황_20240630'!G929,""ko"",""en"")"),"7.51")</f>
        <v>7.51</v>
      </c>
      <c r="H929" s="1" t="str">
        <f ca="1">IFERROR(__xludf.DUMMYFUNCTION("GOOGLETRANSLATE('대전도시공사_청년임대주택 현황_20240630'!H929,""ko"",""en"")"),"Beneficiary")</f>
        <v>Beneficiary</v>
      </c>
      <c r="I929" s="1" t="str">
        <f ca="1">IFERROR(__xludf.DUMMYFUNCTION("GOOGLETRANSLATE('대전도시공사_청년임대주택 현황_20240630'!I929,""ko"",""en"")"),"1000000")</f>
        <v>1000000</v>
      </c>
      <c r="J929" s="1" t="str">
        <f ca="1">IFERROR(__xludf.DUMMYFUNCTION("GOOGLETRANSLATE('대전도시공사_청년임대주택 현황_20240630'!J929,""ko"",""en"")"),"224500")</f>
        <v>224500</v>
      </c>
    </row>
    <row r="930" spans="1:10" ht="12.5" x14ac:dyDescent="0.25">
      <c r="A930" s="1" t="str">
        <f ca="1">IFERROR(__xludf.DUMMYFUNCTION("GOOGLETRANSLATE('대전도시공사_청년임대주택 현황_20240630'!A930,""ko"",""en"")"),"Gayang-dong 146-56 (Dawuri Housing, Youth Rental)")</f>
        <v>Gayang-dong 146-56 (Dawuri Housing, Youth Rental)</v>
      </c>
      <c r="B930" s="1" t="str">
        <f ca="1">IFERROR(__xludf.DUMMYFUNCTION("GOOGLETRANSLATE('대전도시공사_청년임대주택 현황_20240630'!B930,""ko"",""en"")"),"8")</f>
        <v>8</v>
      </c>
      <c r="C930" s="1" t="str">
        <f ca="1">IFERROR(__xludf.DUMMYFUNCTION("GOOGLETRANSLATE('대전도시공사_청년임대주택 현황_20240630'!C930,""ko"",""en"")"),"1")</f>
        <v>1</v>
      </c>
      <c r="D930" s="1" t="str">
        <f ca="1">IFERROR(__xludf.DUMMYFUNCTION("GOOGLETRANSLATE('대전도시공사_청년임대주택 현황_20240630'!D930,""ko"",""en"")"),"203")</f>
        <v>203</v>
      </c>
      <c r="E930" s="1" t="str">
        <f ca="1">IFERROR(__xludf.DUMMYFUNCTION("GOOGLETRANSLATE('대전도시공사_청년임대주택 현황_20240630'!E930,""ko"",""en"")"),"34.79")</f>
        <v>34.79</v>
      </c>
      <c r="F930" s="1" t="str">
        <f ca="1">IFERROR(__xludf.DUMMYFUNCTION("GOOGLETRANSLATE('대전도시공사_청년임대주택 현황_20240630'!F930,""ko"",""en"")"),"27.28")</f>
        <v>27.28</v>
      </c>
      <c r="G930" s="1" t="str">
        <f ca="1">IFERROR(__xludf.DUMMYFUNCTION("GOOGLETRANSLATE('대전도시공사_청년임대주택 현황_20240630'!G930,""ko"",""en"")"),"7.51")</f>
        <v>7.51</v>
      </c>
      <c r="H930" s="1" t="str">
        <f ca="1">IFERROR(__xludf.DUMMYFUNCTION("GOOGLETRANSLATE('대전도시공사_청년임대주택 현황_20240630'!H930,""ko"",""en"")"),"Youth Rental 2nd Place")</f>
        <v>Youth Rental 2nd Place</v>
      </c>
      <c r="I930" s="1" t="str">
        <f ca="1">IFERROR(__xludf.DUMMYFUNCTION("GOOGLETRANSLATE('대전도시공사_청년임대주택 현황_20240630'!I930,""ko"",""en"")"),"2000000")</f>
        <v>2000000</v>
      </c>
      <c r="J930" s="1" t="str">
        <f ca="1">IFERROR(__xludf.DUMMYFUNCTION("GOOGLETRANSLATE('대전도시공사_청년임대주택 현황_20240630'!J930,""ko"",""en"")"),"276200")</f>
        <v>276200</v>
      </c>
    </row>
    <row r="931" spans="1:10" ht="12.5" x14ac:dyDescent="0.25">
      <c r="A931" s="1" t="str">
        <f ca="1">IFERROR(__xludf.DUMMYFUNCTION("GOOGLETRANSLATE('대전도시공사_청년임대주택 현황_20240630'!A931,""ko"",""en"")"),"Gayang-dong 146-56 (Dawuri Housing, Youth Rental)")</f>
        <v>Gayang-dong 146-56 (Dawuri Housing, Youth Rental)</v>
      </c>
      <c r="B931" s="1" t="str">
        <f ca="1">IFERROR(__xludf.DUMMYFUNCTION("GOOGLETRANSLATE('대전도시공사_청년임대주택 현황_20240630'!B931,""ko"",""en"")"),"9")</f>
        <v>9</v>
      </c>
      <c r="C931" s="1" t="str">
        <f ca="1">IFERROR(__xludf.DUMMYFUNCTION("GOOGLETRANSLATE('대전도시공사_청년임대주택 현황_20240630'!C931,""ko"",""en"")"),"1")</f>
        <v>1</v>
      </c>
      <c r="D931" s="1" t="str">
        <f ca="1">IFERROR(__xludf.DUMMYFUNCTION("GOOGLETRANSLATE('대전도시공사_청년임대주택 현황_20240630'!D931,""ko"",""en"")"),"203")</f>
        <v>203</v>
      </c>
      <c r="E931" s="1" t="str">
        <f ca="1">IFERROR(__xludf.DUMMYFUNCTION("GOOGLETRANSLATE('대전도시공사_청년임대주택 현황_20240630'!E931,""ko"",""en"")"),"34.79")</f>
        <v>34.79</v>
      </c>
      <c r="F931" s="1" t="str">
        <f ca="1">IFERROR(__xludf.DUMMYFUNCTION("GOOGLETRANSLATE('대전도시공사_청년임대주택 현황_20240630'!F931,""ko"",""en"")"),"27.28")</f>
        <v>27.28</v>
      </c>
      <c r="G931" s="1" t="str">
        <f ca="1">IFERROR(__xludf.DUMMYFUNCTION("GOOGLETRANSLATE('대전도시공사_청년임대주택 현황_20240630'!G931,""ko"",""en"")"),"7.51")</f>
        <v>7.51</v>
      </c>
      <c r="H931" s="1" t="str">
        <f ca="1">IFERROR(__xludf.DUMMYFUNCTION("GOOGLETRANSLATE('대전도시공사_청년임대주택 현황_20240630'!H931,""ko"",""en"")"),"3rd place for youth rental")</f>
        <v>3rd place for youth rental</v>
      </c>
      <c r="I931" s="1" t="str">
        <f ca="1">IFERROR(__xludf.DUMMYFUNCTION("GOOGLETRANSLATE('대전도시공사_청년임대주택 현황_20240630'!I931,""ko"",""en"")"),"2000000")</f>
        <v>2000000</v>
      </c>
      <c r="J931" s="1" t="str">
        <f ca="1">IFERROR(__xludf.DUMMYFUNCTION("GOOGLETRANSLATE('대전도시공사_청년임대주택 현황_20240630'!J931,""ko"",""en"")"),"276200")</f>
        <v>276200</v>
      </c>
    </row>
    <row r="932" spans="1:10" ht="12.5" x14ac:dyDescent="0.25">
      <c r="A932" s="1" t="str">
        <f ca="1">IFERROR(__xludf.DUMMYFUNCTION("GOOGLETRANSLATE('대전도시공사_청년임대주택 현황_20240630'!A932,""ko"",""en"")"),"Gayang-dong 146-56 (Dawuri Housing, Youth Rental)")</f>
        <v>Gayang-dong 146-56 (Dawuri Housing, Youth Rental)</v>
      </c>
      <c r="B932" s="1" t="str">
        <f ca="1">IFERROR(__xludf.DUMMYFUNCTION("GOOGLETRANSLATE('대전도시공사_청년임대주택 현황_20240630'!B932,""ko"",""en"")"),"10")</f>
        <v>10</v>
      </c>
      <c r="C932" s="1" t="str">
        <f ca="1">IFERROR(__xludf.DUMMYFUNCTION("GOOGLETRANSLATE('대전도시공사_청년임대주택 현황_20240630'!C932,""ko"",""en"")"),"1")</f>
        <v>1</v>
      </c>
      <c r="D932" s="1" t="str">
        <f ca="1">IFERROR(__xludf.DUMMYFUNCTION("GOOGLETRANSLATE('대전도시공사_청년임대주택 현황_20240630'!D932,""ko"",""en"")"),"204")</f>
        <v>204</v>
      </c>
      <c r="E932" s="1" t="str">
        <f ca="1">IFERROR(__xludf.DUMMYFUNCTION("GOOGLETRANSLATE('대전도시공사_청년임대주택 현황_20240630'!E932,""ko"",""en"")"),"34.79")</f>
        <v>34.79</v>
      </c>
      <c r="F932" s="1" t="str">
        <f ca="1">IFERROR(__xludf.DUMMYFUNCTION("GOOGLETRANSLATE('대전도시공사_청년임대주택 현황_20240630'!F932,""ko"",""en"")"),"27.28")</f>
        <v>27.28</v>
      </c>
      <c r="G932" s="1" t="str">
        <f ca="1">IFERROR(__xludf.DUMMYFUNCTION("GOOGLETRANSLATE('대전도시공사_청년임대주택 현황_20240630'!G932,""ko"",""en"")"),"7.51")</f>
        <v>7.51</v>
      </c>
      <c r="H932" s="1" t="str">
        <f ca="1">IFERROR(__xludf.DUMMYFUNCTION("GOOGLETRANSLATE('대전도시공사_청년임대주택 현황_20240630'!H932,""ko"",""en"")"),"Beneficiary")</f>
        <v>Beneficiary</v>
      </c>
      <c r="I932" s="1" t="str">
        <f ca="1">IFERROR(__xludf.DUMMYFUNCTION("GOOGLETRANSLATE('대전도시공사_청년임대주택 현황_20240630'!I932,""ko"",""en"")"),"1000000")</f>
        <v>1000000</v>
      </c>
      <c r="J932" s="1" t="str">
        <f ca="1">IFERROR(__xludf.DUMMYFUNCTION("GOOGLETRANSLATE('대전도시공사_청년임대주택 현황_20240630'!J932,""ko"",""en"")"),"222000")</f>
        <v>222000</v>
      </c>
    </row>
    <row r="933" spans="1:10" ht="12.5" x14ac:dyDescent="0.25">
      <c r="A933" s="1" t="str">
        <f ca="1">IFERROR(__xludf.DUMMYFUNCTION("GOOGLETRANSLATE('대전도시공사_청년임대주택 현황_20240630'!A933,""ko"",""en"")"),"Gayang-dong 146-56 (Dawuri Housing, Youth Rental)")</f>
        <v>Gayang-dong 146-56 (Dawuri Housing, Youth Rental)</v>
      </c>
      <c r="B933" s="1" t="str">
        <f ca="1">IFERROR(__xludf.DUMMYFUNCTION("GOOGLETRANSLATE('대전도시공사_청년임대주택 현황_20240630'!B933,""ko"",""en"")"),"11")</f>
        <v>11</v>
      </c>
      <c r="C933" s="1" t="str">
        <f ca="1">IFERROR(__xludf.DUMMYFUNCTION("GOOGLETRANSLATE('대전도시공사_청년임대주택 현황_20240630'!C933,""ko"",""en"")"),"1")</f>
        <v>1</v>
      </c>
      <c r="D933" s="1" t="str">
        <f ca="1">IFERROR(__xludf.DUMMYFUNCTION("GOOGLETRANSLATE('대전도시공사_청년임대주택 현황_20240630'!D933,""ko"",""en"")"),"204")</f>
        <v>204</v>
      </c>
      <c r="E933" s="1" t="str">
        <f ca="1">IFERROR(__xludf.DUMMYFUNCTION("GOOGLETRANSLATE('대전도시공사_청년임대주택 현황_20240630'!E933,""ko"",""en"")"),"34.79")</f>
        <v>34.79</v>
      </c>
      <c r="F933" s="1" t="str">
        <f ca="1">IFERROR(__xludf.DUMMYFUNCTION("GOOGLETRANSLATE('대전도시공사_청년임대주택 현황_20240630'!F933,""ko"",""en"")"),"27.28")</f>
        <v>27.28</v>
      </c>
      <c r="G933" s="1" t="str">
        <f ca="1">IFERROR(__xludf.DUMMYFUNCTION("GOOGLETRANSLATE('대전도시공사_청년임대주택 현황_20240630'!G933,""ko"",""en"")"),"7.51")</f>
        <v>7.51</v>
      </c>
      <c r="H933" s="1" t="str">
        <f ca="1">IFERROR(__xludf.DUMMYFUNCTION("GOOGLETRANSLATE('대전도시공사_청년임대주택 현황_20240630'!H933,""ko"",""en"")"),"Youth Rental 2nd Place")</f>
        <v>Youth Rental 2nd Place</v>
      </c>
      <c r="I933" s="1" t="str">
        <f ca="1">IFERROR(__xludf.DUMMYFUNCTION("GOOGLETRANSLATE('대전도시공사_청년임대주택 현황_20240630'!I933,""ko"",""en"")"),"2000000")</f>
        <v>2000000</v>
      </c>
      <c r="J933" s="1" t="str">
        <f ca="1">IFERROR(__xludf.DUMMYFUNCTION("GOOGLETRANSLATE('대전도시공사_청년임대주택 현황_20240630'!J933,""ko"",""en"")"),"273100")</f>
        <v>273100</v>
      </c>
    </row>
    <row r="934" spans="1:10" ht="12.5" x14ac:dyDescent="0.25">
      <c r="A934" s="1" t="str">
        <f ca="1">IFERROR(__xludf.DUMMYFUNCTION("GOOGLETRANSLATE('대전도시공사_청년임대주택 현황_20240630'!A934,""ko"",""en"")"),"Gayang-dong 146-56 (Dawuri Housing, Youth Rental)")</f>
        <v>Gayang-dong 146-56 (Dawuri Housing, Youth Rental)</v>
      </c>
      <c r="B934" s="1" t="str">
        <f ca="1">IFERROR(__xludf.DUMMYFUNCTION("GOOGLETRANSLATE('대전도시공사_청년임대주택 현황_20240630'!B934,""ko"",""en"")"),"12")</f>
        <v>12</v>
      </c>
      <c r="C934" s="1" t="str">
        <f ca="1">IFERROR(__xludf.DUMMYFUNCTION("GOOGLETRANSLATE('대전도시공사_청년임대주택 현황_20240630'!C934,""ko"",""en"")"),"1")</f>
        <v>1</v>
      </c>
      <c r="D934" s="1" t="str">
        <f ca="1">IFERROR(__xludf.DUMMYFUNCTION("GOOGLETRANSLATE('대전도시공사_청년임대주택 현황_20240630'!D934,""ko"",""en"")"),"204")</f>
        <v>204</v>
      </c>
      <c r="E934" s="1" t="str">
        <f ca="1">IFERROR(__xludf.DUMMYFUNCTION("GOOGLETRANSLATE('대전도시공사_청년임대주택 현황_20240630'!E934,""ko"",""en"")"),"34.79")</f>
        <v>34.79</v>
      </c>
      <c r="F934" s="1" t="str">
        <f ca="1">IFERROR(__xludf.DUMMYFUNCTION("GOOGLETRANSLATE('대전도시공사_청년임대주택 현황_20240630'!F934,""ko"",""en"")"),"27.28")</f>
        <v>27.28</v>
      </c>
      <c r="G934" s="1" t="str">
        <f ca="1">IFERROR(__xludf.DUMMYFUNCTION("GOOGLETRANSLATE('대전도시공사_청년임대주택 현황_20240630'!G934,""ko"",""en"")"),"7.51")</f>
        <v>7.51</v>
      </c>
      <c r="H934" s="1" t="str">
        <f ca="1">IFERROR(__xludf.DUMMYFUNCTION("GOOGLETRANSLATE('대전도시공사_청년임대주택 현황_20240630'!H934,""ko"",""en"")"),"3rd place for youth rental")</f>
        <v>3rd place for youth rental</v>
      </c>
      <c r="I934" s="1" t="str">
        <f ca="1">IFERROR(__xludf.DUMMYFUNCTION("GOOGLETRANSLATE('대전도시공사_청년임대주택 현황_20240630'!I934,""ko"",""en"")"),"2000000")</f>
        <v>2000000</v>
      </c>
      <c r="J934" s="1" t="str">
        <f ca="1">IFERROR(__xludf.DUMMYFUNCTION("GOOGLETRANSLATE('대전도시공사_청년임대주택 현황_20240630'!J934,""ko"",""en"")"),"273100")</f>
        <v>273100</v>
      </c>
    </row>
    <row r="935" spans="1:10" ht="12.5" x14ac:dyDescent="0.25">
      <c r="A935" s="1" t="str">
        <f ca="1">IFERROR(__xludf.DUMMYFUNCTION("GOOGLETRANSLATE('대전도시공사_청년임대주택 현황_20240630'!A935,""ko"",""en"")"),"Gayang-dong 146-56 (Dawuri Housing, Youth Rental)")</f>
        <v>Gayang-dong 146-56 (Dawuri Housing, Youth Rental)</v>
      </c>
      <c r="B935" s="1" t="str">
        <f ca="1">IFERROR(__xludf.DUMMYFUNCTION("GOOGLETRANSLATE('대전도시공사_청년임대주택 현황_20240630'!B935,""ko"",""en"")"),"13")</f>
        <v>13</v>
      </c>
      <c r="C935" s="1" t="str">
        <f ca="1">IFERROR(__xludf.DUMMYFUNCTION("GOOGLETRANSLATE('대전도시공사_청년임대주택 현황_20240630'!C935,""ko"",""en"")"),"1")</f>
        <v>1</v>
      </c>
      <c r="D935" s="1" t="str">
        <f ca="1">IFERROR(__xludf.DUMMYFUNCTION("GOOGLETRANSLATE('대전도시공사_청년임대주택 현황_20240630'!D935,""ko"",""en"")"),"205")</f>
        <v>205</v>
      </c>
      <c r="E935" s="1" t="str">
        <f ca="1">IFERROR(__xludf.DUMMYFUNCTION("GOOGLETRANSLATE('대전도시공사_청년임대주택 현황_20240630'!E935,""ko"",""en"")"),"34.79")</f>
        <v>34.79</v>
      </c>
      <c r="F935" s="1" t="str">
        <f ca="1">IFERROR(__xludf.DUMMYFUNCTION("GOOGLETRANSLATE('대전도시공사_청년임대주택 현황_20240630'!F935,""ko"",""en"")"),"27.28")</f>
        <v>27.28</v>
      </c>
      <c r="G935" s="1" t="str">
        <f ca="1">IFERROR(__xludf.DUMMYFUNCTION("GOOGLETRANSLATE('대전도시공사_청년임대주택 현황_20240630'!G935,""ko"",""en"")"),"7.51")</f>
        <v>7.51</v>
      </c>
      <c r="H935" s="1" t="str">
        <f ca="1">IFERROR(__xludf.DUMMYFUNCTION("GOOGLETRANSLATE('대전도시공사_청년임대주택 현황_20240630'!H935,""ko"",""en"")"),"Beneficiary")</f>
        <v>Beneficiary</v>
      </c>
      <c r="I935" s="1" t="str">
        <f ca="1">IFERROR(__xludf.DUMMYFUNCTION("GOOGLETRANSLATE('대전도시공사_청년임대주택 현황_20240630'!I935,""ko"",""en"")"),"1000000")</f>
        <v>1000000</v>
      </c>
      <c r="J935" s="1" t="str">
        <f ca="1">IFERROR(__xludf.DUMMYFUNCTION("GOOGLETRANSLATE('대전도시공사_청년임대주택 현황_20240630'!J935,""ko"",""en"")"),"224500")</f>
        <v>224500</v>
      </c>
    </row>
    <row r="936" spans="1:10" ht="12.5" x14ac:dyDescent="0.25">
      <c r="A936" s="1" t="str">
        <f ca="1">IFERROR(__xludf.DUMMYFUNCTION("GOOGLETRANSLATE('대전도시공사_청년임대주택 현황_20240630'!A936,""ko"",""en"")"),"Gayang-dong 146-56 (Dawuri Housing, Youth Rental)")</f>
        <v>Gayang-dong 146-56 (Dawuri Housing, Youth Rental)</v>
      </c>
      <c r="B936" s="1" t="str">
        <f ca="1">IFERROR(__xludf.DUMMYFUNCTION("GOOGLETRANSLATE('대전도시공사_청년임대주택 현황_20240630'!B936,""ko"",""en"")"),"14")</f>
        <v>14</v>
      </c>
      <c r="C936" s="1" t="str">
        <f ca="1">IFERROR(__xludf.DUMMYFUNCTION("GOOGLETRANSLATE('대전도시공사_청년임대주택 현황_20240630'!C936,""ko"",""en"")"),"1")</f>
        <v>1</v>
      </c>
      <c r="D936" s="1" t="str">
        <f ca="1">IFERROR(__xludf.DUMMYFUNCTION("GOOGLETRANSLATE('대전도시공사_청년임대주택 현황_20240630'!D936,""ko"",""en"")"),"205")</f>
        <v>205</v>
      </c>
      <c r="E936" s="1" t="str">
        <f ca="1">IFERROR(__xludf.DUMMYFUNCTION("GOOGLETRANSLATE('대전도시공사_청년임대주택 현황_20240630'!E936,""ko"",""en"")"),"34.79")</f>
        <v>34.79</v>
      </c>
      <c r="F936" s="1" t="str">
        <f ca="1">IFERROR(__xludf.DUMMYFUNCTION("GOOGLETRANSLATE('대전도시공사_청년임대주택 현황_20240630'!F936,""ko"",""en"")"),"27.28")</f>
        <v>27.28</v>
      </c>
      <c r="G936" s="1" t="str">
        <f ca="1">IFERROR(__xludf.DUMMYFUNCTION("GOOGLETRANSLATE('대전도시공사_청년임대주택 현황_20240630'!G936,""ko"",""en"")"),"7.51")</f>
        <v>7.51</v>
      </c>
      <c r="H936" s="1" t="str">
        <f ca="1">IFERROR(__xludf.DUMMYFUNCTION("GOOGLETRANSLATE('대전도시공사_청년임대주택 현황_20240630'!H936,""ko"",""en"")"),"Youth Rental 2nd Place")</f>
        <v>Youth Rental 2nd Place</v>
      </c>
      <c r="I936" s="1" t="str">
        <f ca="1">IFERROR(__xludf.DUMMYFUNCTION("GOOGLETRANSLATE('대전도시공사_청년임대주택 현황_20240630'!I936,""ko"",""en"")"),"2000000")</f>
        <v>2000000</v>
      </c>
      <c r="J936" s="1" t="str">
        <f ca="1">IFERROR(__xludf.DUMMYFUNCTION("GOOGLETRANSLATE('대전도시공사_청년임대주택 현황_20240630'!J936,""ko"",""en"")"),"276200")</f>
        <v>276200</v>
      </c>
    </row>
    <row r="937" spans="1:10" ht="12.5" x14ac:dyDescent="0.25">
      <c r="A937" s="1" t="str">
        <f ca="1">IFERROR(__xludf.DUMMYFUNCTION("GOOGLETRANSLATE('대전도시공사_청년임대주택 현황_20240630'!A937,""ko"",""en"")"),"Gayang-dong 146-56 (Dawuri Housing, Youth Rental)")</f>
        <v>Gayang-dong 146-56 (Dawuri Housing, Youth Rental)</v>
      </c>
      <c r="B937" s="1" t="str">
        <f ca="1">IFERROR(__xludf.DUMMYFUNCTION("GOOGLETRANSLATE('대전도시공사_청년임대주택 현황_20240630'!B937,""ko"",""en"")"),"15")</f>
        <v>15</v>
      </c>
      <c r="C937" s="1" t="str">
        <f ca="1">IFERROR(__xludf.DUMMYFUNCTION("GOOGLETRANSLATE('대전도시공사_청년임대주택 현황_20240630'!C937,""ko"",""en"")"),"1")</f>
        <v>1</v>
      </c>
      <c r="D937" s="1" t="str">
        <f ca="1">IFERROR(__xludf.DUMMYFUNCTION("GOOGLETRANSLATE('대전도시공사_청년임대주택 현황_20240630'!D937,""ko"",""en"")"),"205")</f>
        <v>205</v>
      </c>
      <c r="E937" s="1" t="str">
        <f ca="1">IFERROR(__xludf.DUMMYFUNCTION("GOOGLETRANSLATE('대전도시공사_청년임대주택 현황_20240630'!E937,""ko"",""en"")"),"34.79")</f>
        <v>34.79</v>
      </c>
      <c r="F937" s="1" t="str">
        <f ca="1">IFERROR(__xludf.DUMMYFUNCTION("GOOGLETRANSLATE('대전도시공사_청년임대주택 현황_20240630'!F937,""ko"",""en"")"),"27.28")</f>
        <v>27.28</v>
      </c>
      <c r="G937" s="1" t="str">
        <f ca="1">IFERROR(__xludf.DUMMYFUNCTION("GOOGLETRANSLATE('대전도시공사_청년임대주택 현황_20240630'!G937,""ko"",""en"")"),"7.51")</f>
        <v>7.51</v>
      </c>
      <c r="H937" s="1" t="str">
        <f ca="1">IFERROR(__xludf.DUMMYFUNCTION("GOOGLETRANSLATE('대전도시공사_청년임대주택 현황_20240630'!H937,""ko"",""en"")"),"3rd place for youth rental")</f>
        <v>3rd place for youth rental</v>
      </c>
      <c r="I937" s="1" t="str">
        <f ca="1">IFERROR(__xludf.DUMMYFUNCTION("GOOGLETRANSLATE('대전도시공사_청년임대주택 현황_20240630'!I937,""ko"",""en"")"),"2000000")</f>
        <v>2000000</v>
      </c>
      <c r="J937" s="1" t="str">
        <f ca="1">IFERROR(__xludf.DUMMYFUNCTION("GOOGLETRANSLATE('대전도시공사_청년임대주택 현황_20240630'!J937,""ko"",""en"")"),"276200")</f>
        <v>276200</v>
      </c>
    </row>
    <row r="938" spans="1:10" ht="12.5" x14ac:dyDescent="0.25">
      <c r="A938" s="1" t="str">
        <f ca="1">IFERROR(__xludf.DUMMYFUNCTION("GOOGLETRANSLATE('대전도시공사_청년임대주택 현황_20240630'!A938,""ko"",""en"")"),"Gayang-dong 146-56 (Dawuri Housing, Youth Rental)")</f>
        <v>Gayang-dong 146-56 (Dawuri Housing, Youth Rental)</v>
      </c>
      <c r="B938" s="1" t="str">
        <f ca="1">IFERROR(__xludf.DUMMYFUNCTION("GOOGLETRANSLATE('대전도시공사_청년임대주택 현황_20240630'!B938,""ko"",""en"")"),"16")</f>
        <v>16</v>
      </c>
      <c r="C938" s="1" t="str">
        <f ca="1">IFERROR(__xludf.DUMMYFUNCTION("GOOGLETRANSLATE('대전도시공사_청년임대주택 현황_20240630'!C938,""ko"",""en"")"),"1")</f>
        <v>1</v>
      </c>
      <c r="D938" s="1" t="str">
        <f ca="1">IFERROR(__xludf.DUMMYFUNCTION("GOOGLETRANSLATE('대전도시공사_청년임대주택 현황_20240630'!D938,""ko"",""en"")"),"206")</f>
        <v>206</v>
      </c>
      <c r="E938" s="1" t="str">
        <f ca="1">IFERROR(__xludf.DUMMYFUNCTION("GOOGLETRANSLATE('대전도시공사_청년임대주택 현황_20240630'!E938,""ko"",""en"")"),"35.65")</f>
        <v>35.65</v>
      </c>
      <c r="F938" s="1" t="str">
        <f ca="1">IFERROR(__xludf.DUMMYFUNCTION("GOOGLETRANSLATE('대전도시공사_청년임대주택 현황_20240630'!F938,""ko"",""en"")"),"27.95")</f>
        <v>27.95</v>
      </c>
      <c r="G938" s="1" t="str">
        <f ca="1">IFERROR(__xludf.DUMMYFUNCTION("GOOGLETRANSLATE('대전도시공사_청년임대주택 현황_20240630'!G938,""ko"",""en"")"),"7.7")</f>
        <v>7.7</v>
      </c>
      <c r="H938" s="1" t="str">
        <f ca="1">IFERROR(__xludf.DUMMYFUNCTION("GOOGLETRANSLATE('대전도시공사_청년임대주택 현황_20240630'!H938,""ko"",""en"")"),"Beneficiary")</f>
        <v>Beneficiary</v>
      </c>
      <c r="I938" s="1" t="str">
        <f ca="1">IFERROR(__xludf.DUMMYFUNCTION("GOOGLETRANSLATE('대전도시공사_청년임대주택 현황_20240630'!I938,""ko"",""en"")"),"1000000")</f>
        <v>1000000</v>
      </c>
      <c r="J938" s="1" t="str">
        <f ca="1">IFERROR(__xludf.DUMMYFUNCTION("GOOGLETRANSLATE('대전도시공사_청년임대주택 현황_20240630'!J938,""ko"",""en"")"),"230100")</f>
        <v>230100</v>
      </c>
    </row>
    <row r="939" spans="1:10" ht="12.5" x14ac:dyDescent="0.25">
      <c r="A939" s="1" t="str">
        <f ca="1">IFERROR(__xludf.DUMMYFUNCTION("GOOGLETRANSLATE('대전도시공사_청년임대주택 현황_20240630'!A939,""ko"",""en"")"),"Gayang-dong 146-56 (Dawuri Housing, Youth Rental)")</f>
        <v>Gayang-dong 146-56 (Dawuri Housing, Youth Rental)</v>
      </c>
      <c r="B939" s="1" t="str">
        <f ca="1">IFERROR(__xludf.DUMMYFUNCTION("GOOGLETRANSLATE('대전도시공사_청년임대주택 현황_20240630'!B939,""ko"",""en"")"),"17")</f>
        <v>17</v>
      </c>
      <c r="C939" s="1" t="str">
        <f ca="1">IFERROR(__xludf.DUMMYFUNCTION("GOOGLETRANSLATE('대전도시공사_청년임대주택 현황_20240630'!C939,""ko"",""en"")"),"1")</f>
        <v>1</v>
      </c>
      <c r="D939" s="1" t="str">
        <f ca="1">IFERROR(__xludf.DUMMYFUNCTION("GOOGLETRANSLATE('대전도시공사_청년임대주택 현황_20240630'!D939,""ko"",""en"")"),"206")</f>
        <v>206</v>
      </c>
      <c r="E939" s="1" t="str">
        <f ca="1">IFERROR(__xludf.DUMMYFUNCTION("GOOGLETRANSLATE('대전도시공사_청년임대주택 현황_20240630'!E939,""ko"",""en"")"),"35.65")</f>
        <v>35.65</v>
      </c>
      <c r="F939" s="1" t="str">
        <f ca="1">IFERROR(__xludf.DUMMYFUNCTION("GOOGLETRANSLATE('대전도시공사_청년임대주택 현황_20240630'!F939,""ko"",""en"")"),"27.95")</f>
        <v>27.95</v>
      </c>
      <c r="G939" s="1" t="str">
        <f ca="1">IFERROR(__xludf.DUMMYFUNCTION("GOOGLETRANSLATE('대전도시공사_청년임대주택 현황_20240630'!G939,""ko"",""en"")"),"7.7")</f>
        <v>7.7</v>
      </c>
      <c r="H939" s="1" t="str">
        <f ca="1">IFERROR(__xludf.DUMMYFUNCTION("GOOGLETRANSLATE('대전도시공사_청년임대주택 현황_20240630'!H939,""ko"",""en"")"),"Youth Rental 2nd Place")</f>
        <v>Youth Rental 2nd Place</v>
      </c>
      <c r="I939" s="1" t="str">
        <f ca="1">IFERROR(__xludf.DUMMYFUNCTION("GOOGLETRANSLATE('대전도시공사_청년임대주택 현황_20240630'!I939,""ko"",""en"")"),"2000000")</f>
        <v>2000000</v>
      </c>
      <c r="J939" s="1" t="str">
        <f ca="1">IFERROR(__xludf.DUMMYFUNCTION("GOOGLETRANSLATE('대전도시공사_청년임대주택 현황_20240630'!J939,""ko"",""en"")"),"283200")</f>
        <v>283200</v>
      </c>
    </row>
    <row r="940" spans="1:10" ht="12.5" x14ac:dyDescent="0.25">
      <c r="A940" s="1" t="str">
        <f ca="1">IFERROR(__xludf.DUMMYFUNCTION("GOOGLETRANSLATE('대전도시공사_청년임대주택 현황_20240630'!A940,""ko"",""en"")"),"Gayang-dong 146-56 (Dawuri Housing, Youth Rental)")</f>
        <v>Gayang-dong 146-56 (Dawuri Housing, Youth Rental)</v>
      </c>
      <c r="B940" s="1" t="str">
        <f ca="1">IFERROR(__xludf.DUMMYFUNCTION("GOOGLETRANSLATE('대전도시공사_청년임대주택 현황_20240630'!B940,""ko"",""en"")"),"18")</f>
        <v>18</v>
      </c>
      <c r="C940" s="1" t="str">
        <f ca="1">IFERROR(__xludf.DUMMYFUNCTION("GOOGLETRANSLATE('대전도시공사_청년임대주택 현황_20240630'!C940,""ko"",""en"")"),"1")</f>
        <v>1</v>
      </c>
      <c r="D940" s="1" t="str">
        <f ca="1">IFERROR(__xludf.DUMMYFUNCTION("GOOGLETRANSLATE('대전도시공사_청년임대주택 현황_20240630'!D940,""ko"",""en"")"),"206")</f>
        <v>206</v>
      </c>
      <c r="E940" s="1" t="str">
        <f ca="1">IFERROR(__xludf.DUMMYFUNCTION("GOOGLETRANSLATE('대전도시공사_청년임대주택 현황_20240630'!E940,""ko"",""en"")"),"35.65")</f>
        <v>35.65</v>
      </c>
      <c r="F940" s="1" t="str">
        <f ca="1">IFERROR(__xludf.DUMMYFUNCTION("GOOGLETRANSLATE('대전도시공사_청년임대주택 현황_20240630'!F940,""ko"",""en"")"),"27.95")</f>
        <v>27.95</v>
      </c>
      <c r="G940" s="1" t="str">
        <f ca="1">IFERROR(__xludf.DUMMYFUNCTION("GOOGLETRANSLATE('대전도시공사_청년임대주택 현황_20240630'!G940,""ko"",""en"")"),"7.7")</f>
        <v>7.7</v>
      </c>
      <c r="H940" s="1" t="str">
        <f ca="1">IFERROR(__xludf.DUMMYFUNCTION("GOOGLETRANSLATE('대전도시공사_청년임대주택 현황_20240630'!H940,""ko"",""en"")"),"3rd place for youth rental")</f>
        <v>3rd place for youth rental</v>
      </c>
      <c r="I940" s="1" t="str">
        <f ca="1">IFERROR(__xludf.DUMMYFUNCTION("GOOGLETRANSLATE('대전도시공사_청년임대주택 현황_20240630'!I940,""ko"",""en"")"),"2000000")</f>
        <v>2000000</v>
      </c>
      <c r="J940" s="1" t="str">
        <f ca="1">IFERROR(__xludf.DUMMYFUNCTION("GOOGLETRANSLATE('대전도시공사_청년임대주택 현황_20240630'!J940,""ko"",""en"")"),"283200")</f>
        <v>283200</v>
      </c>
    </row>
    <row r="941" spans="1:10" ht="12.5" x14ac:dyDescent="0.25">
      <c r="A941" s="1" t="str">
        <f ca="1">IFERROR(__xludf.DUMMYFUNCTION("GOOGLETRANSLATE('대전도시공사_청년임대주택 현황_20240630'!A941,""ko"",""en"")"),"Gayang-dong 146-56 (Dawuri Housing, Youth Rental)")</f>
        <v>Gayang-dong 146-56 (Dawuri Housing, Youth Rental)</v>
      </c>
      <c r="B941" s="1" t="str">
        <f ca="1">IFERROR(__xludf.DUMMYFUNCTION("GOOGLETRANSLATE('대전도시공사_청년임대주택 현황_20240630'!B941,""ko"",""en"")"),"19")</f>
        <v>19</v>
      </c>
      <c r="C941" s="1" t="str">
        <f ca="1">IFERROR(__xludf.DUMMYFUNCTION("GOOGLETRANSLATE('대전도시공사_청년임대주택 현황_20240630'!C941,""ko"",""en"")"),"1")</f>
        <v>1</v>
      </c>
      <c r="D941" s="1" t="str">
        <f ca="1">IFERROR(__xludf.DUMMYFUNCTION("GOOGLETRANSLATE('대전도시공사_청년임대주택 현황_20240630'!D941,""ko"",""en"")"),"301")</f>
        <v>301</v>
      </c>
      <c r="E941" s="1" t="str">
        <f ca="1">IFERROR(__xludf.DUMMYFUNCTION("GOOGLETRANSLATE('대전도시공사_청년임대주택 현황_20240630'!E941,""ko"",""en"")"),"36.97")</f>
        <v>36.97</v>
      </c>
      <c r="F941" s="1" t="str">
        <f ca="1">IFERROR(__xludf.DUMMYFUNCTION("GOOGLETRANSLATE('대전도시공사_청년임대주택 현황_20240630'!F941,""ko"",""en"")"),"29")</f>
        <v>29</v>
      </c>
      <c r="G941" s="1" t="str">
        <f ca="1">IFERROR(__xludf.DUMMYFUNCTION("GOOGLETRANSLATE('대전도시공사_청년임대주택 현황_20240630'!G941,""ko"",""en"")"),"7.97")</f>
        <v>7.97</v>
      </c>
      <c r="H941" s="1" t="str">
        <f ca="1">IFERROR(__xludf.DUMMYFUNCTION("GOOGLETRANSLATE('대전도시공사_청년임대주택 현황_20240630'!H941,""ko"",""en"")"),"Youth Rent 1st Place")</f>
        <v>Youth Rent 1st Place</v>
      </c>
      <c r="I941" s="1" t="str">
        <f ca="1">IFERROR(__xludf.DUMMYFUNCTION("GOOGLETRANSLATE('대전도시공사_청년임대주택 현황_20240630'!I941,""ko"",""en"")"),"1000000")</f>
        <v>1000000</v>
      </c>
      <c r="J941" s="1" t="str">
        <f ca="1">IFERROR(__xludf.DUMMYFUNCTION("GOOGLETRANSLATE('대전도시공사_청년임대주택 현황_20240630'!J941,""ko"",""en"")"),"236300")</f>
        <v>236300</v>
      </c>
    </row>
    <row r="942" spans="1:10" ht="12.5" x14ac:dyDescent="0.25">
      <c r="A942" s="1" t="str">
        <f ca="1">IFERROR(__xludf.DUMMYFUNCTION("GOOGLETRANSLATE('대전도시공사_청년임대주택 현황_20240630'!A942,""ko"",""en"")"),"Gayang-dong 146-56 (Dawuri Housing, Youth Rental)")</f>
        <v>Gayang-dong 146-56 (Dawuri Housing, Youth Rental)</v>
      </c>
      <c r="B942" s="1" t="str">
        <f ca="1">IFERROR(__xludf.DUMMYFUNCTION("GOOGLETRANSLATE('대전도시공사_청년임대주택 현황_20240630'!B942,""ko"",""en"")"),"20")</f>
        <v>20</v>
      </c>
      <c r="C942" s="1" t="str">
        <f ca="1">IFERROR(__xludf.DUMMYFUNCTION("GOOGLETRANSLATE('대전도시공사_청년임대주택 현황_20240630'!C942,""ko"",""en"")"),"1")</f>
        <v>1</v>
      </c>
      <c r="D942" s="1" t="str">
        <f ca="1">IFERROR(__xludf.DUMMYFUNCTION("GOOGLETRANSLATE('대전도시공사_청년임대주택 현황_20240630'!D942,""ko"",""en"")"),"301")</f>
        <v>301</v>
      </c>
      <c r="E942" s="1" t="str">
        <f ca="1">IFERROR(__xludf.DUMMYFUNCTION("GOOGLETRANSLATE('대전도시공사_청년임대주택 현황_20240630'!E942,""ko"",""en"")"),"36.97")</f>
        <v>36.97</v>
      </c>
      <c r="F942" s="1" t="str">
        <f ca="1">IFERROR(__xludf.DUMMYFUNCTION("GOOGLETRANSLATE('대전도시공사_청년임대주택 현황_20240630'!F942,""ko"",""en"")"),"29")</f>
        <v>29</v>
      </c>
      <c r="G942" s="1" t="str">
        <f ca="1">IFERROR(__xludf.DUMMYFUNCTION("GOOGLETRANSLATE('대전도시공사_청년임대주택 현황_20240630'!G942,""ko"",""en"")"),"7.97")</f>
        <v>7.97</v>
      </c>
      <c r="H942" s="1" t="str">
        <f ca="1">IFERROR(__xludf.DUMMYFUNCTION("GOOGLETRANSLATE('대전도시공사_청년임대주택 현황_20240630'!H942,""ko"",""en"")"),"Youth Rental 2nd Place")</f>
        <v>Youth Rental 2nd Place</v>
      </c>
      <c r="I942" s="1" t="str">
        <f ca="1">IFERROR(__xludf.DUMMYFUNCTION("GOOGLETRANSLATE('대전도시공사_청년임대주택 현황_20240630'!I942,""ko"",""en"")"),"2000000")</f>
        <v>2000000</v>
      </c>
      <c r="J942" s="1" t="str">
        <f ca="1">IFERROR(__xludf.DUMMYFUNCTION("GOOGLETRANSLATE('대전도시공사_청년임대주택 현황_20240630'!J942,""ko"",""en"")"),"291000")</f>
        <v>291000</v>
      </c>
    </row>
    <row r="943" spans="1:10" ht="12.5" x14ac:dyDescent="0.25">
      <c r="A943" s="1" t="str">
        <f ca="1">IFERROR(__xludf.DUMMYFUNCTION("GOOGLETRANSLATE('대전도시공사_청년임대주택 현황_20240630'!A943,""ko"",""en"")"),"Gayang-dong 146-56 (Dawuri Housing, Youth Rental)")</f>
        <v>Gayang-dong 146-56 (Dawuri Housing, Youth Rental)</v>
      </c>
      <c r="B943" s="1" t="str">
        <f ca="1">IFERROR(__xludf.DUMMYFUNCTION("GOOGLETRANSLATE('대전도시공사_청년임대주택 현황_20240630'!B943,""ko"",""en"")"),"21")</f>
        <v>21</v>
      </c>
      <c r="C943" s="1" t="str">
        <f ca="1">IFERROR(__xludf.DUMMYFUNCTION("GOOGLETRANSLATE('대전도시공사_청년임대주택 현황_20240630'!C943,""ko"",""en"")"),"1")</f>
        <v>1</v>
      </c>
      <c r="D943" s="1" t="str">
        <f ca="1">IFERROR(__xludf.DUMMYFUNCTION("GOOGLETRANSLATE('대전도시공사_청년임대주택 현황_20240630'!D943,""ko"",""en"")"),"301")</f>
        <v>301</v>
      </c>
      <c r="E943" s="1" t="str">
        <f ca="1">IFERROR(__xludf.DUMMYFUNCTION("GOOGLETRANSLATE('대전도시공사_청년임대주택 현황_20240630'!E943,""ko"",""en"")"),"36.97")</f>
        <v>36.97</v>
      </c>
      <c r="F943" s="1" t="str">
        <f ca="1">IFERROR(__xludf.DUMMYFUNCTION("GOOGLETRANSLATE('대전도시공사_청년임대주택 현황_20240630'!F943,""ko"",""en"")"),"29")</f>
        <v>29</v>
      </c>
      <c r="G943" s="1" t="str">
        <f ca="1">IFERROR(__xludf.DUMMYFUNCTION("GOOGLETRANSLATE('대전도시공사_청년임대주택 현황_20240630'!G943,""ko"",""en"")"),"7.97")</f>
        <v>7.97</v>
      </c>
      <c r="H943" s="1" t="str">
        <f ca="1">IFERROR(__xludf.DUMMYFUNCTION("GOOGLETRANSLATE('대전도시공사_청년임대주택 현황_20240630'!H943,""ko"",""en"")"),"3rd place for youth rental")</f>
        <v>3rd place for youth rental</v>
      </c>
      <c r="I943" s="1" t="str">
        <f ca="1">IFERROR(__xludf.DUMMYFUNCTION("GOOGLETRANSLATE('대전도시공사_청년임대주택 현황_20240630'!I943,""ko"",""en"")"),"2000000")</f>
        <v>2000000</v>
      </c>
      <c r="J943" s="1" t="str">
        <f ca="1">IFERROR(__xludf.DUMMYFUNCTION("GOOGLETRANSLATE('대전도시공사_청년임대주택 현황_20240630'!J943,""ko"",""en"")"),"291000")</f>
        <v>291000</v>
      </c>
    </row>
    <row r="944" spans="1:10" ht="12.5" x14ac:dyDescent="0.25">
      <c r="A944" s="1" t="str">
        <f ca="1">IFERROR(__xludf.DUMMYFUNCTION("GOOGLETRANSLATE('대전도시공사_청년임대주택 현황_20240630'!A944,""ko"",""en"")"),"Gayang-dong 146-56 (Dawuri Housing, Youth Rental)")</f>
        <v>Gayang-dong 146-56 (Dawuri Housing, Youth Rental)</v>
      </c>
      <c r="B944" s="1" t="str">
        <f ca="1">IFERROR(__xludf.DUMMYFUNCTION("GOOGLETRANSLATE('대전도시공사_청년임대주택 현황_20240630'!B944,""ko"",""en"")"),"22")</f>
        <v>22</v>
      </c>
      <c r="C944" s="1" t="str">
        <f ca="1">IFERROR(__xludf.DUMMYFUNCTION("GOOGLETRANSLATE('대전도시공사_청년임대주택 현황_20240630'!C944,""ko"",""en"")"),"1")</f>
        <v>1</v>
      </c>
      <c r="D944" s="1" t="str">
        <f ca="1">IFERROR(__xludf.DUMMYFUNCTION("GOOGLETRANSLATE('대전도시공사_청년임대주택 현황_20240630'!D944,""ko"",""en"")"),"302")</f>
        <v>302</v>
      </c>
      <c r="E944" s="1" t="str">
        <f ca="1">IFERROR(__xludf.DUMMYFUNCTION("GOOGLETRANSLATE('대전도시공사_청년임대주택 현황_20240630'!E944,""ko"",""en"")"),"35.65")</f>
        <v>35.65</v>
      </c>
      <c r="F944" s="1" t="str">
        <f ca="1">IFERROR(__xludf.DUMMYFUNCTION("GOOGLETRANSLATE('대전도시공사_청년임대주택 현황_20240630'!F944,""ko"",""en"")"),"27.95")</f>
        <v>27.95</v>
      </c>
      <c r="G944" s="1" t="str">
        <f ca="1">IFERROR(__xludf.DUMMYFUNCTION("GOOGLETRANSLATE('대전도시공사_청년임대주택 현황_20240630'!G944,""ko"",""en"")"),"7.7")</f>
        <v>7.7</v>
      </c>
      <c r="H944" s="1" t="str">
        <f ca="1">IFERROR(__xludf.DUMMYFUNCTION("GOOGLETRANSLATE('대전도시공사_청년임대주택 현황_20240630'!H944,""ko"",""en"")"),"Beneficiary")</f>
        <v>Beneficiary</v>
      </c>
      <c r="I944" s="1" t="str">
        <f ca="1">IFERROR(__xludf.DUMMYFUNCTION("GOOGLETRANSLATE('대전도시공사_청년임대주택 현황_20240630'!I944,""ko"",""en"")"),"1000000")</f>
        <v>1000000</v>
      </c>
      <c r="J944" s="1" t="str">
        <f ca="1">IFERROR(__xludf.DUMMYFUNCTION("GOOGLETRANSLATE('대전도시공사_청년임대주택 현황_20240630'!J944,""ko"",""en"")"),"232000")</f>
        <v>232000</v>
      </c>
    </row>
    <row r="945" spans="1:10" ht="12.5" x14ac:dyDescent="0.25">
      <c r="A945" s="1" t="str">
        <f ca="1">IFERROR(__xludf.DUMMYFUNCTION("GOOGLETRANSLATE('대전도시공사_청년임대주택 현황_20240630'!A945,""ko"",""en"")"),"Gayang-dong 146-56 (Dawuri Housing, Youth Rental)")</f>
        <v>Gayang-dong 146-56 (Dawuri Housing, Youth Rental)</v>
      </c>
      <c r="B945" s="1" t="str">
        <f ca="1">IFERROR(__xludf.DUMMYFUNCTION("GOOGLETRANSLATE('대전도시공사_청년임대주택 현황_20240630'!B945,""ko"",""en"")"),"23")</f>
        <v>23</v>
      </c>
      <c r="C945" s="1" t="str">
        <f ca="1">IFERROR(__xludf.DUMMYFUNCTION("GOOGLETRANSLATE('대전도시공사_청년임대주택 현황_20240630'!C945,""ko"",""en"")"),"1")</f>
        <v>1</v>
      </c>
      <c r="D945" s="1" t="str">
        <f ca="1">IFERROR(__xludf.DUMMYFUNCTION("GOOGLETRANSLATE('대전도시공사_청년임대주택 현황_20240630'!D945,""ko"",""en"")"),"302")</f>
        <v>302</v>
      </c>
      <c r="E945" s="1" t="str">
        <f ca="1">IFERROR(__xludf.DUMMYFUNCTION("GOOGLETRANSLATE('대전도시공사_청년임대주택 현황_20240630'!E945,""ko"",""en"")"),"35.65")</f>
        <v>35.65</v>
      </c>
      <c r="F945" s="1" t="str">
        <f ca="1">IFERROR(__xludf.DUMMYFUNCTION("GOOGLETRANSLATE('대전도시공사_청년임대주택 현황_20240630'!F945,""ko"",""en"")"),"27.95")</f>
        <v>27.95</v>
      </c>
      <c r="G945" s="1" t="str">
        <f ca="1">IFERROR(__xludf.DUMMYFUNCTION("GOOGLETRANSLATE('대전도시공사_청년임대주택 현황_20240630'!G945,""ko"",""en"")"),"7.7")</f>
        <v>7.7</v>
      </c>
      <c r="H945" s="1" t="str">
        <f ca="1">IFERROR(__xludf.DUMMYFUNCTION("GOOGLETRANSLATE('대전도시공사_청년임대주택 현황_20240630'!H945,""ko"",""en"")"),"Youth Rental 2nd Place")</f>
        <v>Youth Rental 2nd Place</v>
      </c>
      <c r="I945" s="1" t="str">
        <f ca="1">IFERROR(__xludf.DUMMYFUNCTION("GOOGLETRANSLATE('대전도시공사_청년임대주택 현황_20240630'!I945,""ko"",""en"")"),"2000000")</f>
        <v>2000000</v>
      </c>
      <c r="J945" s="1" t="str">
        <f ca="1">IFERROR(__xludf.DUMMYFUNCTION("GOOGLETRANSLATE('대전도시공사_청년임대주택 현황_20240630'!J945,""ko"",""en"")"),"285600")</f>
        <v>285600</v>
      </c>
    </row>
    <row r="946" spans="1:10" ht="12.5" x14ac:dyDescent="0.25">
      <c r="A946" s="1" t="str">
        <f ca="1">IFERROR(__xludf.DUMMYFUNCTION("GOOGLETRANSLATE('대전도시공사_청년임대주택 현황_20240630'!A946,""ko"",""en"")"),"Gayang-dong 146-56 (Dawuri Housing, Youth Rental)")</f>
        <v>Gayang-dong 146-56 (Dawuri Housing, Youth Rental)</v>
      </c>
      <c r="B946" s="1" t="str">
        <f ca="1">IFERROR(__xludf.DUMMYFUNCTION("GOOGLETRANSLATE('대전도시공사_청년임대주택 현황_20240630'!B946,""ko"",""en"")"),"24")</f>
        <v>24</v>
      </c>
      <c r="C946" s="1" t="str">
        <f ca="1">IFERROR(__xludf.DUMMYFUNCTION("GOOGLETRANSLATE('대전도시공사_청년임대주택 현황_20240630'!C946,""ko"",""en"")"),"1")</f>
        <v>1</v>
      </c>
      <c r="D946" s="1" t="str">
        <f ca="1">IFERROR(__xludf.DUMMYFUNCTION("GOOGLETRANSLATE('대전도시공사_청년임대주택 현황_20240630'!D946,""ko"",""en"")"),"302")</f>
        <v>302</v>
      </c>
      <c r="E946" s="1" t="str">
        <f ca="1">IFERROR(__xludf.DUMMYFUNCTION("GOOGLETRANSLATE('대전도시공사_청년임대주택 현황_20240630'!E946,""ko"",""en"")"),"35.65")</f>
        <v>35.65</v>
      </c>
      <c r="F946" s="1" t="str">
        <f ca="1">IFERROR(__xludf.DUMMYFUNCTION("GOOGLETRANSLATE('대전도시공사_청년임대주택 현황_20240630'!F946,""ko"",""en"")"),"27.95")</f>
        <v>27.95</v>
      </c>
      <c r="G946" s="1" t="str">
        <f ca="1">IFERROR(__xludf.DUMMYFUNCTION("GOOGLETRANSLATE('대전도시공사_청년임대주택 현황_20240630'!G946,""ko"",""en"")"),"7.7")</f>
        <v>7.7</v>
      </c>
      <c r="H946" s="1" t="str">
        <f ca="1">IFERROR(__xludf.DUMMYFUNCTION("GOOGLETRANSLATE('대전도시공사_청년임대주택 현황_20240630'!H946,""ko"",""en"")"),"3rd place for youth rental")</f>
        <v>3rd place for youth rental</v>
      </c>
      <c r="I946" s="1" t="str">
        <f ca="1">IFERROR(__xludf.DUMMYFUNCTION("GOOGLETRANSLATE('대전도시공사_청년임대주택 현황_20240630'!I946,""ko"",""en"")"),"2000000")</f>
        <v>2000000</v>
      </c>
      <c r="J946" s="1" t="str">
        <f ca="1">IFERROR(__xludf.DUMMYFUNCTION("GOOGLETRANSLATE('대전도시공사_청년임대주택 현황_20240630'!J946,""ko"",""en"")"),"285600")</f>
        <v>285600</v>
      </c>
    </row>
    <row r="947" spans="1:10" ht="12.5" x14ac:dyDescent="0.25">
      <c r="A947" s="1" t="str">
        <f ca="1">IFERROR(__xludf.DUMMYFUNCTION("GOOGLETRANSLATE('대전도시공사_청년임대주택 현황_20240630'!A947,""ko"",""en"")"),"Gayang-dong 146-56 (Dawuri Housing, Youth Rental)")</f>
        <v>Gayang-dong 146-56 (Dawuri Housing, Youth Rental)</v>
      </c>
      <c r="B947" s="1" t="str">
        <f ca="1">IFERROR(__xludf.DUMMYFUNCTION("GOOGLETRANSLATE('대전도시공사_청년임대주택 현황_20240630'!B947,""ko"",""en"")"),"25")</f>
        <v>25</v>
      </c>
      <c r="C947" s="1" t="str">
        <f ca="1">IFERROR(__xludf.DUMMYFUNCTION("GOOGLETRANSLATE('대전도시공사_청년임대주택 현황_20240630'!C947,""ko"",""en"")"),"1")</f>
        <v>1</v>
      </c>
      <c r="D947" s="1" t="str">
        <f ca="1">IFERROR(__xludf.DUMMYFUNCTION("GOOGLETRANSLATE('대전도시공사_청년임대주택 현황_20240630'!D947,""ko"",""en"")"),"303")</f>
        <v>303</v>
      </c>
      <c r="E947" s="1" t="str">
        <f ca="1">IFERROR(__xludf.DUMMYFUNCTION("GOOGLETRANSLATE('대전도시공사_청년임대주택 현황_20240630'!E947,""ko"",""en"")"),"34.79")</f>
        <v>34.79</v>
      </c>
      <c r="F947" s="1" t="str">
        <f ca="1">IFERROR(__xludf.DUMMYFUNCTION("GOOGLETRANSLATE('대전도시공사_청년임대주택 현황_20240630'!F947,""ko"",""en"")"),"27.28")</f>
        <v>27.28</v>
      </c>
      <c r="G947" s="1" t="str">
        <f ca="1">IFERROR(__xludf.DUMMYFUNCTION("GOOGLETRANSLATE('대전도시공사_청년임대주택 현황_20240630'!G947,""ko"",""en"")"),"7.51")</f>
        <v>7.51</v>
      </c>
      <c r="H947" s="1" t="str">
        <f ca="1">IFERROR(__xludf.DUMMYFUNCTION("GOOGLETRANSLATE('대전도시공사_청년임대주택 현황_20240630'!H947,""ko"",""en"")"),"Beneficiary")</f>
        <v>Beneficiary</v>
      </c>
      <c r="I947" s="1" t="str">
        <f ca="1">IFERROR(__xludf.DUMMYFUNCTION("GOOGLETRANSLATE('대전도시공사_청년임대주택 현황_20240630'!I947,""ko"",""en"")"),"1000000")</f>
        <v>1000000</v>
      </c>
      <c r="J947" s="1" t="str">
        <f ca="1">IFERROR(__xludf.DUMMYFUNCTION("GOOGLETRANSLATE('대전도시공사_청년임대주택 현황_20240630'!J947,""ko"",""en"")"),"228800")</f>
        <v>228800</v>
      </c>
    </row>
    <row r="948" spans="1:10" ht="12.5" x14ac:dyDescent="0.25">
      <c r="A948" s="1" t="str">
        <f ca="1">IFERROR(__xludf.DUMMYFUNCTION("GOOGLETRANSLATE('대전도시공사_청년임대주택 현황_20240630'!A948,""ko"",""en"")"),"Gayang-dong 146-56 (Dawuri Housing, Youth Rental)")</f>
        <v>Gayang-dong 146-56 (Dawuri Housing, Youth Rental)</v>
      </c>
      <c r="B948" s="1" t="str">
        <f ca="1">IFERROR(__xludf.DUMMYFUNCTION("GOOGLETRANSLATE('대전도시공사_청년임대주택 현황_20240630'!B948,""ko"",""en"")"),"26")</f>
        <v>26</v>
      </c>
      <c r="C948" s="1" t="str">
        <f ca="1">IFERROR(__xludf.DUMMYFUNCTION("GOOGLETRANSLATE('대전도시공사_청년임대주택 현황_20240630'!C948,""ko"",""en"")"),"1")</f>
        <v>1</v>
      </c>
      <c r="D948" s="1" t="str">
        <f ca="1">IFERROR(__xludf.DUMMYFUNCTION("GOOGLETRANSLATE('대전도시공사_청년임대주택 현황_20240630'!D948,""ko"",""en"")"),"303")</f>
        <v>303</v>
      </c>
      <c r="E948" s="1" t="str">
        <f ca="1">IFERROR(__xludf.DUMMYFUNCTION("GOOGLETRANSLATE('대전도시공사_청년임대주택 현황_20240630'!E948,""ko"",""en"")"),"34.79")</f>
        <v>34.79</v>
      </c>
      <c r="F948" s="1" t="str">
        <f ca="1">IFERROR(__xludf.DUMMYFUNCTION("GOOGLETRANSLATE('대전도시공사_청년임대주택 현황_20240630'!F948,""ko"",""en"")"),"27.28")</f>
        <v>27.28</v>
      </c>
      <c r="G948" s="1" t="str">
        <f ca="1">IFERROR(__xludf.DUMMYFUNCTION("GOOGLETRANSLATE('대전도시공사_청년임대주택 현황_20240630'!G948,""ko"",""en"")"),"7.51")</f>
        <v>7.51</v>
      </c>
      <c r="H948" s="1" t="str">
        <f ca="1">IFERROR(__xludf.DUMMYFUNCTION("GOOGLETRANSLATE('대전도시공사_청년임대주택 현황_20240630'!H948,""ko"",""en"")"),"Youth Rental 2nd Place")</f>
        <v>Youth Rental 2nd Place</v>
      </c>
      <c r="I948" s="1" t="str">
        <f ca="1">IFERROR(__xludf.DUMMYFUNCTION("GOOGLETRANSLATE('대전도시공사_청년임대주택 현황_20240630'!I948,""ko"",""en"")"),"2000000")</f>
        <v>2000000</v>
      </c>
      <c r="J948" s="1" t="str">
        <f ca="1">IFERROR(__xludf.DUMMYFUNCTION("GOOGLETRANSLATE('대전도시공사_청년임대주택 현황_20240630'!J948,""ko"",""en"")"),"281600")</f>
        <v>281600</v>
      </c>
    </row>
    <row r="949" spans="1:10" ht="12.5" x14ac:dyDescent="0.25">
      <c r="A949" s="1" t="str">
        <f ca="1">IFERROR(__xludf.DUMMYFUNCTION("GOOGLETRANSLATE('대전도시공사_청년임대주택 현황_20240630'!A949,""ko"",""en"")"),"Gayang-dong 146-56 (Dawuri Housing, Youth Rental)")</f>
        <v>Gayang-dong 146-56 (Dawuri Housing, Youth Rental)</v>
      </c>
      <c r="B949" s="1" t="str">
        <f ca="1">IFERROR(__xludf.DUMMYFUNCTION("GOOGLETRANSLATE('대전도시공사_청년임대주택 현황_20240630'!B949,""ko"",""en"")"),"27")</f>
        <v>27</v>
      </c>
      <c r="C949" s="1" t="str">
        <f ca="1">IFERROR(__xludf.DUMMYFUNCTION("GOOGLETRANSLATE('대전도시공사_청년임대주택 현황_20240630'!C949,""ko"",""en"")"),"1")</f>
        <v>1</v>
      </c>
      <c r="D949" s="1" t="str">
        <f ca="1">IFERROR(__xludf.DUMMYFUNCTION("GOOGLETRANSLATE('대전도시공사_청년임대주택 현황_20240630'!D949,""ko"",""en"")"),"303")</f>
        <v>303</v>
      </c>
      <c r="E949" s="1" t="str">
        <f ca="1">IFERROR(__xludf.DUMMYFUNCTION("GOOGLETRANSLATE('대전도시공사_청년임대주택 현황_20240630'!E949,""ko"",""en"")"),"34.79")</f>
        <v>34.79</v>
      </c>
      <c r="F949" s="1" t="str">
        <f ca="1">IFERROR(__xludf.DUMMYFUNCTION("GOOGLETRANSLATE('대전도시공사_청년임대주택 현황_20240630'!F949,""ko"",""en"")"),"27.28")</f>
        <v>27.28</v>
      </c>
      <c r="G949" s="1" t="str">
        <f ca="1">IFERROR(__xludf.DUMMYFUNCTION("GOOGLETRANSLATE('대전도시공사_청년임대주택 현황_20240630'!G949,""ko"",""en"")"),"7.51")</f>
        <v>7.51</v>
      </c>
      <c r="H949" s="1" t="str">
        <f ca="1">IFERROR(__xludf.DUMMYFUNCTION("GOOGLETRANSLATE('대전도시공사_청년임대주택 현황_20240630'!H949,""ko"",""en"")"),"3rd place for youth rental")</f>
        <v>3rd place for youth rental</v>
      </c>
      <c r="I949" s="1" t="str">
        <f ca="1">IFERROR(__xludf.DUMMYFUNCTION("GOOGLETRANSLATE('대전도시공사_청년임대주택 현황_20240630'!I949,""ko"",""en"")"),"2000000")</f>
        <v>2000000</v>
      </c>
      <c r="J949" s="1" t="str">
        <f ca="1">IFERROR(__xludf.DUMMYFUNCTION("GOOGLETRANSLATE('대전도시공사_청년임대주택 현황_20240630'!J949,""ko"",""en"")"),"281600")</f>
        <v>281600</v>
      </c>
    </row>
    <row r="950" spans="1:10" ht="12.5" x14ac:dyDescent="0.25">
      <c r="A950" s="1" t="str">
        <f ca="1">IFERROR(__xludf.DUMMYFUNCTION("GOOGLETRANSLATE('대전도시공사_청년임대주택 현황_20240630'!A950,""ko"",""en"")"),"Gayang-dong 146-56 (Dawuri Housing, Youth Rental)")</f>
        <v>Gayang-dong 146-56 (Dawuri Housing, Youth Rental)</v>
      </c>
      <c r="B950" s="1" t="str">
        <f ca="1">IFERROR(__xludf.DUMMYFUNCTION("GOOGLETRANSLATE('대전도시공사_청년임대주택 현황_20240630'!B950,""ko"",""en"")"),"28")</f>
        <v>28</v>
      </c>
      <c r="C950" s="1" t="str">
        <f ca="1">IFERROR(__xludf.DUMMYFUNCTION("GOOGLETRANSLATE('대전도시공사_청년임대주택 현황_20240630'!C950,""ko"",""en"")"),"1")</f>
        <v>1</v>
      </c>
      <c r="D950" s="1" t="str">
        <f ca="1">IFERROR(__xludf.DUMMYFUNCTION("GOOGLETRANSLATE('대전도시공사_청년임대주택 현황_20240630'!D950,""ko"",""en"")"),"304")</f>
        <v>304</v>
      </c>
      <c r="E950" s="1" t="str">
        <f ca="1">IFERROR(__xludf.DUMMYFUNCTION("GOOGLETRANSLATE('대전도시공사_청년임대주택 현황_20240630'!E950,""ko"",""en"")"),"34.79")</f>
        <v>34.79</v>
      </c>
      <c r="F950" s="1" t="str">
        <f ca="1">IFERROR(__xludf.DUMMYFUNCTION("GOOGLETRANSLATE('대전도시공사_청년임대주택 현황_20240630'!F950,""ko"",""en"")"),"27.28")</f>
        <v>27.28</v>
      </c>
      <c r="G950" s="1" t="str">
        <f ca="1">IFERROR(__xludf.DUMMYFUNCTION("GOOGLETRANSLATE('대전도시공사_청년임대주택 현황_20240630'!G950,""ko"",""en"")"),"7.51")</f>
        <v>7.51</v>
      </c>
      <c r="H950" s="1" t="str">
        <f ca="1">IFERROR(__xludf.DUMMYFUNCTION("GOOGLETRANSLATE('대전도시공사_청년임대주택 현황_20240630'!H950,""ko"",""en"")"),"Beneficiary")</f>
        <v>Beneficiary</v>
      </c>
      <c r="I950" s="1" t="str">
        <f ca="1">IFERROR(__xludf.DUMMYFUNCTION("GOOGLETRANSLATE('대전도시공사_청년임대주택 현황_20240630'!I950,""ko"",""en"")"),"1000000")</f>
        <v>1000000</v>
      </c>
      <c r="J950" s="1" t="str">
        <f ca="1">IFERROR(__xludf.DUMMYFUNCTION("GOOGLETRANSLATE('대전도시공사_청년임대주택 현황_20240630'!J950,""ko"",""en"")"),"226300")</f>
        <v>226300</v>
      </c>
    </row>
    <row r="951" spans="1:10" ht="12.5" x14ac:dyDescent="0.25">
      <c r="A951" s="1" t="str">
        <f ca="1">IFERROR(__xludf.DUMMYFUNCTION("GOOGLETRANSLATE('대전도시공사_청년임대주택 현황_20240630'!A951,""ko"",""en"")"),"Gayang-dong 146-56 (Dawuri Housing, Youth Rental)")</f>
        <v>Gayang-dong 146-56 (Dawuri Housing, Youth Rental)</v>
      </c>
      <c r="B951" s="1" t="str">
        <f ca="1">IFERROR(__xludf.DUMMYFUNCTION("GOOGLETRANSLATE('대전도시공사_청년임대주택 현황_20240630'!B951,""ko"",""en"")"),"29")</f>
        <v>29</v>
      </c>
      <c r="C951" s="1" t="str">
        <f ca="1">IFERROR(__xludf.DUMMYFUNCTION("GOOGLETRANSLATE('대전도시공사_청년임대주택 현황_20240630'!C951,""ko"",""en"")"),"1")</f>
        <v>1</v>
      </c>
      <c r="D951" s="1" t="str">
        <f ca="1">IFERROR(__xludf.DUMMYFUNCTION("GOOGLETRANSLATE('대전도시공사_청년임대주택 현황_20240630'!D951,""ko"",""en"")"),"304")</f>
        <v>304</v>
      </c>
      <c r="E951" s="1" t="str">
        <f ca="1">IFERROR(__xludf.DUMMYFUNCTION("GOOGLETRANSLATE('대전도시공사_청년임대주택 현황_20240630'!E951,""ko"",""en"")"),"34.79")</f>
        <v>34.79</v>
      </c>
      <c r="F951" s="1" t="str">
        <f ca="1">IFERROR(__xludf.DUMMYFUNCTION("GOOGLETRANSLATE('대전도시공사_청년임대주택 현황_20240630'!F951,""ko"",""en"")"),"27.28")</f>
        <v>27.28</v>
      </c>
      <c r="G951" s="1" t="str">
        <f ca="1">IFERROR(__xludf.DUMMYFUNCTION("GOOGLETRANSLATE('대전도시공사_청년임대주택 현황_20240630'!G951,""ko"",""en"")"),"7.51")</f>
        <v>7.51</v>
      </c>
      <c r="H951" s="1" t="str">
        <f ca="1">IFERROR(__xludf.DUMMYFUNCTION("GOOGLETRANSLATE('대전도시공사_청년임대주택 현황_20240630'!H951,""ko"",""en"")"),"Youth Rental 2nd Place")</f>
        <v>Youth Rental 2nd Place</v>
      </c>
      <c r="I951" s="1" t="str">
        <f ca="1">IFERROR(__xludf.DUMMYFUNCTION("GOOGLETRANSLATE('대전도시공사_청년임대주택 현황_20240630'!I951,""ko"",""en"")"),"2000000")</f>
        <v>2000000</v>
      </c>
      <c r="J951" s="1" t="str">
        <f ca="1">IFERROR(__xludf.DUMMYFUNCTION("GOOGLETRANSLATE('대전도시공사_청년임대주택 현황_20240630'!J951,""ko"",""en"")"),"278500")</f>
        <v>278500</v>
      </c>
    </row>
    <row r="952" spans="1:10" ht="12.5" x14ac:dyDescent="0.25">
      <c r="A952" s="1" t="str">
        <f ca="1">IFERROR(__xludf.DUMMYFUNCTION("GOOGLETRANSLATE('대전도시공사_청년임대주택 현황_20240630'!A952,""ko"",""en"")"),"Gayang-dong 146-56 (Dawuri Housing, Youth Rental)")</f>
        <v>Gayang-dong 146-56 (Dawuri Housing, Youth Rental)</v>
      </c>
      <c r="B952" s="1" t="str">
        <f ca="1">IFERROR(__xludf.DUMMYFUNCTION("GOOGLETRANSLATE('대전도시공사_청년임대주택 현황_20240630'!B952,""ko"",""en"")"),"30")</f>
        <v>30</v>
      </c>
      <c r="C952" s="1" t="str">
        <f ca="1">IFERROR(__xludf.DUMMYFUNCTION("GOOGLETRANSLATE('대전도시공사_청년임대주택 현황_20240630'!C952,""ko"",""en"")"),"1")</f>
        <v>1</v>
      </c>
      <c r="D952" s="1" t="str">
        <f ca="1">IFERROR(__xludf.DUMMYFUNCTION("GOOGLETRANSLATE('대전도시공사_청년임대주택 현황_20240630'!D952,""ko"",""en"")"),"304")</f>
        <v>304</v>
      </c>
      <c r="E952" s="1" t="str">
        <f ca="1">IFERROR(__xludf.DUMMYFUNCTION("GOOGLETRANSLATE('대전도시공사_청년임대주택 현황_20240630'!E952,""ko"",""en"")"),"34.79")</f>
        <v>34.79</v>
      </c>
      <c r="F952" s="1" t="str">
        <f ca="1">IFERROR(__xludf.DUMMYFUNCTION("GOOGLETRANSLATE('대전도시공사_청년임대주택 현황_20240630'!F952,""ko"",""en"")"),"27.28")</f>
        <v>27.28</v>
      </c>
      <c r="G952" s="1" t="str">
        <f ca="1">IFERROR(__xludf.DUMMYFUNCTION("GOOGLETRANSLATE('대전도시공사_청년임대주택 현황_20240630'!G952,""ko"",""en"")"),"7.51")</f>
        <v>7.51</v>
      </c>
      <c r="H952" s="1" t="str">
        <f ca="1">IFERROR(__xludf.DUMMYFUNCTION("GOOGLETRANSLATE('대전도시공사_청년임대주택 현황_20240630'!H952,""ko"",""en"")"),"3rd place for youth rental")</f>
        <v>3rd place for youth rental</v>
      </c>
      <c r="I952" s="1" t="str">
        <f ca="1">IFERROR(__xludf.DUMMYFUNCTION("GOOGLETRANSLATE('대전도시공사_청년임대주택 현황_20240630'!I952,""ko"",""en"")"),"2000000")</f>
        <v>2000000</v>
      </c>
      <c r="J952" s="1" t="str">
        <f ca="1">IFERROR(__xludf.DUMMYFUNCTION("GOOGLETRANSLATE('대전도시공사_청년임대주택 현황_20240630'!J952,""ko"",""en"")"),"278500")</f>
        <v>278500</v>
      </c>
    </row>
    <row r="953" spans="1:10" ht="12.5" x14ac:dyDescent="0.25">
      <c r="A953" s="1" t="str">
        <f ca="1">IFERROR(__xludf.DUMMYFUNCTION("GOOGLETRANSLATE('대전도시공사_청년임대주택 현황_20240630'!A953,""ko"",""en"")"),"Gayang-dong 146-56 (Dawuri Housing, Youth Rental)")</f>
        <v>Gayang-dong 146-56 (Dawuri Housing, Youth Rental)</v>
      </c>
      <c r="B953" s="1" t="str">
        <f ca="1">IFERROR(__xludf.DUMMYFUNCTION("GOOGLETRANSLATE('대전도시공사_청년임대주택 현황_20240630'!B953,""ko"",""en"")"),"31")</f>
        <v>31</v>
      </c>
      <c r="C953" s="1" t="str">
        <f ca="1">IFERROR(__xludf.DUMMYFUNCTION("GOOGLETRANSLATE('대전도시공사_청년임대주택 현황_20240630'!C953,""ko"",""en"")"),"1")</f>
        <v>1</v>
      </c>
      <c r="D953" s="1" t="str">
        <f ca="1">IFERROR(__xludf.DUMMYFUNCTION("GOOGLETRANSLATE('대전도시공사_청년임대주택 현황_20240630'!D953,""ko"",""en"")"),"305")</f>
        <v>305</v>
      </c>
      <c r="E953" s="1" t="str">
        <f ca="1">IFERROR(__xludf.DUMMYFUNCTION("GOOGLETRANSLATE('대전도시공사_청년임대주택 현황_20240630'!E953,""ko"",""en"")"),"34.79")</f>
        <v>34.79</v>
      </c>
      <c r="F953" s="1" t="str">
        <f ca="1">IFERROR(__xludf.DUMMYFUNCTION("GOOGLETRANSLATE('대전도시공사_청년임대주택 현황_20240630'!F953,""ko"",""en"")"),"27.28")</f>
        <v>27.28</v>
      </c>
      <c r="G953" s="1" t="str">
        <f ca="1">IFERROR(__xludf.DUMMYFUNCTION("GOOGLETRANSLATE('대전도시공사_청년임대주택 현황_20240630'!G953,""ko"",""en"")"),"7.51")</f>
        <v>7.51</v>
      </c>
      <c r="H953" s="1" t="str">
        <f ca="1">IFERROR(__xludf.DUMMYFUNCTION("GOOGLETRANSLATE('대전도시공사_청년임대주택 현황_20240630'!H953,""ko"",""en"")"),"Beneficiary")</f>
        <v>Beneficiary</v>
      </c>
      <c r="I953" s="1" t="str">
        <f ca="1">IFERROR(__xludf.DUMMYFUNCTION("GOOGLETRANSLATE('대전도시공사_청년임대주택 현황_20240630'!I953,""ko"",""en"")"),"1000000")</f>
        <v>1000000</v>
      </c>
      <c r="J953" s="1" t="str">
        <f ca="1">IFERROR(__xludf.DUMMYFUNCTION("GOOGLETRANSLATE('대전도시공사_청년임대주택 현황_20240630'!J953,""ko"",""en"")"),"228800")</f>
        <v>228800</v>
      </c>
    </row>
    <row r="954" spans="1:10" ht="12.5" x14ac:dyDescent="0.25">
      <c r="A954" s="1" t="str">
        <f ca="1">IFERROR(__xludf.DUMMYFUNCTION("GOOGLETRANSLATE('대전도시공사_청년임대주택 현황_20240630'!A954,""ko"",""en"")"),"Gayang-dong 146-56 (Dawuri Housing, Youth Rental)")</f>
        <v>Gayang-dong 146-56 (Dawuri Housing, Youth Rental)</v>
      </c>
      <c r="B954" s="1" t="str">
        <f ca="1">IFERROR(__xludf.DUMMYFUNCTION("GOOGLETRANSLATE('대전도시공사_청년임대주택 현황_20240630'!B954,""ko"",""en"")"),"32")</f>
        <v>32</v>
      </c>
      <c r="C954" s="1" t="str">
        <f ca="1">IFERROR(__xludf.DUMMYFUNCTION("GOOGLETRANSLATE('대전도시공사_청년임대주택 현황_20240630'!C954,""ko"",""en"")"),"1")</f>
        <v>1</v>
      </c>
      <c r="D954" s="1" t="str">
        <f ca="1">IFERROR(__xludf.DUMMYFUNCTION("GOOGLETRANSLATE('대전도시공사_청년임대주택 현황_20240630'!D954,""ko"",""en"")"),"305")</f>
        <v>305</v>
      </c>
      <c r="E954" s="1" t="str">
        <f ca="1">IFERROR(__xludf.DUMMYFUNCTION("GOOGLETRANSLATE('대전도시공사_청년임대주택 현황_20240630'!E954,""ko"",""en"")"),"34.79")</f>
        <v>34.79</v>
      </c>
      <c r="F954" s="1" t="str">
        <f ca="1">IFERROR(__xludf.DUMMYFUNCTION("GOOGLETRANSLATE('대전도시공사_청년임대주택 현황_20240630'!F954,""ko"",""en"")"),"27.28")</f>
        <v>27.28</v>
      </c>
      <c r="G954" s="1" t="str">
        <f ca="1">IFERROR(__xludf.DUMMYFUNCTION("GOOGLETRANSLATE('대전도시공사_청년임대주택 현황_20240630'!G954,""ko"",""en"")"),"7.51")</f>
        <v>7.51</v>
      </c>
      <c r="H954" s="1" t="str">
        <f ca="1">IFERROR(__xludf.DUMMYFUNCTION("GOOGLETRANSLATE('대전도시공사_청년임대주택 현황_20240630'!H954,""ko"",""en"")"),"Youth Rental 2nd Place")</f>
        <v>Youth Rental 2nd Place</v>
      </c>
      <c r="I954" s="1" t="str">
        <f ca="1">IFERROR(__xludf.DUMMYFUNCTION("GOOGLETRANSLATE('대전도시공사_청년임대주택 현황_20240630'!I954,""ko"",""en"")"),"2000000")</f>
        <v>2000000</v>
      </c>
      <c r="J954" s="1" t="str">
        <f ca="1">IFERROR(__xludf.DUMMYFUNCTION("GOOGLETRANSLATE('대전도시공사_청년임대주택 현황_20240630'!J954,""ko"",""en"")"),"281600")</f>
        <v>281600</v>
      </c>
    </row>
    <row r="955" spans="1:10" ht="12.5" x14ac:dyDescent="0.25">
      <c r="A955" s="1" t="str">
        <f ca="1">IFERROR(__xludf.DUMMYFUNCTION("GOOGLETRANSLATE('대전도시공사_청년임대주택 현황_20240630'!A955,""ko"",""en"")"),"Gayang-dong 146-56 (Dawuri Housing, Youth Rental)")</f>
        <v>Gayang-dong 146-56 (Dawuri Housing, Youth Rental)</v>
      </c>
      <c r="B955" s="1" t="str">
        <f ca="1">IFERROR(__xludf.DUMMYFUNCTION("GOOGLETRANSLATE('대전도시공사_청년임대주택 현황_20240630'!B955,""ko"",""en"")"),"33")</f>
        <v>33</v>
      </c>
      <c r="C955" s="1" t="str">
        <f ca="1">IFERROR(__xludf.DUMMYFUNCTION("GOOGLETRANSLATE('대전도시공사_청년임대주택 현황_20240630'!C955,""ko"",""en"")"),"1")</f>
        <v>1</v>
      </c>
      <c r="D955" s="1" t="str">
        <f ca="1">IFERROR(__xludf.DUMMYFUNCTION("GOOGLETRANSLATE('대전도시공사_청년임대주택 현황_20240630'!D955,""ko"",""en"")"),"305")</f>
        <v>305</v>
      </c>
      <c r="E955" s="1" t="str">
        <f ca="1">IFERROR(__xludf.DUMMYFUNCTION("GOOGLETRANSLATE('대전도시공사_청년임대주택 현황_20240630'!E955,""ko"",""en"")"),"34.79")</f>
        <v>34.79</v>
      </c>
      <c r="F955" s="1" t="str">
        <f ca="1">IFERROR(__xludf.DUMMYFUNCTION("GOOGLETRANSLATE('대전도시공사_청년임대주택 현황_20240630'!F955,""ko"",""en"")"),"27.28")</f>
        <v>27.28</v>
      </c>
      <c r="G955" s="1" t="str">
        <f ca="1">IFERROR(__xludf.DUMMYFUNCTION("GOOGLETRANSLATE('대전도시공사_청년임대주택 현황_20240630'!G955,""ko"",""en"")"),"7.51")</f>
        <v>7.51</v>
      </c>
      <c r="H955" s="1" t="str">
        <f ca="1">IFERROR(__xludf.DUMMYFUNCTION("GOOGLETRANSLATE('대전도시공사_청년임대주택 현황_20240630'!H955,""ko"",""en"")"),"3rd place for youth rental")</f>
        <v>3rd place for youth rental</v>
      </c>
      <c r="I955" s="1" t="str">
        <f ca="1">IFERROR(__xludf.DUMMYFUNCTION("GOOGLETRANSLATE('대전도시공사_청년임대주택 현황_20240630'!I955,""ko"",""en"")"),"2000000")</f>
        <v>2000000</v>
      </c>
      <c r="J955" s="1" t="str">
        <f ca="1">IFERROR(__xludf.DUMMYFUNCTION("GOOGLETRANSLATE('대전도시공사_청년임대주택 현황_20240630'!J955,""ko"",""en"")"),"281600")</f>
        <v>281600</v>
      </c>
    </row>
    <row r="956" spans="1:10" ht="12.5" x14ac:dyDescent="0.25">
      <c r="A956" s="1" t="str">
        <f ca="1">IFERROR(__xludf.DUMMYFUNCTION("GOOGLETRANSLATE('대전도시공사_청년임대주택 현황_20240630'!A956,""ko"",""en"")"),"Gayang-dong 146-56 (Dawuri Housing, Youth Rental)")</f>
        <v>Gayang-dong 146-56 (Dawuri Housing, Youth Rental)</v>
      </c>
      <c r="B956" s="1" t="str">
        <f ca="1">IFERROR(__xludf.DUMMYFUNCTION("GOOGLETRANSLATE('대전도시공사_청년임대주택 현황_20240630'!B956,""ko"",""en"")"),"34")</f>
        <v>34</v>
      </c>
      <c r="C956" s="1" t="str">
        <f ca="1">IFERROR(__xludf.DUMMYFUNCTION("GOOGLETRANSLATE('대전도시공사_청년임대주택 현황_20240630'!C956,""ko"",""en"")"),"1")</f>
        <v>1</v>
      </c>
      <c r="D956" s="1" t="str">
        <f ca="1">IFERROR(__xludf.DUMMYFUNCTION("GOOGLETRANSLATE('대전도시공사_청년임대주택 현황_20240630'!D956,""ko"",""en"")"),"306")</f>
        <v>306</v>
      </c>
      <c r="E956" s="1" t="str">
        <f ca="1">IFERROR(__xludf.DUMMYFUNCTION("GOOGLETRANSLATE('대전도시공사_청년임대주택 현황_20240630'!E956,""ko"",""en"")"),"35.65")</f>
        <v>35.65</v>
      </c>
      <c r="F956" s="1" t="str">
        <f ca="1">IFERROR(__xludf.DUMMYFUNCTION("GOOGLETRANSLATE('대전도시공사_청년임대주택 현황_20240630'!F956,""ko"",""en"")"),"27.95")</f>
        <v>27.95</v>
      </c>
      <c r="G956" s="1" t="str">
        <f ca="1">IFERROR(__xludf.DUMMYFUNCTION("GOOGLETRANSLATE('대전도시공사_청년임대주택 현황_20240630'!G956,""ko"",""en"")"),"7.7")</f>
        <v>7.7</v>
      </c>
      <c r="H956" s="1" t="str">
        <f ca="1">IFERROR(__xludf.DUMMYFUNCTION("GOOGLETRANSLATE('대전도시공사_청년임대주택 현황_20240630'!H956,""ko"",""en"")"),"Youth Rent 1st Place")</f>
        <v>Youth Rent 1st Place</v>
      </c>
      <c r="I956" s="1" t="str">
        <f ca="1">IFERROR(__xludf.DUMMYFUNCTION("GOOGLETRANSLATE('대전도시공사_청년임대주택 현황_20240630'!I956,""ko"",""en"")"),"1000000")</f>
        <v>1000000</v>
      </c>
      <c r="J956" s="1" t="str">
        <f ca="1">IFERROR(__xludf.DUMMYFUNCTION("GOOGLETRANSLATE('대전도시공사_청년임대주택 현황_20240630'!J956,""ko"",""en"")"),"234600")</f>
        <v>234600</v>
      </c>
    </row>
    <row r="957" spans="1:10" ht="12.5" x14ac:dyDescent="0.25">
      <c r="A957" s="1" t="str">
        <f ca="1">IFERROR(__xludf.DUMMYFUNCTION("GOOGLETRANSLATE('대전도시공사_청년임대주택 현황_20240630'!A957,""ko"",""en"")"),"Gayang-dong 146-56 (Dawuri Housing, Youth Rental)")</f>
        <v>Gayang-dong 146-56 (Dawuri Housing, Youth Rental)</v>
      </c>
      <c r="B957" s="1" t="str">
        <f ca="1">IFERROR(__xludf.DUMMYFUNCTION("GOOGLETRANSLATE('대전도시공사_청년임대주택 현황_20240630'!B957,""ko"",""en"")"),"35")</f>
        <v>35</v>
      </c>
      <c r="C957" s="1" t="str">
        <f ca="1">IFERROR(__xludf.DUMMYFUNCTION("GOOGLETRANSLATE('대전도시공사_청년임대주택 현황_20240630'!C957,""ko"",""en"")"),"1")</f>
        <v>1</v>
      </c>
      <c r="D957" s="1" t="str">
        <f ca="1">IFERROR(__xludf.DUMMYFUNCTION("GOOGLETRANSLATE('대전도시공사_청년임대주택 현황_20240630'!D957,""ko"",""en"")"),"306")</f>
        <v>306</v>
      </c>
      <c r="E957" s="1" t="str">
        <f ca="1">IFERROR(__xludf.DUMMYFUNCTION("GOOGLETRANSLATE('대전도시공사_청년임대주택 현황_20240630'!E957,""ko"",""en"")"),"35.65")</f>
        <v>35.65</v>
      </c>
      <c r="F957" s="1" t="str">
        <f ca="1">IFERROR(__xludf.DUMMYFUNCTION("GOOGLETRANSLATE('대전도시공사_청년임대주택 현황_20240630'!F957,""ko"",""en"")"),"27.95")</f>
        <v>27.95</v>
      </c>
      <c r="G957" s="1" t="str">
        <f ca="1">IFERROR(__xludf.DUMMYFUNCTION("GOOGLETRANSLATE('대전도시공사_청년임대주택 현황_20240630'!G957,""ko"",""en"")"),"7.7")</f>
        <v>7.7</v>
      </c>
      <c r="H957" s="1" t="str">
        <f ca="1">IFERROR(__xludf.DUMMYFUNCTION("GOOGLETRANSLATE('대전도시공사_청년임대주택 현황_20240630'!H957,""ko"",""en"")"),"Youth Rental 2nd Place")</f>
        <v>Youth Rental 2nd Place</v>
      </c>
      <c r="I957" s="1" t="str">
        <f ca="1">IFERROR(__xludf.DUMMYFUNCTION("GOOGLETRANSLATE('대전도시공사_청년임대주택 현황_20240630'!I957,""ko"",""en"")"),"2000000")</f>
        <v>2000000</v>
      </c>
      <c r="J957" s="1" t="str">
        <f ca="1">IFERROR(__xludf.DUMMYFUNCTION("GOOGLETRANSLATE('대전도시공사_청년임대주택 현황_20240630'!J957,""ko"",""en"")"),"288800")</f>
        <v>288800</v>
      </c>
    </row>
    <row r="958" spans="1:10" ht="12.5" x14ac:dyDescent="0.25">
      <c r="A958" s="1" t="str">
        <f ca="1">IFERROR(__xludf.DUMMYFUNCTION("GOOGLETRANSLATE('대전도시공사_청년임대주택 현황_20240630'!A958,""ko"",""en"")"),"Gayang-dong 146-56 (Dawuri Housing, Youth Rental)")</f>
        <v>Gayang-dong 146-56 (Dawuri Housing, Youth Rental)</v>
      </c>
      <c r="B958" s="1" t="str">
        <f ca="1">IFERROR(__xludf.DUMMYFUNCTION("GOOGLETRANSLATE('대전도시공사_청년임대주택 현황_20240630'!B958,""ko"",""en"")"),"36")</f>
        <v>36</v>
      </c>
      <c r="C958" s="1" t="str">
        <f ca="1">IFERROR(__xludf.DUMMYFUNCTION("GOOGLETRANSLATE('대전도시공사_청년임대주택 현황_20240630'!C958,""ko"",""en"")"),"1")</f>
        <v>1</v>
      </c>
      <c r="D958" s="1" t="str">
        <f ca="1">IFERROR(__xludf.DUMMYFUNCTION("GOOGLETRANSLATE('대전도시공사_청년임대주택 현황_20240630'!D958,""ko"",""en"")"),"306")</f>
        <v>306</v>
      </c>
      <c r="E958" s="1" t="str">
        <f ca="1">IFERROR(__xludf.DUMMYFUNCTION("GOOGLETRANSLATE('대전도시공사_청년임대주택 현황_20240630'!E958,""ko"",""en"")"),"35.65")</f>
        <v>35.65</v>
      </c>
      <c r="F958" s="1" t="str">
        <f ca="1">IFERROR(__xludf.DUMMYFUNCTION("GOOGLETRANSLATE('대전도시공사_청년임대주택 현황_20240630'!F958,""ko"",""en"")"),"27.95")</f>
        <v>27.95</v>
      </c>
      <c r="G958" s="1" t="str">
        <f ca="1">IFERROR(__xludf.DUMMYFUNCTION("GOOGLETRANSLATE('대전도시공사_청년임대주택 현황_20240630'!G958,""ko"",""en"")"),"7.7")</f>
        <v>7.7</v>
      </c>
      <c r="H958" s="1" t="str">
        <f ca="1">IFERROR(__xludf.DUMMYFUNCTION("GOOGLETRANSLATE('대전도시공사_청년임대주택 현황_20240630'!H958,""ko"",""en"")"),"3rd place for youth rental")</f>
        <v>3rd place for youth rental</v>
      </c>
      <c r="I958" s="1" t="str">
        <f ca="1">IFERROR(__xludf.DUMMYFUNCTION("GOOGLETRANSLATE('대전도시공사_청년임대주택 현황_20240630'!I958,""ko"",""en"")"),"2000000")</f>
        <v>2000000</v>
      </c>
      <c r="J958" s="1" t="str">
        <f ca="1">IFERROR(__xludf.DUMMYFUNCTION("GOOGLETRANSLATE('대전도시공사_청년임대주택 현황_20240630'!J958,""ko"",""en"")"),"288800")</f>
        <v>288800</v>
      </c>
    </row>
    <row r="959" spans="1:10" ht="12.5" x14ac:dyDescent="0.25">
      <c r="A959" s="1" t="str">
        <f ca="1">IFERROR(__xludf.DUMMYFUNCTION("GOOGLETRANSLATE('대전도시공사_청년임대주택 현황_20240630'!A959,""ko"",""en"")"),"Gayang-dong 146-56 (Dawuri Housing, Youth Rental)")</f>
        <v>Gayang-dong 146-56 (Dawuri Housing, Youth Rental)</v>
      </c>
      <c r="B959" s="1" t="str">
        <f ca="1">IFERROR(__xludf.DUMMYFUNCTION("GOOGLETRANSLATE('대전도시공사_청년임대주택 현황_20240630'!B959,""ko"",""en"")"),"37")</f>
        <v>37</v>
      </c>
      <c r="C959" s="1" t="str">
        <f ca="1">IFERROR(__xludf.DUMMYFUNCTION("GOOGLETRANSLATE('대전도시공사_청년임대주택 현황_20240630'!C959,""ko"",""en"")"),"1")</f>
        <v>1</v>
      </c>
      <c r="D959" s="1" t="str">
        <f ca="1">IFERROR(__xludf.DUMMYFUNCTION("GOOGLETRANSLATE('대전도시공사_청년임대주택 현황_20240630'!D959,""ko"",""en"")"),"401")</f>
        <v>401</v>
      </c>
      <c r="E959" s="1" t="str">
        <f ca="1">IFERROR(__xludf.DUMMYFUNCTION("GOOGLETRANSLATE('대전도시공사_청년임대주택 현황_20240630'!E959,""ko"",""en"")"),"36.97")</f>
        <v>36.97</v>
      </c>
      <c r="F959" s="1" t="str">
        <f ca="1">IFERROR(__xludf.DUMMYFUNCTION("GOOGLETRANSLATE('대전도시공사_청년임대주택 현황_20240630'!F959,""ko"",""en"")"),"29")</f>
        <v>29</v>
      </c>
      <c r="G959" s="1" t="str">
        <f ca="1">IFERROR(__xludf.DUMMYFUNCTION("GOOGLETRANSLATE('대전도시공사_청년임대주택 현황_20240630'!G959,""ko"",""en"")"),"7.97")</f>
        <v>7.97</v>
      </c>
      <c r="H959" s="1" t="str">
        <f ca="1">IFERROR(__xludf.DUMMYFUNCTION("GOOGLETRANSLATE('대전도시공사_청년임대주택 현황_20240630'!H959,""ko"",""en"")"),"Youth Rent 1st Place")</f>
        <v>Youth Rent 1st Place</v>
      </c>
      <c r="I959" s="1" t="str">
        <f ca="1">IFERROR(__xludf.DUMMYFUNCTION("GOOGLETRANSLATE('대전도시공사_청년임대주택 현황_20240630'!I959,""ko"",""en"")"),"1000000")</f>
        <v>1000000</v>
      </c>
      <c r="J959" s="1" t="str">
        <f ca="1">IFERROR(__xludf.DUMMYFUNCTION("GOOGLETRANSLATE('대전도시공사_청년임대주택 현황_20240630'!J959,""ko"",""en"")"),"236300")</f>
        <v>236300</v>
      </c>
    </row>
    <row r="960" spans="1:10" ht="12.5" x14ac:dyDescent="0.25">
      <c r="A960" s="1" t="str">
        <f ca="1">IFERROR(__xludf.DUMMYFUNCTION("GOOGLETRANSLATE('대전도시공사_청년임대주택 현황_20240630'!A960,""ko"",""en"")"),"Gayang-dong 146-56 (Dawuri Housing, Youth Rental)")</f>
        <v>Gayang-dong 146-56 (Dawuri Housing, Youth Rental)</v>
      </c>
      <c r="B960" s="1" t="str">
        <f ca="1">IFERROR(__xludf.DUMMYFUNCTION("GOOGLETRANSLATE('대전도시공사_청년임대주택 현황_20240630'!B960,""ko"",""en"")"),"38")</f>
        <v>38</v>
      </c>
      <c r="C960" s="1" t="str">
        <f ca="1">IFERROR(__xludf.DUMMYFUNCTION("GOOGLETRANSLATE('대전도시공사_청년임대주택 현황_20240630'!C960,""ko"",""en"")"),"1")</f>
        <v>1</v>
      </c>
      <c r="D960" s="1" t="str">
        <f ca="1">IFERROR(__xludf.DUMMYFUNCTION("GOOGLETRANSLATE('대전도시공사_청년임대주택 현황_20240630'!D960,""ko"",""en"")"),"401")</f>
        <v>401</v>
      </c>
      <c r="E960" s="1" t="str">
        <f ca="1">IFERROR(__xludf.DUMMYFUNCTION("GOOGLETRANSLATE('대전도시공사_청년임대주택 현황_20240630'!E960,""ko"",""en"")"),"36.97")</f>
        <v>36.97</v>
      </c>
      <c r="F960" s="1" t="str">
        <f ca="1">IFERROR(__xludf.DUMMYFUNCTION("GOOGLETRANSLATE('대전도시공사_청년임대주택 현황_20240630'!F960,""ko"",""en"")"),"29")</f>
        <v>29</v>
      </c>
      <c r="G960" s="1" t="str">
        <f ca="1">IFERROR(__xludf.DUMMYFUNCTION("GOOGLETRANSLATE('대전도시공사_청년임대주택 현황_20240630'!G960,""ko"",""en"")"),"7.97")</f>
        <v>7.97</v>
      </c>
      <c r="H960" s="1" t="str">
        <f ca="1">IFERROR(__xludf.DUMMYFUNCTION("GOOGLETRANSLATE('대전도시공사_청년임대주택 현황_20240630'!H960,""ko"",""en"")"),"Youth Rental 2nd Place")</f>
        <v>Youth Rental 2nd Place</v>
      </c>
      <c r="I960" s="1" t="str">
        <f ca="1">IFERROR(__xludf.DUMMYFUNCTION("GOOGLETRANSLATE('대전도시공사_청년임대주택 현황_20240630'!I960,""ko"",""en"")"),"2000000")</f>
        <v>2000000</v>
      </c>
      <c r="J960" s="1" t="str">
        <f ca="1">IFERROR(__xludf.DUMMYFUNCTION("GOOGLETRANSLATE('대전도시공사_청년임대주택 현황_20240630'!J960,""ko"",""en"")"),"291000")</f>
        <v>291000</v>
      </c>
    </row>
    <row r="961" spans="1:10" ht="12.5" x14ac:dyDescent="0.25">
      <c r="A961" s="1" t="str">
        <f ca="1">IFERROR(__xludf.DUMMYFUNCTION("GOOGLETRANSLATE('대전도시공사_청년임대주택 현황_20240630'!A961,""ko"",""en"")"),"Gayang-dong 146-56 (Dawuri Housing, Youth Rental)")</f>
        <v>Gayang-dong 146-56 (Dawuri Housing, Youth Rental)</v>
      </c>
      <c r="B961" s="1" t="str">
        <f ca="1">IFERROR(__xludf.DUMMYFUNCTION("GOOGLETRANSLATE('대전도시공사_청년임대주택 현황_20240630'!B961,""ko"",""en"")"),"39")</f>
        <v>39</v>
      </c>
      <c r="C961" s="1" t="str">
        <f ca="1">IFERROR(__xludf.DUMMYFUNCTION("GOOGLETRANSLATE('대전도시공사_청년임대주택 현황_20240630'!C961,""ko"",""en"")"),"1")</f>
        <v>1</v>
      </c>
      <c r="D961" s="1" t="str">
        <f ca="1">IFERROR(__xludf.DUMMYFUNCTION("GOOGLETRANSLATE('대전도시공사_청년임대주택 현황_20240630'!D961,""ko"",""en"")"),"401")</f>
        <v>401</v>
      </c>
      <c r="E961" s="1" t="str">
        <f ca="1">IFERROR(__xludf.DUMMYFUNCTION("GOOGLETRANSLATE('대전도시공사_청년임대주택 현황_20240630'!E961,""ko"",""en"")"),"36.97")</f>
        <v>36.97</v>
      </c>
      <c r="F961" s="1" t="str">
        <f ca="1">IFERROR(__xludf.DUMMYFUNCTION("GOOGLETRANSLATE('대전도시공사_청년임대주택 현황_20240630'!F961,""ko"",""en"")"),"29")</f>
        <v>29</v>
      </c>
      <c r="G961" s="1" t="str">
        <f ca="1">IFERROR(__xludf.DUMMYFUNCTION("GOOGLETRANSLATE('대전도시공사_청년임대주택 현황_20240630'!G961,""ko"",""en"")"),"7.97")</f>
        <v>7.97</v>
      </c>
      <c r="H961" s="1" t="str">
        <f ca="1">IFERROR(__xludf.DUMMYFUNCTION("GOOGLETRANSLATE('대전도시공사_청년임대주택 현황_20240630'!H961,""ko"",""en"")"),"3rd place for youth rental")</f>
        <v>3rd place for youth rental</v>
      </c>
      <c r="I961" s="1" t="str">
        <f ca="1">IFERROR(__xludf.DUMMYFUNCTION("GOOGLETRANSLATE('대전도시공사_청년임대주택 현황_20240630'!I961,""ko"",""en"")"),"2000000")</f>
        <v>2000000</v>
      </c>
      <c r="J961" s="1" t="str">
        <f ca="1">IFERROR(__xludf.DUMMYFUNCTION("GOOGLETRANSLATE('대전도시공사_청년임대주택 현황_20240630'!J961,""ko"",""en"")"),"291000")</f>
        <v>291000</v>
      </c>
    </row>
    <row r="962" spans="1:10" ht="12.5" x14ac:dyDescent="0.25">
      <c r="A962" s="1" t="str">
        <f ca="1">IFERROR(__xludf.DUMMYFUNCTION("GOOGLETRANSLATE('대전도시공사_청년임대주택 현황_20240630'!A962,""ko"",""en"")"),"Gayang-dong 146-56 (Dawuri Housing, Youth Rental)")</f>
        <v>Gayang-dong 146-56 (Dawuri Housing, Youth Rental)</v>
      </c>
      <c r="B962" s="1" t="str">
        <f ca="1">IFERROR(__xludf.DUMMYFUNCTION("GOOGLETRANSLATE('대전도시공사_청년임대주택 현황_20240630'!B962,""ko"",""en"")"),"40")</f>
        <v>40</v>
      </c>
      <c r="C962" s="1" t="str">
        <f ca="1">IFERROR(__xludf.DUMMYFUNCTION("GOOGLETRANSLATE('대전도시공사_청년임대주택 현황_20240630'!C962,""ko"",""en"")"),"1")</f>
        <v>1</v>
      </c>
      <c r="D962" s="1" t="str">
        <f ca="1">IFERROR(__xludf.DUMMYFUNCTION("GOOGLETRANSLATE('대전도시공사_청년임대주택 현황_20240630'!D962,""ko"",""en"")"),"402")</f>
        <v>402</v>
      </c>
      <c r="E962" s="1" t="str">
        <f ca="1">IFERROR(__xludf.DUMMYFUNCTION("GOOGLETRANSLATE('대전도시공사_청년임대주택 현황_20240630'!E962,""ko"",""en"")"),"35.65")</f>
        <v>35.65</v>
      </c>
      <c r="F962" s="1" t="str">
        <f ca="1">IFERROR(__xludf.DUMMYFUNCTION("GOOGLETRANSLATE('대전도시공사_청년임대주택 현황_20240630'!F962,""ko"",""en"")"),"27.95")</f>
        <v>27.95</v>
      </c>
      <c r="G962" s="1" t="str">
        <f ca="1">IFERROR(__xludf.DUMMYFUNCTION("GOOGLETRANSLATE('대전도시공사_청년임대주택 현황_20240630'!G962,""ko"",""en"")"),"7.7")</f>
        <v>7.7</v>
      </c>
      <c r="H962" s="1" t="str">
        <f ca="1">IFERROR(__xludf.DUMMYFUNCTION("GOOGLETRANSLATE('대전도시공사_청년임대주택 현황_20240630'!H962,""ko"",""en"")"),"Beneficiary")</f>
        <v>Beneficiary</v>
      </c>
      <c r="I962" s="1" t="str">
        <f ca="1">IFERROR(__xludf.DUMMYFUNCTION("GOOGLETRANSLATE('대전도시공사_청년임대주택 현황_20240630'!I962,""ko"",""en"")"),"1000000")</f>
        <v>1000000</v>
      </c>
      <c r="J962" s="1" t="str">
        <f ca="1">IFERROR(__xludf.DUMMYFUNCTION("GOOGLETRANSLATE('대전도시공사_청년임대주택 현황_20240630'!J962,""ko"",""en"")"),"232000")</f>
        <v>232000</v>
      </c>
    </row>
    <row r="963" spans="1:10" ht="12.5" x14ac:dyDescent="0.25">
      <c r="A963" s="1" t="str">
        <f ca="1">IFERROR(__xludf.DUMMYFUNCTION("GOOGLETRANSLATE('대전도시공사_청년임대주택 현황_20240630'!A963,""ko"",""en"")"),"Gayang-dong 146-56 (Dawuri Housing, Youth Rental)")</f>
        <v>Gayang-dong 146-56 (Dawuri Housing, Youth Rental)</v>
      </c>
      <c r="B963" s="1" t="str">
        <f ca="1">IFERROR(__xludf.DUMMYFUNCTION("GOOGLETRANSLATE('대전도시공사_청년임대주택 현황_20240630'!B963,""ko"",""en"")"),"41")</f>
        <v>41</v>
      </c>
      <c r="C963" s="1" t="str">
        <f ca="1">IFERROR(__xludf.DUMMYFUNCTION("GOOGLETRANSLATE('대전도시공사_청년임대주택 현황_20240630'!C963,""ko"",""en"")"),"1")</f>
        <v>1</v>
      </c>
      <c r="D963" s="1" t="str">
        <f ca="1">IFERROR(__xludf.DUMMYFUNCTION("GOOGLETRANSLATE('대전도시공사_청년임대주택 현황_20240630'!D963,""ko"",""en"")"),"402")</f>
        <v>402</v>
      </c>
      <c r="E963" s="1" t="str">
        <f ca="1">IFERROR(__xludf.DUMMYFUNCTION("GOOGLETRANSLATE('대전도시공사_청년임대주택 현황_20240630'!E963,""ko"",""en"")"),"35.65")</f>
        <v>35.65</v>
      </c>
      <c r="F963" s="1" t="str">
        <f ca="1">IFERROR(__xludf.DUMMYFUNCTION("GOOGLETRANSLATE('대전도시공사_청년임대주택 현황_20240630'!F963,""ko"",""en"")"),"27.95")</f>
        <v>27.95</v>
      </c>
      <c r="G963" s="1" t="str">
        <f ca="1">IFERROR(__xludf.DUMMYFUNCTION("GOOGLETRANSLATE('대전도시공사_청년임대주택 현황_20240630'!G963,""ko"",""en"")"),"7.7")</f>
        <v>7.7</v>
      </c>
      <c r="H963" s="1" t="str">
        <f ca="1">IFERROR(__xludf.DUMMYFUNCTION("GOOGLETRANSLATE('대전도시공사_청년임대주택 현황_20240630'!H963,""ko"",""en"")"),"Youth Rental 2nd Place")</f>
        <v>Youth Rental 2nd Place</v>
      </c>
      <c r="I963" s="1" t="str">
        <f ca="1">IFERROR(__xludf.DUMMYFUNCTION("GOOGLETRANSLATE('대전도시공사_청년임대주택 현황_20240630'!I963,""ko"",""en"")"),"2000000")</f>
        <v>2000000</v>
      </c>
      <c r="J963" s="1" t="str">
        <f ca="1">IFERROR(__xludf.DUMMYFUNCTION("GOOGLETRANSLATE('대전도시공사_청년임대주택 현황_20240630'!J963,""ko"",""en"")"),"285600")</f>
        <v>285600</v>
      </c>
    </row>
    <row r="964" spans="1:10" ht="12.5" x14ac:dyDescent="0.25">
      <c r="A964" s="1" t="str">
        <f ca="1">IFERROR(__xludf.DUMMYFUNCTION("GOOGLETRANSLATE('대전도시공사_청년임대주택 현황_20240630'!A964,""ko"",""en"")"),"Gayang-dong 146-56 (Dawuri Housing, Youth Rental)")</f>
        <v>Gayang-dong 146-56 (Dawuri Housing, Youth Rental)</v>
      </c>
      <c r="B964" s="1" t="str">
        <f ca="1">IFERROR(__xludf.DUMMYFUNCTION("GOOGLETRANSLATE('대전도시공사_청년임대주택 현황_20240630'!B964,""ko"",""en"")"),"42")</f>
        <v>42</v>
      </c>
      <c r="C964" s="1" t="str">
        <f ca="1">IFERROR(__xludf.DUMMYFUNCTION("GOOGLETRANSLATE('대전도시공사_청년임대주택 현황_20240630'!C964,""ko"",""en"")"),"1")</f>
        <v>1</v>
      </c>
      <c r="D964" s="1" t="str">
        <f ca="1">IFERROR(__xludf.DUMMYFUNCTION("GOOGLETRANSLATE('대전도시공사_청년임대주택 현황_20240630'!D964,""ko"",""en"")"),"402")</f>
        <v>402</v>
      </c>
      <c r="E964" s="1" t="str">
        <f ca="1">IFERROR(__xludf.DUMMYFUNCTION("GOOGLETRANSLATE('대전도시공사_청년임대주택 현황_20240630'!E964,""ko"",""en"")"),"35.65")</f>
        <v>35.65</v>
      </c>
      <c r="F964" s="1" t="str">
        <f ca="1">IFERROR(__xludf.DUMMYFUNCTION("GOOGLETRANSLATE('대전도시공사_청년임대주택 현황_20240630'!F964,""ko"",""en"")"),"27.95")</f>
        <v>27.95</v>
      </c>
      <c r="G964" s="1" t="str">
        <f ca="1">IFERROR(__xludf.DUMMYFUNCTION("GOOGLETRANSLATE('대전도시공사_청년임대주택 현황_20240630'!G964,""ko"",""en"")"),"7.7")</f>
        <v>7.7</v>
      </c>
      <c r="H964" s="1" t="str">
        <f ca="1">IFERROR(__xludf.DUMMYFUNCTION("GOOGLETRANSLATE('대전도시공사_청년임대주택 현황_20240630'!H964,""ko"",""en"")"),"3rd place for youth rental")</f>
        <v>3rd place for youth rental</v>
      </c>
      <c r="I964" s="1" t="str">
        <f ca="1">IFERROR(__xludf.DUMMYFUNCTION("GOOGLETRANSLATE('대전도시공사_청년임대주택 현황_20240630'!I964,""ko"",""en"")"),"2000000")</f>
        <v>2000000</v>
      </c>
      <c r="J964" s="1" t="str">
        <f ca="1">IFERROR(__xludf.DUMMYFUNCTION("GOOGLETRANSLATE('대전도시공사_청년임대주택 현황_20240630'!J964,""ko"",""en"")"),"285600")</f>
        <v>285600</v>
      </c>
    </row>
    <row r="965" spans="1:10" ht="12.5" x14ac:dyDescent="0.25">
      <c r="A965" s="1" t="str">
        <f ca="1">IFERROR(__xludf.DUMMYFUNCTION("GOOGLETRANSLATE('대전도시공사_청년임대주택 현황_20240630'!A965,""ko"",""en"")"),"Gayang-dong 146-56 (Dawuri Housing, Youth Rental)")</f>
        <v>Gayang-dong 146-56 (Dawuri Housing, Youth Rental)</v>
      </c>
      <c r="B965" s="1" t="str">
        <f ca="1">IFERROR(__xludf.DUMMYFUNCTION("GOOGLETRANSLATE('대전도시공사_청년임대주택 현황_20240630'!B965,""ko"",""en"")"),"43")</f>
        <v>43</v>
      </c>
      <c r="C965" s="1" t="str">
        <f ca="1">IFERROR(__xludf.DUMMYFUNCTION("GOOGLETRANSLATE('대전도시공사_청년임대주택 현황_20240630'!C965,""ko"",""en"")"),"1")</f>
        <v>1</v>
      </c>
      <c r="D965" s="1" t="str">
        <f ca="1">IFERROR(__xludf.DUMMYFUNCTION("GOOGLETRANSLATE('대전도시공사_청년임대주택 현황_20240630'!D965,""ko"",""en"")"),"403")</f>
        <v>403</v>
      </c>
      <c r="E965" s="1" t="str">
        <f ca="1">IFERROR(__xludf.DUMMYFUNCTION("GOOGLETRANSLATE('대전도시공사_청년임대주택 현황_20240630'!E965,""ko"",""en"")"),"34.79")</f>
        <v>34.79</v>
      </c>
      <c r="F965" s="1" t="str">
        <f ca="1">IFERROR(__xludf.DUMMYFUNCTION("GOOGLETRANSLATE('대전도시공사_청년임대주택 현황_20240630'!F965,""ko"",""en"")"),"27.28")</f>
        <v>27.28</v>
      </c>
      <c r="G965" s="1" t="str">
        <f ca="1">IFERROR(__xludf.DUMMYFUNCTION("GOOGLETRANSLATE('대전도시공사_청년임대주택 현황_20240630'!G965,""ko"",""en"")"),"7.51")</f>
        <v>7.51</v>
      </c>
      <c r="H965" s="1" t="str">
        <f ca="1">IFERROR(__xludf.DUMMYFUNCTION("GOOGLETRANSLATE('대전도시공사_청년임대주택 현황_20240630'!H965,""ko"",""en"")"),"Beneficiary")</f>
        <v>Beneficiary</v>
      </c>
      <c r="I965" s="1" t="str">
        <f ca="1">IFERROR(__xludf.DUMMYFUNCTION("GOOGLETRANSLATE('대전도시공사_청년임대주택 현황_20240630'!I965,""ko"",""en"")"),"1000000")</f>
        <v>1000000</v>
      </c>
      <c r="J965" s="1" t="str">
        <f ca="1">IFERROR(__xludf.DUMMYFUNCTION("GOOGLETRANSLATE('대전도시공사_청년임대주택 현황_20240630'!J965,""ko"",""en"")"),"228800")</f>
        <v>228800</v>
      </c>
    </row>
    <row r="966" spans="1:10" ht="12.5" x14ac:dyDescent="0.25">
      <c r="A966" s="1" t="str">
        <f ca="1">IFERROR(__xludf.DUMMYFUNCTION("GOOGLETRANSLATE('대전도시공사_청년임대주택 현황_20240630'!A966,""ko"",""en"")"),"Gayang-dong 146-56 (Dawuri Housing, Youth Rental)")</f>
        <v>Gayang-dong 146-56 (Dawuri Housing, Youth Rental)</v>
      </c>
      <c r="B966" s="1" t="str">
        <f ca="1">IFERROR(__xludf.DUMMYFUNCTION("GOOGLETRANSLATE('대전도시공사_청년임대주택 현황_20240630'!B966,""ko"",""en"")"),"44")</f>
        <v>44</v>
      </c>
      <c r="C966" s="1" t="str">
        <f ca="1">IFERROR(__xludf.DUMMYFUNCTION("GOOGLETRANSLATE('대전도시공사_청년임대주택 현황_20240630'!C966,""ko"",""en"")"),"1")</f>
        <v>1</v>
      </c>
      <c r="D966" s="1" t="str">
        <f ca="1">IFERROR(__xludf.DUMMYFUNCTION("GOOGLETRANSLATE('대전도시공사_청년임대주택 현황_20240630'!D966,""ko"",""en"")"),"403")</f>
        <v>403</v>
      </c>
      <c r="E966" s="1" t="str">
        <f ca="1">IFERROR(__xludf.DUMMYFUNCTION("GOOGLETRANSLATE('대전도시공사_청년임대주택 현황_20240630'!E966,""ko"",""en"")"),"34.79")</f>
        <v>34.79</v>
      </c>
      <c r="F966" s="1" t="str">
        <f ca="1">IFERROR(__xludf.DUMMYFUNCTION("GOOGLETRANSLATE('대전도시공사_청년임대주택 현황_20240630'!F966,""ko"",""en"")"),"27.28")</f>
        <v>27.28</v>
      </c>
      <c r="G966" s="1" t="str">
        <f ca="1">IFERROR(__xludf.DUMMYFUNCTION("GOOGLETRANSLATE('대전도시공사_청년임대주택 현황_20240630'!G966,""ko"",""en"")"),"7.51")</f>
        <v>7.51</v>
      </c>
      <c r="H966" s="1" t="str">
        <f ca="1">IFERROR(__xludf.DUMMYFUNCTION("GOOGLETRANSLATE('대전도시공사_청년임대주택 현황_20240630'!H966,""ko"",""en"")"),"Youth Rental 2nd Place")</f>
        <v>Youth Rental 2nd Place</v>
      </c>
      <c r="I966" s="1" t="str">
        <f ca="1">IFERROR(__xludf.DUMMYFUNCTION("GOOGLETRANSLATE('대전도시공사_청년임대주택 현황_20240630'!I966,""ko"",""en"")"),"2000000")</f>
        <v>2000000</v>
      </c>
      <c r="J966" s="1" t="str">
        <f ca="1">IFERROR(__xludf.DUMMYFUNCTION("GOOGLETRANSLATE('대전도시공사_청년임대주택 현황_20240630'!J966,""ko"",""en"")"),"281600")</f>
        <v>281600</v>
      </c>
    </row>
    <row r="967" spans="1:10" ht="12.5" x14ac:dyDescent="0.25">
      <c r="A967" s="1" t="str">
        <f ca="1">IFERROR(__xludf.DUMMYFUNCTION("GOOGLETRANSLATE('대전도시공사_청년임대주택 현황_20240630'!A967,""ko"",""en"")"),"Gayang-dong 146-56 (Dawuri Housing, Youth Rental)")</f>
        <v>Gayang-dong 146-56 (Dawuri Housing, Youth Rental)</v>
      </c>
      <c r="B967" s="1" t="str">
        <f ca="1">IFERROR(__xludf.DUMMYFUNCTION("GOOGLETRANSLATE('대전도시공사_청년임대주택 현황_20240630'!B967,""ko"",""en"")"),"45")</f>
        <v>45</v>
      </c>
      <c r="C967" s="1" t="str">
        <f ca="1">IFERROR(__xludf.DUMMYFUNCTION("GOOGLETRANSLATE('대전도시공사_청년임대주택 현황_20240630'!C967,""ko"",""en"")"),"1")</f>
        <v>1</v>
      </c>
      <c r="D967" s="1" t="str">
        <f ca="1">IFERROR(__xludf.DUMMYFUNCTION("GOOGLETRANSLATE('대전도시공사_청년임대주택 현황_20240630'!D967,""ko"",""en"")"),"403")</f>
        <v>403</v>
      </c>
      <c r="E967" s="1" t="str">
        <f ca="1">IFERROR(__xludf.DUMMYFUNCTION("GOOGLETRANSLATE('대전도시공사_청년임대주택 현황_20240630'!E967,""ko"",""en"")"),"34.79")</f>
        <v>34.79</v>
      </c>
      <c r="F967" s="1" t="str">
        <f ca="1">IFERROR(__xludf.DUMMYFUNCTION("GOOGLETRANSLATE('대전도시공사_청년임대주택 현황_20240630'!F967,""ko"",""en"")"),"27.28")</f>
        <v>27.28</v>
      </c>
      <c r="G967" s="1" t="str">
        <f ca="1">IFERROR(__xludf.DUMMYFUNCTION("GOOGLETRANSLATE('대전도시공사_청년임대주택 현황_20240630'!G967,""ko"",""en"")"),"7.51")</f>
        <v>7.51</v>
      </c>
      <c r="H967" s="1" t="str">
        <f ca="1">IFERROR(__xludf.DUMMYFUNCTION("GOOGLETRANSLATE('대전도시공사_청년임대주택 현황_20240630'!H967,""ko"",""en"")"),"3rd place for youth rental")</f>
        <v>3rd place for youth rental</v>
      </c>
      <c r="I967" s="1" t="str">
        <f ca="1">IFERROR(__xludf.DUMMYFUNCTION("GOOGLETRANSLATE('대전도시공사_청년임대주택 현황_20240630'!I967,""ko"",""en"")"),"2000000")</f>
        <v>2000000</v>
      </c>
      <c r="J967" s="1" t="str">
        <f ca="1">IFERROR(__xludf.DUMMYFUNCTION("GOOGLETRANSLATE('대전도시공사_청년임대주택 현황_20240630'!J967,""ko"",""en"")"),"281600")</f>
        <v>281600</v>
      </c>
    </row>
    <row r="968" spans="1:10" ht="12.5" x14ac:dyDescent="0.25">
      <c r="A968" s="1" t="str">
        <f ca="1">IFERROR(__xludf.DUMMYFUNCTION("GOOGLETRANSLATE('대전도시공사_청년임대주택 현황_20240630'!A968,""ko"",""en"")"),"Gayang-dong 146-56 (Dawuri Housing, Youth Rental)")</f>
        <v>Gayang-dong 146-56 (Dawuri Housing, Youth Rental)</v>
      </c>
      <c r="B968" s="1" t="str">
        <f ca="1">IFERROR(__xludf.DUMMYFUNCTION("GOOGLETRANSLATE('대전도시공사_청년임대주택 현황_20240630'!B968,""ko"",""en"")"),"46")</f>
        <v>46</v>
      </c>
      <c r="C968" s="1" t="str">
        <f ca="1">IFERROR(__xludf.DUMMYFUNCTION("GOOGLETRANSLATE('대전도시공사_청년임대주택 현황_20240630'!C968,""ko"",""en"")"),"1")</f>
        <v>1</v>
      </c>
      <c r="D968" s="1" t="str">
        <f ca="1">IFERROR(__xludf.DUMMYFUNCTION("GOOGLETRANSLATE('대전도시공사_청년임대주택 현황_20240630'!D968,""ko"",""en"")"),"404")</f>
        <v>404</v>
      </c>
      <c r="E968" s="1" t="str">
        <f ca="1">IFERROR(__xludf.DUMMYFUNCTION("GOOGLETRANSLATE('대전도시공사_청년임대주택 현황_20240630'!E968,""ko"",""en"")"),"34.79")</f>
        <v>34.79</v>
      </c>
      <c r="F968" s="1" t="str">
        <f ca="1">IFERROR(__xludf.DUMMYFUNCTION("GOOGLETRANSLATE('대전도시공사_청년임대주택 현황_20240630'!F968,""ko"",""en"")"),"27.28")</f>
        <v>27.28</v>
      </c>
      <c r="G968" s="1" t="str">
        <f ca="1">IFERROR(__xludf.DUMMYFUNCTION("GOOGLETRANSLATE('대전도시공사_청년임대주택 현황_20240630'!G968,""ko"",""en"")"),"7.51")</f>
        <v>7.51</v>
      </c>
      <c r="H968" s="1" t="str">
        <f ca="1">IFERROR(__xludf.DUMMYFUNCTION("GOOGLETRANSLATE('대전도시공사_청년임대주택 현황_20240630'!H968,""ko"",""en"")"),"Beneficiary")</f>
        <v>Beneficiary</v>
      </c>
      <c r="I968" s="1" t="str">
        <f ca="1">IFERROR(__xludf.DUMMYFUNCTION("GOOGLETRANSLATE('대전도시공사_청년임대주택 현황_20240630'!I968,""ko"",""en"")"),"1000000")</f>
        <v>1000000</v>
      </c>
      <c r="J968" s="1" t="str">
        <f ca="1">IFERROR(__xludf.DUMMYFUNCTION("GOOGLETRANSLATE('대전도시공사_청년임대주택 현황_20240630'!J968,""ko"",""en"")"),"226300")</f>
        <v>226300</v>
      </c>
    </row>
    <row r="969" spans="1:10" ht="12.5" x14ac:dyDescent="0.25">
      <c r="A969" s="1" t="str">
        <f ca="1">IFERROR(__xludf.DUMMYFUNCTION("GOOGLETRANSLATE('대전도시공사_청년임대주택 현황_20240630'!A969,""ko"",""en"")"),"Gayang-dong 146-56 (Dawuri Housing, Youth Rental)")</f>
        <v>Gayang-dong 146-56 (Dawuri Housing, Youth Rental)</v>
      </c>
      <c r="B969" s="1" t="str">
        <f ca="1">IFERROR(__xludf.DUMMYFUNCTION("GOOGLETRANSLATE('대전도시공사_청년임대주택 현황_20240630'!B969,""ko"",""en"")"),"47")</f>
        <v>47</v>
      </c>
      <c r="C969" s="1" t="str">
        <f ca="1">IFERROR(__xludf.DUMMYFUNCTION("GOOGLETRANSLATE('대전도시공사_청년임대주택 현황_20240630'!C969,""ko"",""en"")"),"1")</f>
        <v>1</v>
      </c>
      <c r="D969" s="1" t="str">
        <f ca="1">IFERROR(__xludf.DUMMYFUNCTION("GOOGLETRANSLATE('대전도시공사_청년임대주택 현황_20240630'!D969,""ko"",""en"")"),"404")</f>
        <v>404</v>
      </c>
      <c r="E969" s="1" t="str">
        <f ca="1">IFERROR(__xludf.DUMMYFUNCTION("GOOGLETRANSLATE('대전도시공사_청년임대주택 현황_20240630'!E969,""ko"",""en"")"),"34.79")</f>
        <v>34.79</v>
      </c>
      <c r="F969" s="1" t="str">
        <f ca="1">IFERROR(__xludf.DUMMYFUNCTION("GOOGLETRANSLATE('대전도시공사_청년임대주택 현황_20240630'!F969,""ko"",""en"")"),"27.28")</f>
        <v>27.28</v>
      </c>
      <c r="G969" s="1" t="str">
        <f ca="1">IFERROR(__xludf.DUMMYFUNCTION("GOOGLETRANSLATE('대전도시공사_청년임대주택 현황_20240630'!G969,""ko"",""en"")"),"7.51")</f>
        <v>7.51</v>
      </c>
      <c r="H969" s="1" t="str">
        <f ca="1">IFERROR(__xludf.DUMMYFUNCTION("GOOGLETRANSLATE('대전도시공사_청년임대주택 현황_20240630'!H969,""ko"",""en"")"),"Youth Rental 2nd Place")</f>
        <v>Youth Rental 2nd Place</v>
      </c>
      <c r="I969" s="1" t="str">
        <f ca="1">IFERROR(__xludf.DUMMYFUNCTION("GOOGLETRANSLATE('대전도시공사_청년임대주택 현황_20240630'!I969,""ko"",""en"")"),"2000000")</f>
        <v>2000000</v>
      </c>
      <c r="J969" s="1" t="str">
        <f ca="1">IFERROR(__xludf.DUMMYFUNCTION("GOOGLETRANSLATE('대전도시공사_청년임대주택 현황_20240630'!J969,""ko"",""en"")"),"278500")</f>
        <v>278500</v>
      </c>
    </row>
    <row r="970" spans="1:10" ht="12.5" x14ac:dyDescent="0.25">
      <c r="A970" s="1" t="str">
        <f ca="1">IFERROR(__xludf.DUMMYFUNCTION("GOOGLETRANSLATE('대전도시공사_청년임대주택 현황_20240630'!A970,""ko"",""en"")"),"Gayang-dong 146-56 (Dawuri Housing, Youth Rental)")</f>
        <v>Gayang-dong 146-56 (Dawuri Housing, Youth Rental)</v>
      </c>
      <c r="B970" s="1" t="str">
        <f ca="1">IFERROR(__xludf.DUMMYFUNCTION("GOOGLETRANSLATE('대전도시공사_청년임대주택 현황_20240630'!B970,""ko"",""en"")"),"48")</f>
        <v>48</v>
      </c>
      <c r="C970" s="1" t="str">
        <f ca="1">IFERROR(__xludf.DUMMYFUNCTION("GOOGLETRANSLATE('대전도시공사_청년임대주택 현황_20240630'!C970,""ko"",""en"")"),"1")</f>
        <v>1</v>
      </c>
      <c r="D970" s="1" t="str">
        <f ca="1">IFERROR(__xludf.DUMMYFUNCTION("GOOGLETRANSLATE('대전도시공사_청년임대주택 현황_20240630'!D970,""ko"",""en"")"),"404")</f>
        <v>404</v>
      </c>
      <c r="E970" s="1" t="str">
        <f ca="1">IFERROR(__xludf.DUMMYFUNCTION("GOOGLETRANSLATE('대전도시공사_청년임대주택 현황_20240630'!E970,""ko"",""en"")"),"34.79")</f>
        <v>34.79</v>
      </c>
      <c r="F970" s="1" t="str">
        <f ca="1">IFERROR(__xludf.DUMMYFUNCTION("GOOGLETRANSLATE('대전도시공사_청년임대주택 현황_20240630'!F970,""ko"",""en"")"),"27.28")</f>
        <v>27.28</v>
      </c>
      <c r="G970" s="1" t="str">
        <f ca="1">IFERROR(__xludf.DUMMYFUNCTION("GOOGLETRANSLATE('대전도시공사_청년임대주택 현황_20240630'!G970,""ko"",""en"")"),"7.51")</f>
        <v>7.51</v>
      </c>
      <c r="H970" s="1" t="str">
        <f ca="1">IFERROR(__xludf.DUMMYFUNCTION("GOOGLETRANSLATE('대전도시공사_청년임대주택 현황_20240630'!H970,""ko"",""en"")"),"3rd place for youth rental")</f>
        <v>3rd place for youth rental</v>
      </c>
      <c r="I970" s="1" t="str">
        <f ca="1">IFERROR(__xludf.DUMMYFUNCTION("GOOGLETRANSLATE('대전도시공사_청년임대주택 현황_20240630'!I970,""ko"",""en"")"),"2000000")</f>
        <v>2000000</v>
      </c>
      <c r="J970" s="1" t="str">
        <f ca="1">IFERROR(__xludf.DUMMYFUNCTION("GOOGLETRANSLATE('대전도시공사_청년임대주택 현황_20240630'!J970,""ko"",""en"")"),"278500")</f>
        <v>278500</v>
      </c>
    </row>
    <row r="971" spans="1:10" ht="12.5" x14ac:dyDescent="0.25">
      <c r="A971" s="1" t="str">
        <f ca="1">IFERROR(__xludf.DUMMYFUNCTION("GOOGLETRANSLATE('대전도시공사_청년임대주택 현황_20240630'!A971,""ko"",""en"")"),"Gayang-dong 146-56 (Dawuri Housing, Youth Rental)")</f>
        <v>Gayang-dong 146-56 (Dawuri Housing, Youth Rental)</v>
      </c>
      <c r="B971" s="1" t="str">
        <f ca="1">IFERROR(__xludf.DUMMYFUNCTION("GOOGLETRANSLATE('대전도시공사_청년임대주택 현황_20240630'!B971,""ko"",""en"")"),"49")</f>
        <v>49</v>
      </c>
      <c r="C971" s="1" t="str">
        <f ca="1">IFERROR(__xludf.DUMMYFUNCTION("GOOGLETRANSLATE('대전도시공사_청년임대주택 현황_20240630'!C971,""ko"",""en"")"),"1")</f>
        <v>1</v>
      </c>
      <c r="D971" s="1" t="str">
        <f ca="1">IFERROR(__xludf.DUMMYFUNCTION("GOOGLETRANSLATE('대전도시공사_청년임대주택 현황_20240630'!D971,""ko"",""en"")"),"405")</f>
        <v>405</v>
      </c>
      <c r="E971" s="1" t="str">
        <f ca="1">IFERROR(__xludf.DUMMYFUNCTION("GOOGLETRANSLATE('대전도시공사_청년임대주택 현황_20240630'!E971,""ko"",""en"")"),"34.79")</f>
        <v>34.79</v>
      </c>
      <c r="F971" s="1" t="str">
        <f ca="1">IFERROR(__xludf.DUMMYFUNCTION("GOOGLETRANSLATE('대전도시공사_청년임대주택 현황_20240630'!F971,""ko"",""en"")"),"27.28")</f>
        <v>27.28</v>
      </c>
      <c r="G971" s="1" t="str">
        <f ca="1">IFERROR(__xludf.DUMMYFUNCTION("GOOGLETRANSLATE('대전도시공사_청년임대주택 현황_20240630'!G971,""ko"",""en"")"),"7.51")</f>
        <v>7.51</v>
      </c>
      <c r="H971" s="1" t="str">
        <f ca="1">IFERROR(__xludf.DUMMYFUNCTION("GOOGLETRANSLATE('대전도시공사_청년임대주택 현황_20240630'!H971,""ko"",""en"")"),"Beneficiary")</f>
        <v>Beneficiary</v>
      </c>
      <c r="I971" s="1" t="str">
        <f ca="1">IFERROR(__xludf.DUMMYFUNCTION("GOOGLETRANSLATE('대전도시공사_청년임대주택 현황_20240630'!I971,""ko"",""en"")"),"1000000")</f>
        <v>1000000</v>
      </c>
      <c r="J971" s="1" t="str">
        <f ca="1">IFERROR(__xludf.DUMMYFUNCTION("GOOGLETRANSLATE('대전도시공사_청년임대주택 현황_20240630'!J971,""ko"",""en"")"),"228800")</f>
        <v>228800</v>
      </c>
    </row>
    <row r="972" spans="1:10" ht="12.5" x14ac:dyDescent="0.25">
      <c r="A972" s="1" t="str">
        <f ca="1">IFERROR(__xludf.DUMMYFUNCTION("GOOGLETRANSLATE('대전도시공사_청년임대주택 현황_20240630'!A972,""ko"",""en"")"),"Gayang-dong 146-56 (Dawuri Housing, Youth Rental)")</f>
        <v>Gayang-dong 146-56 (Dawuri Housing, Youth Rental)</v>
      </c>
      <c r="B972" s="1" t="str">
        <f ca="1">IFERROR(__xludf.DUMMYFUNCTION("GOOGLETRANSLATE('대전도시공사_청년임대주택 현황_20240630'!B972,""ko"",""en"")"),"50")</f>
        <v>50</v>
      </c>
      <c r="C972" s="1" t="str">
        <f ca="1">IFERROR(__xludf.DUMMYFUNCTION("GOOGLETRANSLATE('대전도시공사_청년임대주택 현황_20240630'!C972,""ko"",""en"")"),"1")</f>
        <v>1</v>
      </c>
      <c r="D972" s="1" t="str">
        <f ca="1">IFERROR(__xludf.DUMMYFUNCTION("GOOGLETRANSLATE('대전도시공사_청년임대주택 현황_20240630'!D972,""ko"",""en"")"),"405")</f>
        <v>405</v>
      </c>
      <c r="E972" s="1" t="str">
        <f ca="1">IFERROR(__xludf.DUMMYFUNCTION("GOOGLETRANSLATE('대전도시공사_청년임대주택 현황_20240630'!E972,""ko"",""en"")"),"34.79")</f>
        <v>34.79</v>
      </c>
      <c r="F972" s="1" t="str">
        <f ca="1">IFERROR(__xludf.DUMMYFUNCTION("GOOGLETRANSLATE('대전도시공사_청년임대주택 현황_20240630'!F972,""ko"",""en"")"),"27.28")</f>
        <v>27.28</v>
      </c>
      <c r="G972" s="1" t="str">
        <f ca="1">IFERROR(__xludf.DUMMYFUNCTION("GOOGLETRANSLATE('대전도시공사_청년임대주택 현황_20240630'!G972,""ko"",""en"")"),"7.51")</f>
        <v>7.51</v>
      </c>
      <c r="H972" s="1" t="str">
        <f ca="1">IFERROR(__xludf.DUMMYFUNCTION("GOOGLETRANSLATE('대전도시공사_청년임대주택 현황_20240630'!H972,""ko"",""en"")"),"Youth Rental 2nd Place")</f>
        <v>Youth Rental 2nd Place</v>
      </c>
      <c r="I972" s="1" t="str">
        <f ca="1">IFERROR(__xludf.DUMMYFUNCTION("GOOGLETRANSLATE('대전도시공사_청년임대주택 현황_20240630'!I972,""ko"",""en"")"),"2000000")</f>
        <v>2000000</v>
      </c>
      <c r="J972" s="1" t="str">
        <f ca="1">IFERROR(__xludf.DUMMYFUNCTION("GOOGLETRANSLATE('대전도시공사_청년임대주택 현황_20240630'!J972,""ko"",""en"")"),"281600")</f>
        <v>281600</v>
      </c>
    </row>
    <row r="973" spans="1:10" ht="12.5" x14ac:dyDescent="0.25">
      <c r="A973" s="1" t="str">
        <f ca="1">IFERROR(__xludf.DUMMYFUNCTION("GOOGLETRANSLATE('대전도시공사_청년임대주택 현황_20240630'!A973,""ko"",""en"")"),"Gayang-dong 146-56 (Dawuri Housing, Youth Rental)")</f>
        <v>Gayang-dong 146-56 (Dawuri Housing, Youth Rental)</v>
      </c>
      <c r="B973" s="1" t="str">
        <f ca="1">IFERROR(__xludf.DUMMYFUNCTION("GOOGLETRANSLATE('대전도시공사_청년임대주택 현황_20240630'!B973,""ko"",""en"")"),"51")</f>
        <v>51</v>
      </c>
      <c r="C973" s="1" t="str">
        <f ca="1">IFERROR(__xludf.DUMMYFUNCTION("GOOGLETRANSLATE('대전도시공사_청년임대주택 현황_20240630'!C973,""ko"",""en"")"),"1")</f>
        <v>1</v>
      </c>
      <c r="D973" s="1" t="str">
        <f ca="1">IFERROR(__xludf.DUMMYFUNCTION("GOOGLETRANSLATE('대전도시공사_청년임대주택 현황_20240630'!D973,""ko"",""en"")"),"405")</f>
        <v>405</v>
      </c>
      <c r="E973" s="1" t="str">
        <f ca="1">IFERROR(__xludf.DUMMYFUNCTION("GOOGLETRANSLATE('대전도시공사_청년임대주택 현황_20240630'!E973,""ko"",""en"")"),"34.79")</f>
        <v>34.79</v>
      </c>
      <c r="F973" s="1" t="str">
        <f ca="1">IFERROR(__xludf.DUMMYFUNCTION("GOOGLETRANSLATE('대전도시공사_청년임대주택 현황_20240630'!F973,""ko"",""en"")"),"27.28")</f>
        <v>27.28</v>
      </c>
      <c r="G973" s="1" t="str">
        <f ca="1">IFERROR(__xludf.DUMMYFUNCTION("GOOGLETRANSLATE('대전도시공사_청년임대주택 현황_20240630'!G973,""ko"",""en"")"),"7.51")</f>
        <v>7.51</v>
      </c>
      <c r="H973" s="1" t="str">
        <f ca="1">IFERROR(__xludf.DUMMYFUNCTION("GOOGLETRANSLATE('대전도시공사_청년임대주택 현황_20240630'!H973,""ko"",""en"")"),"3rd place for youth rental")</f>
        <v>3rd place for youth rental</v>
      </c>
      <c r="I973" s="1" t="str">
        <f ca="1">IFERROR(__xludf.DUMMYFUNCTION("GOOGLETRANSLATE('대전도시공사_청년임대주택 현황_20240630'!I973,""ko"",""en"")"),"2000000")</f>
        <v>2000000</v>
      </c>
      <c r="J973" s="1" t="str">
        <f ca="1">IFERROR(__xludf.DUMMYFUNCTION("GOOGLETRANSLATE('대전도시공사_청년임대주택 현황_20240630'!J973,""ko"",""en"")"),"281600")</f>
        <v>281600</v>
      </c>
    </row>
    <row r="974" spans="1:10" ht="12.5" x14ac:dyDescent="0.25">
      <c r="A974" s="1" t="str">
        <f ca="1">IFERROR(__xludf.DUMMYFUNCTION("GOOGLETRANSLATE('대전도시공사_청년임대주택 현황_20240630'!A974,""ko"",""en"")"),"Gayang-dong 146-56 (Dawuri Housing, Youth Rental)")</f>
        <v>Gayang-dong 146-56 (Dawuri Housing, Youth Rental)</v>
      </c>
      <c r="B974" s="1" t="str">
        <f ca="1">IFERROR(__xludf.DUMMYFUNCTION("GOOGLETRANSLATE('대전도시공사_청년임대주택 현황_20240630'!B974,""ko"",""en"")"),"52")</f>
        <v>52</v>
      </c>
      <c r="C974" s="1" t="str">
        <f ca="1">IFERROR(__xludf.DUMMYFUNCTION("GOOGLETRANSLATE('대전도시공사_청년임대주택 현황_20240630'!C974,""ko"",""en"")"),"1")</f>
        <v>1</v>
      </c>
      <c r="D974" s="1" t="str">
        <f ca="1">IFERROR(__xludf.DUMMYFUNCTION("GOOGLETRANSLATE('대전도시공사_청년임대주택 현황_20240630'!D974,""ko"",""en"")"),"406")</f>
        <v>406</v>
      </c>
      <c r="E974" s="1" t="str">
        <f ca="1">IFERROR(__xludf.DUMMYFUNCTION("GOOGLETRANSLATE('대전도시공사_청년임대주택 현황_20240630'!E974,""ko"",""en"")"),"35.65")</f>
        <v>35.65</v>
      </c>
      <c r="F974" s="1" t="str">
        <f ca="1">IFERROR(__xludf.DUMMYFUNCTION("GOOGLETRANSLATE('대전도시공사_청년임대주택 현황_20240630'!F974,""ko"",""en"")"),"27.95")</f>
        <v>27.95</v>
      </c>
      <c r="G974" s="1" t="str">
        <f ca="1">IFERROR(__xludf.DUMMYFUNCTION("GOOGLETRANSLATE('대전도시공사_청년임대주택 현황_20240630'!G974,""ko"",""en"")"),"7.7")</f>
        <v>7.7</v>
      </c>
      <c r="H974" s="1" t="str">
        <f ca="1">IFERROR(__xludf.DUMMYFUNCTION("GOOGLETRANSLATE('대전도시공사_청년임대주택 현황_20240630'!H974,""ko"",""en"")"),"Beneficiary")</f>
        <v>Beneficiary</v>
      </c>
      <c r="I974" s="1" t="str">
        <f ca="1">IFERROR(__xludf.DUMMYFUNCTION("GOOGLETRANSLATE('대전도시공사_청년임대주택 현황_20240630'!I974,""ko"",""en"")"),"1000000")</f>
        <v>1000000</v>
      </c>
      <c r="J974" s="1" t="str">
        <f ca="1">IFERROR(__xludf.DUMMYFUNCTION("GOOGLETRANSLATE('대전도시공사_청년임대주택 현황_20240630'!J974,""ko"",""en"")"),"234600")</f>
        <v>234600</v>
      </c>
    </row>
    <row r="975" spans="1:10" ht="12.5" x14ac:dyDescent="0.25">
      <c r="A975" s="1" t="str">
        <f ca="1">IFERROR(__xludf.DUMMYFUNCTION("GOOGLETRANSLATE('대전도시공사_청년임대주택 현황_20240630'!A975,""ko"",""en"")"),"Gayang-dong 146-56 (Dawuri Housing, Youth Rental)")</f>
        <v>Gayang-dong 146-56 (Dawuri Housing, Youth Rental)</v>
      </c>
      <c r="B975" s="1" t="str">
        <f ca="1">IFERROR(__xludf.DUMMYFUNCTION("GOOGLETRANSLATE('대전도시공사_청년임대주택 현황_20240630'!B975,""ko"",""en"")"),"53")</f>
        <v>53</v>
      </c>
      <c r="C975" s="1" t="str">
        <f ca="1">IFERROR(__xludf.DUMMYFUNCTION("GOOGLETRANSLATE('대전도시공사_청년임대주택 현황_20240630'!C975,""ko"",""en"")"),"1")</f>
        <v>1</v>
      </c>
      <c r="D975" s="1" t="str">
        <f ca="1">IFERROR(__xludf.DUMMYFUNCTION("GOOGLETRANSLATE('대전도시공사_청년임대주택 현황_20240630'!D975,""ko"",""en"")"),"406")</f>
        <v>406</v>
      </c>
      <c r="E975" s="1" t="str">
        <f ca="1">IFERROR(__xludf.DUMMYFUNCTION("GOOGLETRANSLATE('대전도시공사_청년임대주택 현황_20240630'!E975,""ko"",""en"")"),"35.65")</f>
        <v>35.65</v>
      </c>
      <c r="F975" s="1" t="str">
        <f ca="1">IFERROR(__xludf.DUMMYFUNCTION("GOOGLETRANSLATE('대전도시공사_청년임대주택 현황_20240630'!F975,""ko"",""en"")"),"27.95")</f>
        <v>27.95</v>
      </c>
      <c r="G975" s="1" t="str">
        <f ca="1">IFERROR(__xludf.DUMMYFUNCTION("GOOGLETRANSLATE('대전도시공사_청년임대주택 현황_20240630'!G975,""ko"",""en"")"),"7.7")</f>
        <v>7.7</v>
      </c>
      <c r="H975" s="1" t="str">
        <f ca="1">IFERROR(__xludf.DUMMYFUNCTION("GOOGLETRANSLATE('대전도시공사_청년임대주택 현황_20240630'!H975,""ko"",""en"")"),"Youth Rental 2nd Place")</f>
        <v>Youth Rental 2nd Place</v>
      </c>
      <c r="I975" s="1" t="str">
        <f ca="1">IFERROR(__xludf.DUMMYFUNCTION("GOOGLETRANSLATE('대전도시공사_청년임대주택 현황_20240630'!I975,""ko"",""en"")"),"2000000")</f>
        <v>2000000</v>
      </c>
      <c r="J975" s="1" t="str">
        <f ca="1">IFERROR(__xludf.DUMMYFUNCTION("GOOGLETRANSLATE('대전도시공사_청년임대주택 현황_20240630'!J975,""ko"",""en"")"),"288800")</f>
        <v>288800</v>
      </c>
    </row>
    <row r="976" spans="1:10" ht="12.5" x14ac:dyDescent="0.25">
      <c r="A976" s="1" t="str">
        <f ca="1">IFERROR(__xludf.DUMMYFUNCTION("GOOGLETRANSLATE('대전도시공사_청년임대주택 현황_20240630'!A976,""ko"",""en"")"),"Gayang-dong 146-56 (Dawuri Housing, Youth Rental)")</f>
        <v>Gayang-dong 146-56 (Dawuri Housing, Youth Rental)</v>
      </c>
      <c r="B976" s="1" t="str">
        <f ca="1">IFERROR(__xludf.DUMMYFUNCTION("GOOGLETRANSLATE('대전도시공사_청년임대주택 현황_20240630'!B976,""ko"",""en"")"),"54")</f>
        <v>54</v>
      </c>
      <c r="C976" s="1" t="str">
        <f ca="1">IFERROR(__xludf.DUMMYFUNCTION("GOOGLETRANSLATE('대전도시공사_청년임대주택 현황_20240630'!C976,""ko"",""en"")"),"1")</f>
        <v>1</v>
      </c>
      <c r="D976" s="1" t="str">
        <f ca="1">IFERROR(__xludf.DUMMYFUNCTION("GOOGLETRANSLATE('대전도시공사_청년임대주택 현황_20240630'!D976,""ko"",""en"")"),"406")</f>
        <v>406</v>
      </c>
      <c r="E976" s="1" t="str">
        <f ca="1">IFERROR(__xludf.DUMMYFUNCTION("GOOGLETRANSLATE('대전도시공사_청년임대주택 현황_20240630'!E976,""ko"",""en"")"),"35.65")</f>
        <v>35.65</v>
      </c>
      <c r="F976" s="1" t="str">
        <f ca="1">IFERROR(__xludf.DUMMYFUNCTION("GOOGLETRANSLATE('대전도시공사_청년임대주택 현황_20240630'!F976,""ko"",""en"")"),"27.95")</f>
        <v>27.95</v>
      </c>
      <c r="G976" s="1" t="str">
        <f ca="1">IFERROR(__xludf.DUMMYFUNCTION("GOOGLETRANSLATE('대전도시공사_청년임대주택 현황_20240630'!G976,""ko"",""en"")"),"7.7")</f>
        <v>7.7</v>
      </c>
      <c r="H976" s="1" t="str">
        <f ca="1">IFERROR(__xludf.DUMMYFUNCTION("GOOGLETRANSLATE('대전도시공사_청년임대주택 현황_20240630'!H976,""ko"",""en"")"),"3rd place for youth rental")</f>
        <v>3rd place for youth rental</v>
      </c>
      <c r="I976" s="1" t="str">
        <f ca="1">IFERROR(__xludf.DUMMYFUNCTION("GOOGLETRANSLATE('대전도시공사_청년임대주택 현황_20240630'!I976,""ko"",""en"")"),"2000000")</f>
        <v>2000000</v>
      </c>
      <c r="J976" s="1" t="str">
        <f ca="1">IFERROR(__xludf.DUMMYFUNCTION("GOOGLETRANSLATE('대전도시공사_청년임대주택 현황_20240630'!J976,""ko"",""en"")"),"288800")</f>
        <v>288800</v>
      </c>
    </row>
    <row r="977" spans="1:10" ht="12.5" x14ac:dyDescent="0.25">
      <c r="A977" s="1" t="str">
        <f ca="1">IFERROR(__xludf.DUMMYFUNCTION("GOOGLETRANSLATE('대전도시공사_청년임대주택 현황_20240630'!A977,""ko"",""en"")"),"Gungdong-ro 71 (City Palace, Youth Rental)")</f>
        <v>Gungdong-ro 71 (City Palace, Youth Rental)</v>
      </c>
      <c r="B977" s="1" t="str">
        <f ca="1">IFERROR(__xludf.DUMMYFUNCTION("GOOGLETRANSLATE('대전도시공사_청년임대주택 현황_20240630'!B977,""ko"",""en"")"),"1")</f>
        <v>1</v>
      </c>
      <c r="C977" s="1" t="str">
        <f ca="1">IFERROR(__xludf.DUMMYFUNCTION("GOOGLETRANSLATE('대전도시공사_청년임대주택 현황_20240630'!C977,""ko"",""en"")"),"1")</f>
        <v>1</v>
      </c>
      <c r="D977" s="1" t="str">
        <f ca="1">IFERROR(__xludf.DUMMYFUNCTION("GOOGLETRANSLATE('대전도시공사_청년임대주택 현황_20240630'!D977,""ko"",""en"")"),"202")</f>
        <v>202</v>
      </c>
      <c r="E977" s="1" t="str">
        <f ca="1">IFERROR(__xludf.DUMMYFUNCTION("GOOGLETRANSLATE('대전도시공사_청년임대주택 현황_20240630'!E977,""ko"",""en"")"),"37.371")</f>
        <v>37.371</v>
      </c>
      <c r="F977" s="1" t="str">
        <f ca="1">IFERROR(__xludf.DUMMYFUNCTION("GOOGLETRANSLATE('대전도시공사_청년임대주택 현황_20240630'!F977,""ko"",""en"")"),"18.689")</f>
        <v>18.689</v>
      </c>
      <c r="G977" s="1" t="str">
        <f ca="1">IFERROR(__xludf.DUMMYFUNCTION("GOOGLETRANSLATE('대전도시공사_청년임대주택 현황_20240630'!G977,""ko"",""en"")"),"18.682")</f>
        <v>18.682</v>
      </c>
      <c r="H977" s="1" t="str">
        <f ca="1">IFERROR(__xludf.DUMMYFUNCTION("GOOGLETRANSLATE('대전도시공사_청년임대주택 현황_20240630'!H977,""ko"",""en"")"),"Beneficiary")</f>
        <v>Beneficiary</v>
      </c>
      <c r="I977" s="1" t="str">
        <f ca="1">IFERROR(__xludf.DUMMYFUNCTION("GOOGLETRANSLATE('대전도시공사_청년임대주택 현황_20240630'!I977,""ko"",""en"")"),"1000000")</f>
        <v>1000000</v>
      </c>
      <c r="J977" s="1" t="str">
        <f ca="1">IFERROR(__xludf.DUMMYFUNCTION("GOOGLETRANSLATE('대전도시공사_청년임대주택 현황_20240630'!J977,""ko"",""en"")"),"203900")</f>
        <v>203900</v>
      </c>
    </row>
    <row r="978" spans="1:10" ht="12.5" x14ac:dyDescent="0.25">
      <c r="A978" s="1" t="str">
        <f ca="1">IFERROR(__xludf.DUMMYFUNCTION("GOOGLETRANSLATE('대전도시공사_청년임대주택 현황_20240630'!A978,""ko"",""en"")"),"Gungdong-ro 71 (City Palace, Youth Rental)")</f>
        <v>Gungdong-ro 71 (City Palace, Youth Rental)</v>
      </c>
      <c r="B978" s="1" t="str">
        <f ca="1">IFERROR(__xludf.DUMMYFUNCTION("GOOGLETRANSLATE('대전도시공사_청년임대주택 현황_20240630'!B978,""ko"",""en"")"),"2")</f>
        <v>2</v>
      </c>
      <c r="C978" s="1" t="str">
        <f ca="1">IFERROR(__xludf.DUMMYFUNCTION("GOOGLETRANSLATE('대전도시공사_청년임대주택 현황_20240630'!C978,""ko"",""en"")"),"1")</f>
        <v>1</v>
      </c>
      <c r="D978" s="1" t="str">
        <f ca="1">IFERROR(__xludf.DUMMYFUNCTION("GOOGLETRANSLATE('대전도시공사_청년임대주택 현황_20240630'!D978,""ko"",""en"")"),"202")</f>
        <v>202</v>
      </c>
      <c r="E978" s="1" t="str">
        <f ca="1">IFERROR(__xludf.DUMMYFUNCTION("GOOGLETRANSLATE('대전도시공사_청년임대주택 현황_20240630'!E978,""ko"",""en"")"),"37.371")</f>
        <v>37.371</v>
      </c>
      <c r="F978" s="1" t="str">
        <f ca="1">IFERROR(__xludf.DUMMYFUNCTION("GOOGLETRANSLATE('대전도시공사_청년임대주택 현황_20240630'!F978,""ko"",""en"")"),"18.689")</f>
        <v>18.689</v>
      </c>
      <c r="G978" s="1" t="str">
        <f ca="1">IFERROR(__xludf.DUMMYFUNCTION("GOOGLETRANSLATE('대전도시공사_청년임대주택 현황_20240630'!G978,""ko"",""en"")"),"18.682")</f>
        <v>18.682</v>
      </c>
      <c r="H978" s="1" t="str">
        <f ca="1">IFERROR(__xludf.DUMMYFUNCTION("GOOGLETRANSLATE('대전도시공사_청년임대주택 현황_20240630'!H978,""ko"",""en"")"),"Youth Rental 2nd Place")</f>
        <v>Youth Rental 2nd Place</v>
      </c>
      <c r="I978" s="1" t="str">
        <f ca="1">IFERROR(__xludf.DUMMYFUNCTION("GOOGLETRANSLATE('대전도시공사_청년임대주택 현황_20240630'!I978,""ko"",""en"")"),"2000000")</f>
        <v>2000000</v>
      </c>
      <c r="J978" s="1" t="str">
        <f ca="1">IFERROR(__xludf.DUMMYFUNCTION("GOOGLETRANSLATE('대전도시공사_청년임대주택 현황_20240630'!J978,""ko"",""en"")"),"250800")</f>
        <v>250800</v>
      </c>
    </row>
    <row r="979" spans="1:10" ht="12.5" x14ac:dyDescent="0.25">
      <c r="A979" s="1" t="str">
        <f ca="1">IFERROR(__xludf.DUMMYFUNCTION("GOOGLETRANSLATE('대전도시공사_청년임대주택 현황_20240630'!A979,""ko"",""en"")"),"Gungdong-ro 71 (City Palace, Youth Rental)")</f>
        <v>Gungdong-ro 71 (City Palace, Youth Rental)</v>
      </c>
      <c r="B979" s="1" t="str">
        <f ca="1">IFERROR(__xludf.DUMMYFUNCTION("GOOGLETRANSLATE('대전도시공사_청년임대주택 현황_20240630'!B979,""ko"",""en"")"),"3")</f>
        <v>3</v>
      </c>
      <c r="C979" s="1" t="str">
        <f ca="1">IFERROR(__xludf.DUMMYFUNCTION("GOOGLETRANSLATE('대전도시공사_청년임대주택 현황_20240630'!C979,""ko"",""en"")"),"1")</f>
        <v>1</v>
      </c>
      <c r="D979" s="1" t="str">
        <f ca="1">IFERROR(__xludf.DUMMYFUNCTION("GOOGLETRANSLATE('대전도시공사_청년임대주택 현황_20240630'!D979,""ko"",""en"")"),"202")</f>
        <v>202</v>
      </c>
      <c r="E979" s="1" t="str">
        <f ca="1">IFERROR(__xludf.DUMMYFUNCTION("GOOGLETRANSLATE('대전도시공사_청년임대주택 현황_20240630'!E979,""ko"",""en"")"),"37.371")</f>
        <v>37.371</v>
      </c>
      <c r="F979" s="1" t="str">
        <f ca="1">IFERROR(__xludf.DUMMYFUNCTION("GOOGLETRANSLATE('대전도시공사_청년임대주택 현황_20240630'!F979,""ko"",""en"")"),"18.689")</f>
        <v>18.689</v>
      </c>
      <c r="G979" s="1" t="str">
        <f ca="1">IFERROR(__xludf.DUMMYFUNCTION("GOOGLETRANSLATE('대전도시공사_청년임대주택 현황_20240630'!G979,""ko"",""en"")"),"18.682")</f>
        <v>18.682</v>
      </c>
      <c r="H979" s="1" t="str">
        <f ca="1">IFERROR(__xludf.DUMMYFUNCTION("GOOGLETRANSLATE('대전도시공사_청년임대주택 현황_20240630'!H979,""ko"",""en"")"),"3rd place for youth rental")</f>
        <v>3rd place for youth rental</v>
      </c>
      <c r="I979" s="1" t="str">
        <f ca="1">IFERROR(__xludf.DUMMYFUNCTION("GOOGLETRANSLATE('대전도시공사_청년임대주택 현황_20240630'!I979,""ko"",""en"")"),"2000000")</f>
        <v>2000000</v>
      </c>
      <c r="J979" s="1" t="str">
        <f ca="1">IFERROR(__xludf.DUMMYFUNCTION("GOOGLETRANSLATE('대전도시공사_청년임대주택 현황_20240630'!J979,""ko"",""en"")"),"250800")</f>
        <v>250800</v>
      </c>
    </row>
    <row r="980" spans="1:10" ht="12.5" x14ac:dyDescent="0.25">
      <c r="A980" s="1" t="str">
        <f ca="1">IFERROR(__xludf.DUMMYFUNCTION("GOOGLETRANSLATE('대전도시공사_청년임대주택 현황_20240630'!A980,""ko"",""en"")"),"Gungdong-ro 71 (City Palace, Youth Rental)")</f>
        <v>Gungdong-ro 71 (City Palace, Youth Rental)</v>
      </c>
      <c r="B980" s="1" t="str">
        <f ca="1">IFERROR(__xludf.DUMMYFUNCTION("GOOGLETRANSLATE('대전도시공사_청년임대주택 현황_20240630'!B980,""ko"",""en"")"),"4")</f>
        <v>4</v>
      </c>
      <c r="C980" s="1" t="str">
        <f ca="1">IFERROR(__xludf.DUMMYFUNCTION("GOOGLETRANSLATE('대전도시공사_청년임대주택 현황_20240630'!C980,""ko"",""en"")"),"1")</f>
        <v>1</v>
      </c>
      <c r="D980" s="1" t="str">
        <f ca="1">IFERROR(__xludf.DUMMYFUNCTION("GOOGLETRANSLATE('대전도시공사_청년임대주택 현황_20240630'!D980,""ko"",""en"")"),"204")</f>
        <v>204</v>
      </c>
      <c r="E980" s="1" t="str">
        <f ca="1">IFERROR(__xludf.DUMMYFUNCTION("GOOGLETRANSLATE('대전도시공사_청년임대주택 현황_20240630'!E980,""ko"",""en"")"),"35.683")</f>
        <v>35.683</v>
      </c>
      <c r="F980" s="1" t="str">
        <f ca="1">IFERROR(__xludf.DUMMYFUNCTION("GOOGLETRANSLATE('대전도시공사_청년임대주택 현황_20240630'!F980,""ko"",""en"")"),"17.822")</f>
        <v>17.822</v>
      </c>
      <c r="G980" s="1" t="str">
        <f ca="1">IFERROR(__xludf.DUMMYFUNCTION("GOOGLETRANSLATE('대전도시공사_청년임대주택 현황_20240630'!G980,""ko"",""en"")"),"17.861")</f>
        <v>17.861</v>
      </c>
      <c r="H980" s="1" t="str">
        <f ca="1">IFERROR(__xludf.DUMMYFUNCTION("GOOGLETRANSLATE('대전도시공사_청년임대주택 현황_20240630'!H980,""ko"",""en"")"),"Beneficiary")</f>
        <v>Beneficiary</v>
      </c>
      <c r="I980" s="1" t="str">
        <f ca="1">IFERROR(__xludf.DUMMYFUNCTION("GOOGLETRANSLATE('대전도시공사_청년임대주택 현황_20240630'!I980,""ko"",""en"")"),"1000000")</f>
        <v>1000000</v>
      </c>
      <c r="J980" s="1" t="str">
        <f ca="1">IFERROR(__xludf.DUMMYFUNCTION("GOOGLETRANSLATE('대전도시공사_청년임대주택 현황_20240630'!J980,""ko"",""en"")"),"196500")</f>
        <v>196500</v>
      </c>
    </row>
    <row r="981" spans="1:10" ht="12.5" x14ac:dyDescent="0.25">
      <c r="A981" s="1" t="str">
        <f ca="1">IFERROR(__xludf.DUMMYFUNCTION("GOOGLETRANSLATE('대전도시공사_청년임대주택 현황_20240630'!A981,""ko"",""en"")"),"Gungdong-ro 71 (City Palace, Youth Rental)")</f>
        <v>Gungdong-ro 71 (City Palace, Youth Rental)</v>
      </c>
      <c r="B981" s="1" t="str">
        <f ca="1">IFERROR(__xludf.DUMMYFUNCTION("GOOGLETRANSLATE('대전도시공사_청년임대주택 현황_20240630'!B981,""ko"",""en"")"),"5")</f>
        <v>5</v>
      </c>
      <c r="C981" s="1" t="str">
        <f ca="1">IFERROR(__xludf.DUMMYFUNCTION("GOOGLETRANSLATE('대전도시공사_청년임대주택 현황_20240630'!C981,""ko"",""en"")"),"1")</f>
        <v>1</v>
      </c>
      <c r="D981" s="1" t="str">
        <f ca="1">IFERROR(__xludf.DUMMYFUNCTION("GOOGLETRANSLATE('대전도시공사_청년임대주택 현황_20240630'!D981,""ko"",""en"")"),"204")</f>
        <v>204</v>
      </c>
      <c r="E981" s="1" t="str">
        <f ca="1">IFERROR(__xludf.DUMMYFUNCTION("GOOGLETRANSLATE('대전도시공사_청년임대주택 현황_20240630'!E981,""ko"",""en"")"),"35.683")</f>
        <v>35.683</v>
      </c>
      <c r="F981" s="1" t="str">
        <f ca="1">IFERROR(__xludf.DUMMYFUNCTION("GOOGLETRANSLATE('대전도시공사_청년임대주택 현황_20240630'!F981,""ko"",""en"")"),"17.822")</f>
        <v>17.822</v>
      </c>
      <c r="G981" s="1" t="str">
        <f ca="1">IFERROR(__xludf.DUMMYFUNCTION("GOOGLETRANSLATE('대전도시공사_청년임대주택 현황_20240630'!G981,""ko"",""en"")"),"17.861")</f>
        <v>17.861</v>
      </c>
      <c r="H981" s="1" t="str">
        <f ca="1">IFERROR(__xludf.DUMMYFUNCTION("GOOGLETRANSLATE('대전도시공사_청년임대주택 현황_20240630'!H981,""ko"",""en"")"),"Youth Rental 2nd Place")</f>
        <v>Youth Rental 2nd Place</v>
      </c>
      <c r="I981" s="1" t="str">
        <f ca="1">IFERROR(__xludf.DUMMYFUNCTION("GOOGLETRANSLATE('대전도시공사_청년임대주택 현황_20240630'!I981,""ko"",""en"")"),"5000000")</f>
        <v>5000000</v>
      </c>
      <c r="J981" s="1" t="str">
        <f ca="1">IFERROR(__xludf.DUMMYFUNCTION("GOOGLETRANSLATE('대전도시공사_청년임대주택 현황_20240630'!J981,""ko"",""en"")"),"241500")</f>
        <v>241500</v>
      </c>
    </row>
    <row r="982" spans="1:10" ht="12.5" x14ac:dyDescent="0.25">
      <c r="A982" s="1" t="str">
        <f ca="1">IFERROR(__xludf.DUMMYFUNCTION("GOOGLETRANSLATE('대전도시공사_청년임대주택 현황_20240630'!A982,""ko"",""en"")"),"Gungdong-ro 71 (City Palace, Youth Rental)")</f>
        <v>Gungdong-ro 71 (City Palace, Youth Rental)</v>
      </c>
      <c r="B982" s="1" t="str">
        <f ca="1">IFERROR(__xludf.DUMMYFUNCTION("GOOGLETRANSLATE('대전도시공사_청년임대주택 현황_20240630'!B982,""ko"",""en"")"),"6")</f>
        <v>6</v>
      </c>
      <c r="C982" s="1" t="str">
        <f ca="1">IFERROR(__xludf.DUMMYFUNCTION("GOOGLETRANSLATE('대전도시공사_청년임대주택 현황_20240630'!C982,""ko"",""en"")"),"1")</f>
        <v>1</v>
      </c>
      <c r="D982" s="1" t="str">
        <f ca="1">IFERROR(__xludf.DUMMYFUNCTION("GOOGLETRANSLATE('대전도시공사_청년임대주택 현황_20240630'!D982,""ko"",""en"")"),"204")</f>
        <v>204</v>
      </c>
      <c r="E982" s="1" t="str">
        <f ca="1">IFERROR(__xludf.DUMMYFUNCTION("GOOGLETRANSLATE('대전도시공사_청년임대주택 현황_20240630'!E982,""ko"",""en"")"),"35.683")</f>
        <v>35.683</v>
      </c>
      <c r="F982" s="1" t="str">
        <f ca="1">IFERROR(__xludf.DUMMYFUNCTION("GOOGLETRANSLATE('대전도시공사_청년임대주택 현황_20240630'!F982,""ko"",""en"")"),"17.822")</f>
        <v>17.822</v>
      </c>
      <c r="G982" s="1" t="str">
        <f ca="1">IFERROR(__xludf.DUMMYFUNCTION("GOOGLETRANSLATE('대전도시공사_청년임대주택 현황_20240630'!G982,""ko"",""en"")"),"17.861")</f>
        <v>17.861</v>
      </c>
      <c r="H982" s="1" t="str">
        <f ca="1">IFERROR(__xludf.DUMMYFUNCTION("GOOGLETRANSLATE('대전도시공사_청년임대주택 현황_20240630'!H982,""ko"",""en"")"),"3rd place for youth rental")</f>
        <v>3rd place for youth rental</v>
      </c>
      <c r="I982" s="1" t="str">
        <f ca="1">IFERROR(__xludf.DUMMYFUNCTION("GOOGLETRANSLATE('대전도시공사_청년임대주택 현황_20240630'!I982,""ko"",""en"")"),"5000000")</f>
        <v>5000000</v>
      </c>
      <c r="J982" s="1" t="str">
        <f ca="1">IFERROR(__xludf.DUMMYFUNCTION("GOOGLETRANSLATE('대전도시공사_청년임대주택 현황_20240630'!J982,""ko"",""en"")"),"241500")</f>
        <v>241500</v>
      </c>
    </row>
    <row r="983" spans="1:10" ht="12.5" x14ac:dyDescent="0.25">
      <c r="A983" s="1" t="str">
        <f ca="1">IFERROR(__xludf.DUMMYFUNCTION("GOOGLETRANSLATE('대전도시공사_청년임대주택 현황_20240630'!A983,""ko"",""en"")"),"Gungdong-ro 71 (City Palace, Youth Rental)")</f>
        <v>Gungdong-ro 71 (City Palace, Youth Rental)</v>
      </c>
      <c r="B983" s="1" t="str">
        <f ca="1">IFERROR(__xludf.DUMMYFUNCTION("GOOGLETRANSLATE('대전도시공사_청년임대주택 현황_20240630'!B983,""ko"",""en"")"),"7")</f>
        <v>7</v>
      </c>
      <c r="C983" s="1" t="str">
        <f ca="1">IFERROR(__xludf.DUMMYFUNCTION("GOOGLETRANSLATE('대전도시공사_청년임대주택 현황_20240630'!C983,""ko"",""en"")"),"1")</f>
        <v>1</v>
      </c>
      <c r="D983" s="1" t="str">
        <f ca="1">IFERROR(__xludf.DUMMYFUNCTION("GOOGLETRANSLATE('대전도시공사_청년임대주택 현황_20240630'!D983,""ko"",""en"")"),"205")</f>
        <v>205</v>
      </c>
      <c r="E983" s="1" t="str">
        <f ca="1">IFERROR(__xludf.DUMMYFUNCTION("GOOGLETRANSLATE('대전도시공사_청년임대주택 현황_20240630'!E983,""ko"",""en"")"),"35.683")</f>
        <v>35.683</v>
      </c>
      <c r="F983" s="1" t="str">
        <f ca="1">IFERROR(__xludf.DUMMYFUNCTION("GOOGLETRANSLATE('대전도시공사_청년임대주택 현황_20240630'!F983,""ko"",""en"")"),"17.822")</f>
        <v>17.822</v>
      </c>
      <c r="G983" s="1" t="str">
        <f ca="1">IFERROR(__xludf.DUMMYFUNCTION("GOOGLETRANSLATE('대전도시공사_청년임대주택 현황_20240630'!G983,""ko"",""en"")"),"17.861")</f>
        <v>17.861</v>
      </c>
      <c r="H983" s="1" t="str">
        <f ca="1">IFERROR(__xludf.DUMMYFUNCTION("GOOGLETRANSLATE('대전도시공사_청년임대주택 현황_20240630'!H983,""ko"",""en"")"),"Beneficiary")</f>
        <v>Beneficiary</v>
      </c>
      <c r="I983" s="1" t="str">
        <f ca="1">IFERROR(__xludf.DUMMYFUNCTION("GOOGLETRANSLATE('대전도시공사_청년임대주택 현황_20240630'!I983,""ko"",""en"")"),"1000000")</f>
        <v>1000000</v>
      </c>
      <c r="J983" s="1" t="str">
        <f ca="1">IFERROR(__xludf.DUMMYFUNCTION("GOOGLETRANSLATE('대전도시공사_청년임대주택 현황_20240630'!J983,""ko"",""en"")"),"196500")</f>
        <v>196500</v>
      </c>
    </row>
    <row r="984" spans="1:10" ht="12.5" x14ac:dyDescent="0.25">
      <c r="A984" s="1" t="str">
        <f ca="1">IFERROR(__xludf.DUMMYFUNCTION("GOOGLETRANSLATE('대전도시공사_청년임대주택 현황_20240630'!A984,""ko"",""en"")"),"Gungdong-ro 71 (City Palace, Youth Rental)")</f>
        <v>Gungdong-ro 71 (City Palace, Youth Rental)</v>
      </c>
      <c r="B984" s="1" t="str">
        <f ca="1">IFERROR(__xludf.DUMMYFUNCTION("GOOGLETRANSLATE('대전도시공사_청년임대주택 현황_20240630'!B984,""ko"",""en"")"),"8")</f>
        <v>8</v>
      </c>
      <c r="C984" s="1" t="str">
        <f ca="1">IFERROR(__xludf.DUMMYFUNCTION("GOOGLETRANSLATE('대전도시공사_청년임대주택 현황_20240630'!C984,""ko"",""en"")"),"1")</f>
        <v>1</v>
      </c>
      <c r="D984" s="1" t="str">
        <f ca="1">IFERROR(__xludf.DUMMYFUNCTION("GOOGLETRANSLATE('대전도시공사_청년임대주택 현황_20240630'!D984,""ko"",""en"")"),"205")</f>
        <v>205</v>
      </c>
      <c r="E984" s="1" t="str">
        <f ca="1">IFERROR(__xludf.DUMMYFUNCTION("GOOGLETRANSLATE('대전도시공사_청년임대주택 현황_20240630'!E984,""ko"",""en"")"),"35.683")</f>
        <v>35.683</v>
      </c>
      <c r="F984" s="1" t="str">
        <f ca="1">IFERROR(__xludf.DUMMYFUNCTION("GOOGLETRANSLATE('대전도시공사_청년임대주택 현황_20240630'!F984,""ko"",""en"")"),"17.822")</f>
        <v>17.822</v>
      </c>
      <c r="G984" s="1" t="str">
        <f ca="1">IFERROR(__xludf.DUMMYFUNCTION("GOOGLETRANSLATE('대전도시공사_청년임대주택 현황_20240630'!G984,""ko"",""en"")"),"17.861")</f>
        <v>17.861</v>
      </c>
      <c r="H984" s="1" t="str">
        <f ca="1">IFERROR(__xludf.DUMMYFUNCTION("GOOGLETRANSLATE('대전도시공사_청년임대주택 현황_20240630'!H984,""ko"",""en"")"),"Youth Rental 2nd Place")</f>
        <v>Youth Rental 2nd Place</v>
      </c>
      <c r="I984" s="1" t="str">
        <f ca="1">IFERROR(__xludf.DUMMYFUNCTION("GOOGLETRANSLATE('대전도시공사_청년임대주택 현황_20240630'!I984,""ko"",""en"")"),"2000000")</f>
        <v>2000000</v>
      </c>
      <c r="J984" s="1" t="str">
        <f ca="1">IFERROR(__xludf.DUMMYFUNCTION("GOOGLETRANSLATE('대전도시공사_청년임대주택 현황_20240630'!J984,""ko"",""en"")"),"241500")</f>
        <v>241500</v>
      </c>
    </row>
    <row r="985" spans="1:10" ht="12.5" x14ac:dyDescent="0.25">
      <c r="A985" s="1" t="str">
        <f ca="1">IFERROR(__xludf.DUMMYFUNCTION("GOOGLETRANSLATE('대전도시공사_청년임대주택 현황_20240630'!A985,""ko"",""en"")"),"Gungdong-ro 71 (City Palace, Youth Rental)")</f>
        <v>Gungdong-ro 71 (City Palace, Youth Rental)</v>
      </c>
      <c r="B985" s="1" t="str">
        <f ca="1">IFERROR(__xludf.DUMMYFUNCTION("GOOGLETRANSLATE('대전도시공사_청년임대주택 현황_20240630'!B985,""ko"",""en"")"),"9")</f>
        <v>9</v>
      </c>
      <c r="C985" s="1" t="str">
        <f ca="1">IFERROR(__xludf.DUMMYFUNCTION("GOOGLETRANSLATE('대전도시공사_청년임대주택 현황_20240630'!C985,""ko"",""en"")"),"1")</f>
        <v>1</v>
      </c>
      <c r="D985" s="1" t="str">
        <f ca="1">IFERROR(__xludf.DUMMYFUNCTION("GOOGLETRANSLATE('대전도시공사_청년임대주택 현황_20240630'!D985,""ko"",""en"")"),"205")</f>
        <v>205</v>
      </c>
      <c r="E985" s="1" t="str">
        <f ca="1">IFERROR(__xludf.DUMMYFUNCTION("GOOGLETRANSLATE('대전도시공사_청년임대주택 현황_20240630'!E985,""ko"",""en"")"),"35.683")</f>
        <v>35.683</v>
      </c>
      <c r="F985" s="1" t="str">
        <f ca="1">IFERROR(__xludf.DUMMYFUNCTION("GOOGLETRANSLATE('대전도시공사_청년임대주택 현황_20240630'!F985,""ko"",""en"")"),"17.822")</f>
        <v>17.822</v>
      </c>
      <c r="G985" s="1" t="str">
        <f ca="1">IFERROR(__xludf.DUMMYFUNCTION("GOOGLETRANSLATE('대전도시공사_청년임대주택 현황_20240630'!G985,""ko"",""en"")"),"17.861")</f>
        <v>17.861</v>
      </c>
      <c r="H985" s="1" t="str">
        <f ca="1">IFERROR(__xludf.DUMMYFUNCTION("GOOGLETRANSLATE('대전도시공사_청년임대주택 현황_20240630'!H985,""ko"",""en"")"),"3rd place for youth rental")</f>
        <v>3rd place for youth rental</v>
      </c>
      <c r="I985" s="1" t="str">
        <f ca="1">IFERROR(__xludf.DUMMYFUNCTION("GOOGLETRANSLATE('대전도시공사_청년임대주택 현황_20240630'!I985,""ko"",""en"")"),"2000000")</f>
        <v>2000000</v>
      </c>
      <c r="J985" s="1" t="str">
        <f ca="1">IFERROR(__xludf.DUMMYFUNCTION("GOOGLETRANSLATE('대전도시공사_청년임대주택 현황_20240630'!J985,""ko"",""en"")"),"241500")</f>
        <v>241500</v>
      </c>
    </row>
    <row r="986" spans="1:10" ht="12.5" x14ac:dyDescent="0.25">
      <c r="A986" s="1" t="str">
        <f ca="1">IFERROR(__xludf.DUMMYFUNCTION("GOOGLETRANSLATE('대전도시공사_청년임대주택 현황_20240630'!A986,""ko"",""en"")"),"Gungdong-ro 71 (City Palace, Youth Rental)")</f>
        <v>Gungdong-ro 71 (City Palace, Youth Rental)</v>
      </c>
      <c r="B986" s="1" t="str">
        <f ca="1">IFERROR(__xludf.DUMMYFUNCTION("GOOGLETRANSLATE('대전도시공사_청년임대주택 현황_20240630'!B986,""ko"",""en"")"),"10")</f>
        <v>10</v>
      </c>
      <c r="C986" s="1" t="str">
        <f ca="1">IFERROR(__xludf.DUMMYFUNCTION("GOOGLETRANSLATE('대전도시공사_청년임대주택 현황_20240630'!C986,""ko"",""en"")"),"1")</f>
        <v>1</v>
      </c>
      <c r="D986" s="1" t="str">
        <f ca="1">IFERROR(__xludf.DUMMYFUNCTION("GOOGLETRANSLATE('대전도시공사_청년임대주택 현황_20240630'!D986,""ko"",""en"")"),"206")</f>
        <v>206</v>
      </c>
      <c r="E986" s="1" t="str">
        <f ca="1">IFERROR(__xludf.DUMMYFUNCTION("GOOGLETRANSLATE('대전도시공사_청년임대주택 현황_20240630'!E986,""ko"",""en"")"),"35.683")</f>
        <v>35.683</v>
      </c>
      <c r="F986" s="1" t="str">
        <f ca="1">IFERROR(__xludf.DUMMYFUNCTION("GOOGLETRANSLATE('대전도시공사_청년임대주택 현황_20240630'!F986,""ko"",""en"")"),"17.822")</f>
        <v>17.822</v>
      </c>
      <c r="G986" s="1" t="str">
        <f ca="1">IFERROR(__xludf.DUMMYFUNCTION("GOOGLETRANSLATE('대전도시공사_청년임대주택 현황_20240630'!G986,""ko"",""en"")"),"17.861")</f>
        <v>17.861</v>
      </c>
      <c r="H986" s="1" t="str">
        <f ca="1">IFERROR(__xludf.DUMMYFUNCTION("GOOGLETRANSLATE('대전도시공사_청년임대주택 현황_20240630'!H986,""ko"",""en"")"),"Beneficiary")</f>
        <v>Beneficiary</v>
      </c>
      <c r="I986" s="1" t="str">
        <f ca="1">IFERROR(__xludf.DUMMYFUNCTION("GOOGLETRANSLATE('대전도시공사_청년임대주택 현황_20240630'!I986,""ko"",""en"")"),"1000000")</f>
        <v>1000000</v>
      </c>
      <c r="J986" s="1" t="str">
        <f ca="1">IFERROR(__xludf.DUMMYFUNCTION("GOOGLETRANSLATE('대전도시공사_청년임대주택 현황_20240630'!J986,""ko"",""en"")"),"196500")</f>
        <v>196500</v>
      </c>
    </row>
    <row r="987" spans="1:10" ht="12.5" x14ac:dyDescent="0.25">
      <c r="A987" s="1" t="str">
        <f ca="1">IFERROR(__xludf.DUMMYFUNCTION("GOOGLETRANSLATE('대전도시공사_청년임대주택 현황_20240630'!A987,""ko"",""en"")"),"Gungdong-ro 71 (City Palace, Youth Rental)")</f>
        <v>Gungdong-ro 71 (City Palace, Youth Rental)</v>
      </c>
      <c r="B987" s="1" t="str">
        <f ca="1">IFERROR(__xludf.DUMMYFUNCTION("GOOGLETRANSLATE('대전도시공사_청년임대주택 현황_20240630'!B987,""ko"",""en"")"),"11")</f>
        <v>11</v>
      </c>
      <c r="C987" s="1" t="str">
        <f ca="1">IFERROR(__xludf.DUMMYFUNCTION("GOOGLETRANSLATE('대전도시공사_청년임대주택 현황_20240630'!C987,""ko"",""en"")"),"1")</f>
        <v>1</v>
      </c>
      <c r="D987" s="1" t="str">
        <f ca="1">IFERROR(__xludf.DUMMYFUNCTION("GOOGLETRANSLATE('대전도시공사_청년임대주택 현황_20240630'!D987,""ko"",""en"")"),"206")</f>
        <v>206</v>
      </c>
      <c r="E987" s="1" t="str">
        <f ca="1">IFERROR(__xludf.DUMMYFUNCTION("GOOGLETRANSLATE('대전도시공사_청년임대주택 현황_20240630'!E987,""ko"",""en"")"),"35.683")</f>
        <v>35.683</v>
      </c>
      <c r="F987" s="1" t="str">
        <f ca="1">IFERROR(__xludf.DUMMYFUNCTION("GOOGLETRANSLATE('대전도시공사_청년임대주택 현황_20240630'!F987,""ko"",""en"")"),"17.822")</f>
        <v>17.822</v>
      </c>
      <c r="G987" s="1" t="str">
        <f ca="1">IFERROR(__xludf.DUMMYFUNCTION("GOOGLETRANSLATE('대전도시공사_청년임대주택 현황_20240630'!G987,""ko"",""en"")"),"17.861")</f>
        <v>17.861</v>
      </c>
      <c r="H987" s="1" t="str">
        <f ca="1">IFERROR(__xludf.DUMMYFUNCTION("GOOGLETRANSLATE('대전도시공사_청년임대주택 현황_20240630'!H987,""ko"",""en"")"),"Youth Rental 2nd Place")</f>
        <v>Youth Rental 2nd Place</v>
      </c>
      <c r="I987" s="1" t="str">
        <f ca="1">IFERROR(__xludf.DUMMYFUNCTION("GOOGLETRANSLATE('대전도시공사_청년임대주택 현황_20240630'!I987,""ko"",""en"")"),"2000000")</f>
        <v>2000000</v>
      </c>
      <c r="J987" s="1" t="str">
        <f ca="1">IFERROR(__xludf.DUMMYFUNCTION("GOOGLETRANSLATE('대전도시공사_청년임대주택 현황_20240630'!J987,""ko"",""en"")"),"241500")</f>
        <v>241500</v>
      </c>
    </row>
    <row r="988" spans="1:10" ht="12.5" x14ac:dyDescent="0.25">
      <c r="A988" s="1" t="str">
        <f ca="1">IFERROR(__xludf.DUMMYFUNCTION("GOOGLETRANSLATE('대전도시공사_청년임대주택 현황_20240630'!A988,""ko"",""en"")"),"Gungdong-ro 71 (City Palace, Youth Rental)")</f>
        <v>Gungdong-ro 71 (City Palace, Youth Rental)</v>
      </c>
      <c r="B988" s="1" t="str">
        <f ca="1">IFERROR(__xludf.DUMMYFUNCTION("GOOGLETRANSLATE('대전도시공사_청년임대주택 현황_20240630'!B988,""ko"",""en"")"),"12")</f>
        <v>12</v>
      </c>
      <c r="C988" s="1" t="str">
        <f ca="1">IFERROR(__xludf.DUMMYFUNCTION("GOOGLETRANSLATE('대전도시공사_청년임대주택 현황_20240630'!C988,""ko"",""en"")"),"1")</f>
        <v>1</v>
      </c>
      <c r="D988" s="1" t="str">
        <f ca="1">IFERROR(__xludf.DUMMYFUNCTION("GOOGLETRANSLATE('대전도시공사_청년임대주택 현황_20240630'!D988,""ko"",""en"")"),"206")</f>
        <v>206</v>
      </c>
      <c r="E988" s="1" t="str">
        <f ca="1">IFERROR(__xludf.DUMMYFUNCTION("GOOGLETRANSLATE('대전도시공사_청년임대주택 현황_20240630'!E988,""ko"",""en"")"),"35.683")</f>
        <v>35.683</v>
      </c>
      <c r="F988" s="1" t="str">
        <f ca="1">IFERROR(__xludf.DUMMYFUNCTION("GOOGLETRANSLATE('대전도시공사_청년임대주택 현황_20240630'!F988,""ko"",""en"")"),"17.822")</f>
        <v>17.822</v>
      </c>
      <c r="G988" s="1" t="str">
        <f ca="1">IFERROR(__xludf.DUMMYFUNCTION("GOOGLETRANSLATE('대전도시공사_청년임대주택 현황_20240630'!G988,""ko"",""en"")"),"17.861")</f>
        <v>17.861</v>
      </c>
      <c r="H988" s="1" t="str">
        <f ca="1">IFERROR(__xludf.DUMMYFUNCTION("GOOGLETRANSLATE('대전도시공사_청년임대주택 현황_20240630'!H988,""ko"",""en"")"),"3rd place for youth rental")</f>
        <v>3rd place for youth rental</v>
      </c>
      <c r="I988" s="1" t="str">
        <f ca="1">IFERROR(__xludf.DUMMYFUNCTION("GOOGLETRANSLATE('대전도시공사_청년임대주택 현황_20240630'!I988,""ko"",""en"")"),"2000000")</f>
        <v>2000000</v>
      </c>
      <c r="J988" s="1" t="str">
        <f ca="1">IFERROR(__xludf.DUMMYFUNCTION("GOOGLETRANSLATE('대전도시공사_청년임대주택 현황_20240630'!J988,""ko"",""en"")"),"241500")</f>
        <v>241500</v>
      </c>
    </row>
    <row r="989" spans="1:10" ht="12.5" x14ac:dyDescent="0.25">
      <c r="A989" s="1" t="str">
        <f ca="1">IFERROR(__xludf.DUMMYFUNCTION("GOOGLETRANSLATE('대전도시공사_청년임대주택 현황_20240630'!A989,""ko"",""en"")"),"Gungdong-ro 71 (City Palace, Youth Rental)")</f>
        <v>Gungdong-ro 71 (City Palace, Youth Rental)</v>
      </c>
      <c r="B989" s="1" t="str">
        <f ca="1">IFERROR(__xludf.DUMMYFUNCTION("GOOGLETRANSLATE('대전도시공사_청년임대주택 현황_20240630'!B989,""ko"",""en"")"),"13")</f>
        <v>13</v>
      </c>
      <c r="C989" s="1" t="str">
        <f ca="1">IFERROR(__xludf.DUMMYFUNCTION("GOOGLETRANSLATE('대전도시공사_청년임대주택 현황_20240630'!C989,""ko"",""en"")"),"1")</f>
        <v>1</v>
      </c>
      <c r="D989" s="1" t="str">
        <f ca="1">IFERROR(__xludf.DUMMYFUNCTION("GOOGLETRANSLATE('대전도시공사_청년임대주택 현황_20240630'!D989,""ko"",""en"")"),"207")</f>
        <v>207</v>
      </c>
      <c r="E989" s="1" t="str">
        <f ca="1">IFERROR(__xludf.DUMMYFUNCTION("GOOGLETRANSLATE('대전도시공사_청년임대주택 현황_20240630'!E989,""ko"",""en"")"),"35.683")</f>
        <v>35.683</v>
      </c>
      <c r="F989" s="1" t="str">
        <f ca="1">IFERROR(__xludf.DUMMYFUNCTION("GOOGLETRANSLATE('대전도시공사_청년임대주택 현황_20240630'!F989,""ko"",""en"")"),"17.822")</f>
        <v>17.822</v>
      </c>
      <c r="G989" s="1" t="str">
        <f ca="1">IFERROR(__xludf.DUMMYFUNCTION("GOOGLETRANSLATE('대전도시공사_청년임대주택 현황_20240630'!G989,""ko"",""en"")"),"17.861")</f>
        <v>17.861</v>
      </c>
      <c r="H989" s="1" t="str">
        <f ca="1">IFERROR(__xludf.DUMMYFUNCTION("GOOGLETRANSLATE('대전도시공사_청년임대주택 현황_20240630'!H989,""ko"",""en"")"),"Beneficiary")</f>
        <v>Beneficiary</v>
      </c>
      <c r="I989" s="1" t="str">
        <f ca="1">IFERROR(__xludf.DUMMYFUNCTION("GOOGLETRANSLATE('대전도시공사_청년임대주택 현황_20240630'!I989,""ko"",""en"")"),"1000000")</f>
        <v>1000000</v>
      </c>
      <c r="J989" s="1" t="str">
        <f ca="1">IFERROR(__xludf.DUMMYFUNCTION("GOOGLETRANSLATE('대전도시공사_청년임대주택 현황_20240630'!J989,""ko"",""en"")"),"196500")</f>
        <v>196500</v>
      </c>
    </row>
    <row r="990" spans="1:10" ht="12.5" x14ac:dyDescent="0.25">
      <c r="A990" s="1" t="str">
        <f ca="1">IFERROR(__xludf.DUMMYFUNCTION("GOOGLETRANSLATE('대전도시공사_청년임대주택 현황_20240630'!A990,""ko"",""en"")"),"Gungdong-ro 71 (City Palace, Youth Rental)")</f>
        <v>Gungdong-ro 71 (City Palace, Youth Rental)</v>
      </c>
      <c r="B990" s="1" t="str">
        <f ca="1">IFERROR(__xludf.DUMMYFUNCTION("GOOGLETRANSLATE('대전도시공사_청년임대주택 현황_20240630'!B990,""ko"",""en"")"),"14")</f>
        <v>14</v>
      </c>
      <c r="C990" s="1" t="str">
        <f ca="1">IFERROR(__xludf.DUMMYFUNCTION("GOOGLETRANSLATE('대전도시공사_청년임대주택 현황_20240630'!C990,""ko"",""en"")"),"1")</f>
        <v>1</v>
      </c>
      <c r="D990" s="1" t="str">
        <f ca="1">IFERROR(__xludf.DUMMYFUNCTION("GOOGLETRANSLATE('대전도시공사_청년임대주택 현황_20240630'!D990,""ko"",""en"")"),"207")</f>
        <v>207</v>
      </c>
      <c r="E990" s="1" t="str">
        <f ca="1">IFERROR(__xludf.DUMMYFUNCTION("GOOGLETRANSLATE('대전도시공사_청년임대주택 현황_20240630'!E990,""ko"",""en"")"),"35.683")</f>
        <v>35.683</v>
      </c>
      <c r="F990" s="1" t="str">
        <f ca="1">IFERROR(__xludf.DUMMYFUNCTION("GOOGLETRANSLATE('대전도시공사_청년임대주택 현황_20240630'!F990,""ko"",""en"")"),"17.822")</f>
        <v>17.822</v>
      </c>
      <c r="G990" s="1" t="str">
        <f ca="1">IFERROR(__xludf.DUMMYFUNCTION("GOOGLETRANSLATE('대전도시공사_청년임대주택 현황_20240630'!G990,""ko"",""en"")"),"17.861")</f>
        <v>17.861</v>
      </c>
      <c r="H990" s="1" t="str">
        <f ca="1">IFERROR(__xludf.DUMMYFUNCTION("GOOGLETRANSLATE('대전도시공사_청년임대주택 현황_20240630'!H990,""ko"",""en"")"),"Youth Rental 2nd Place")</f>
        <v>Youth Rental 2nd Place</v>
      </c>
      <c r="I990" s="1" t="str">
        <f ca="1">IFERROR(__xludf.DUMMYFUNCTION("GOOGLETRANSLATE('대전도시공사_청년임대주택 현황_20240630'!I990,""ko"",""en"")"),"2000000")</f>
        <v>2000000</v>
      </c>
      <c r="J990" s="1" t="str">
        <f ca="1">IFERROR(__xludf.DUMMYFUNCTION("GOOGLETRANSLATE('대전도시공사_청년임대주택 현황_20240630'!J990,""ko"",""en"")"),"241500")</f>
        <v>241500</v>
      </c>
    </row>
    <row r="991" spans="1:10" ht="12.5" x14ac:dyDescent="0.25">
      <c r="A991" s="1" t="str">
        <f ca="1">IFERROR(__xludf.DUMMYFUNCTION("GOOGLETRANSLATE('대전도시공사_청년임대주택 현황_20240630'!A991,""ko"",""en"")"),"Gungdong-ro 71 (City Palace, Youth Rental)")</f>
        <v>Gungdong-ro 71 (City Palace, Youth Rental)</v>
      </c>
      <c r="B991" s="1" t="str">
        <f ca="1">IFERROR(__xludf.DUMMYFUNCTION("GOOGLETRANSLATE('대전도시공사_청년임대주택 현황_20240630'!B991,""ko"",""en"")"),"15")</f>
        <v>15</v>
      </c>
      <c r="C991" s="1" t="str">
        <f ca="1">IFERROR(__xludf.DUMMYFUNCTION("GOOGLETRANSLATE('대전도시공사_청년임대주택 현황_20240630'!C991,""ko"",""en"")"),"1")</f>
        <v>1</v>
      </c>
      <c r="D991" s="1" t="str">
        <f ca="1">IFERROR(__xludf.DUMMYFUNCTION("GOOGLETRANSLATE('대전도시공사_청년임대주택 현황_20240630'!D991,""ko"",""en"")"),"207")</f>
        <v>207</v>
      </c>
      <c r="E991" s="1" t="str">
        <f ca="1">IFERROR(__xludf.DUMMYFUNCTION("GOOGLETRANSLATE('대전도시공사_청년임대주택 현황_20240630'!E991,""ko"",""en"")"),"35.683")</f>
        <v>35.683</v>
      </c>
      <c r="F991" s="1" t="str">
        <f ca="1">IFERROR(__xludf.DUMMYFUNCTION("GOOGLETRANSLATE('대전도시공사_청년임대주택 현황_20240630'!F991,""ko"",""en"")"),"17.822")</f>
        <v>17.822</v>
      </c>
      <c r="G991" s="1" t="str">
        <f ca="1">IFERROR(__xludf.DUMMYFUNCTION("GOOGLETRANSLATE('대전도시공사_청년임대주택 현황_20240630'!G991,""ko"",""en"")"),"17.861")</f>
        <v>17.861</v>
      </c>
      <c r="H991" s="1" t="str">
        <f ca="1">IFERROR(__xludf.DUMMYFUNCTION("GOOGLETRANSLATE('대전도시공사_청년임대주택 현황_20240630'!H991,""ko"",""en"")"),"3rd place for youth rental")</f>
        <v>3rd place for youth rental</v>
      </c>
      <c r="I991" s="1" t="str">
        <f ca="1">IFERROR(__xludf.DUMMYFUNCTION("GOOGLETRANSLATE('대전도시공사_청년임대주택 현황_20240630'!I991,""ko"",""en"")"),"2000000")</f>
        <v>2000000</v>
      </c>
      <c r="J991" s="1" t="str">
        <f ca="1">IFERROR(__xludf.DUMMYFUNCTION("GOOGLETRANSLATE('대전도시공사_청년임대주택 현황_20240630'!J991,""ko"",""en"")"),"241500")</f>
        <v>241500</v>
      </c>
    </row>
    <row r="992" spans="1:10" ht="12.5" x14ac:dyDescent="0.25">
      <c r="A992" s="1" t="str">
        <f ca="1">IFERROR(__xludf.DUMMYFUNCTION("GOOGLETRANSLATE('대전도시공사_청년임대주택 현황_20240630'!A992,""ko"",""en"")"),"Gungdong-ro 71 (City Palace, Youth Rental)")</f>
        <v>Gungdong-ro 71 (City Palace, Youth Rental)</v>
      </c>
      <c r="B992" s="1" t="str">
        <f ca="1">IFERROR(__xludf.DUMMYFUNCTION("GOOGLETRANSLATE('대전도시공사_청년임대주택 현황_20240630'!B992,""ko"",""en"")"),"16")</f>
        <v>16</v>
      </c>
      <c r="C992" s="1" t="str">
        <f ca="1">IFERROR(__xludf.DUMMYFUNCTION("GOOGLETRANSLATE('대전도시공사_청년임대주택 현황_20240630'!C992,""ko"",""en"")"),"1")</f>
        <v>1</v>
      </c>
      <c r="D992" s="1" t="str">
        <f ca="1">IFERROR(__xludf.DUMMYFUNCTION("GOOGLETRANSLATE('대전도시공사_청년임대주택 현황_20240630'!D992,""ko"",""en"")"),"208")</f>
        <v>208</v>
      </c>
      <c r="E992" s="1" t="str">
        <f ca="1">IFERROR(__xludf.DUMMYFUNCTION("GOOGLETRANSLATE('대전도시공사_청년임대주택 현황_20240630'!E992,""ko"",""en"")"),"35.683")</f>
        <v>35.683</v>
      </c>
      <c r="F992" s="1" t="str">
        <f ca="1">IFERROR(__xludf.DUMMYFUNCTION("GOOGLETRANSLATE('대전도시공사_청년임대주택 현황_20240630'!F992,""ko"",""en"")"),"17.822")</f>
        <v>17.822</v>
      </c>
      <c r="G992" s="1" t="str">
        <f ca="1">IFERROR(__xludf.DUMMYFUNCTION("GOOGLETRANSLATE('대전도시공사_청년임대주택 현황_20240630'!G992,""ko"",""en"")"),"17.861")</f>
        <v>17.861</v>
      </c>
      <c r="H992" s="1" t="str">
        <f ca="1">IFERROR(__xludf.DUMMYFUNCTION("GOOGLETRANSLATE('대전도시공사_청년임대주택 현황_20240630'!H992,""ko"",""en"")"),"Beneficiary")</f>
        <v>Beneficiary</v>
      </c>
      <c r="I992" s="1" t="str">
        <f ca="1">IFERROR(__xludf.DUMMYFUNCTION("GOOGLETRANSLATE('대전도시공사_청년임대주택 현황_20240630'!I992,""ko"",""en"")"),"1000000")</f>
        <v>1000000</v>
      </c>
      <c r="J992" s="1" t="str">
        <f ca="1">IFERROR(__xludf.DUMMYFUNCTION("GOOGLETRANSLATE('대전도시공사_청년임대주택 현황_20240630'!J992,""ko"",""en"")"),"196500")</f>
        <v>196500</v>
      </c>
    </row>
    <row r="993" spans="1:10" ht="12.5" x14ac:dyDescent="0.25">
      <c r="A993" s="1" t="str">
        <f ca="1">IFERROR(__xludf.DUMMYFUNCTION("GOOGLETRANSLATE('대전도시공사_청년임대주택 현황_20240630'!A993,""ko"",""en"")"),"Gungdong-ro 71 (City Palace, Youth Rental)")</f>
        <v>Gungdong-ro 71 (City Palace, Youth Rental)</v>
      </c>
      <c r="B993" s="1" t="str">
        <f ca="1">IFERROR(__xludf.DUMMYFUNCTION("GOOGLETRANSLATE('대전도시공사_청년임대주택 현황_20240630'!B993,""ko"",""en"")"),"17")</f>
        <v>17</v>
      </c>
      <c r="C993" s="1" t="str">
        <f ca="1">IFERROR(__xludf.DUMMYFUNCTION("GOOGLETRANSLATE('대전도시공사_청년임대주택 현황_20240630'!C993,""ko"",""en"")"),"1")</f>
        <v>1</v>
      </c>
      <c r="D993" s="1" t="str">
        <f ca="1">IFERROR(__xludf.DUMMYFUNCTION("GOOGLETRANSLATE('대전도시공사_청년임대주택 현황_20240630'!D993,""ko"",""en"")"),"208")</f>
        <v>208</v>
      </c>
      <c r="E993" s="1" t="str">
        <f ca="1">IFERROR(__xludf.DUMMYFUNCTION("GOOGLETRANSLATE('대전도시공사_청년임대주택 현황_20240630'!E993,""ko"",""en"")"),"35.683")</f>
        <v>35.683</v>
      </c>
      <c r="F993" s="1" t="str">
        <f ca="1">IFERROR(__xludf.DUMMYFUNCTION("GOOGLETRANSLATE('대전도시공사_청년임대주택 현황_20240630'!F993,""ko"",""en"")"),"17.822")</f>
        <v>17.822</v>
      </c>
      <c r="G993" s="1" t="str">
        <f ca="1">IFERROR(__xludf.DUMMYFUNCTION("GOOGLETRANSLATE('대전도시공사_청년임대주택 현황_20240630'!G993,""ko"",""en"")"),"17.861")</f>
        <v>17.861</v>
      </c>
      <c r="H993" s="1" t="str">
        <f ca="1">IFERROR(__xludf.DUMMYFUNCTION("GOOGLETRANSLATE('대전도시공사_청년임대주택 현황_20240630'!H993,""ko"",""en"")"),"Youth Rental 2nd Place")</f>
        <v>Youth Rental 2nd Place</v>
      </c>
      <c r="I993" s="1" t="str">
        <f ca="1">IFERROR(__xludf.DUMMYFUNCTION("GOOGLETRANSLATE('대전도시공사_청년임대주택 현황_20240630'!I993,""ko"",""en"")"),"2000000")</f>
        <v>2000000</v>
      </c>
      <c r="J993" s="1" t="str">
        <f ca="1">IFERROR(__xludf.DUMMYFUNCTION("GOOGLETRANSLATE('대전도시공사_청년임대주택 현황_20240630'!J993,""ko"",""en"")"),"241500")</f>
        <v>241500</v>
      </c>
    </row>
    <row r="994" spans="1:10" ht="12.5" x14ac:dyDescent="0.25">
      <c r="A994" s="1" t="str">
        <f ca="1">IFERROR(__xludf.DUMMYFUNCTION("GOOGLETRANSLATE('대전도시공사_청년임대주택 현황_20240630'!A994,""ko"",""en"")"),"Gungdong-ro 71 (City Palace, Youth Rental)")</f>
        <v>Gungdong-ro 71 (City Palace, Youth Rental)</v>
      </c>
      <c r="B994" s="1" t="str">
        <f ca="1">IFERROR(__xludf.DUMMYFUNCTION("GOOGLETRANSLATE('대전도시공사_청년임대주택 현황_20240630'!B994,""ko"",""en"")"),"18")</f>
        <v>18</v>
      </c>
      <c r="C994" s="1" t="str">
        <f ca="1">IFERROR(__xludf.DUMMYFUNCTION("GOOGLETRANSLATE('대전도시공사_청년임대주택 현황_20240630'!C994,""ko"",""en"")"),"1")</f>
        <v>1</v>
      </c>
      <c r="D994" s="1" t="str">
        <f ca="1">IFERROR(__xludf.DUMMYFUNCTION("GOOGLETRANSLATE('대전도시공사_청년임대주택 현황_20240630'!D994,""ko"",""en"")"),"208")</f>
        <v>208</v>
      </c>
      <c r="E994" s="1" t="str">
        <f ca="1">IFERROR(__xludf.DUMMYFUNCTION("GOOGLETRANSLATE('대전도시공사_청년임대주택 현황_20240630'!E994,""ko"",""en"")"),"35.683")</f>
        <v>35.683</v>
      </c>
      <c r="F994" s="1" t="str">
        <f ca="1">IFERROR(__xludf.DUMMYFUNCTION("GOOGLETRANSLATE('대전도시공사_청년임대주택 현황_20240630'!F994,""ko"",""en"")"),"17.822")</f>
        <v>17.822</v>
      </c>
      <c r="G994" s="1" t="str">
        <f ca="1">IFERROR(__xludf.DUMMYFUNCTION("GOOGLETRANSLATE('대전도시공사_청년임대주택 현황_20240630'!G994,""ko"",""en"")"),"17.861")</f>
        <v>17.861</v>
      </c>
      <c r="H994" s="1" t="str">
        <f ca="1">IFERROR(__xludf.DUMMYFUNCTION("GOOGLETRANSLATE('대전도시공사_청년임대주택 현황_20240630'!H994,""ko"",""en"")"),"3rd place for youth rental")</f>
        <v>3rd place for youth rental</v>
      </c>
      <c r="I994" s="1" t="str">
        <f ca="1">IFERROR(__xludf.DUMMYFUNCTION("GOOGLETRANSLATE('대전도시공사_청년임대주택 현황_20240630'!I994,""ko"",""en"")"),"2000000")</f>
        <v>2000000</v>
      </c>
      <c r="J994" s="1" t="str">
        <f ca="1">IFERROR(__xludf.DUMMYFUNCTION("GOOGLETRANSLATE('대전도시공사_청년임대주택 현황_20240630'!J994,""ko"",""en"")"),"241500")</f>
        <v>241500</v>
      </c>
    </row>
    <row r="995" spans="1:10" ht="12.5" x14ac:dyDescent="0.25">
      <c r="A995" s="1" t="str">
        <f ca="1">IFERROR(__xludf.DUMMYFUNCTION("GOOGLETRANSLATE('대전도시공사_청년임대주택 현황_20240630'!A995,""ko"",""en"")"),"Gungdong-ro 71 (City Palace, Youth Rental)")</f>
        <v>Gungdong-ro 71 (City Palace, Youth Rental)</v>
      </c>
      <c r="B995" s="1" t="str">
        <f ca="1">IFERROR(__xludf.DUMMYFUNCTION("GOOGLETRANSLATE('대전도시공사_청년임대주택 현황_20240630'!B995,""ko"",""en"")"),"19")</f>
        <v>19</v>
      </c>
      <c r="C995" s="1" t="str">
        <f ca="1">IFERROR(__xludf.DUMMYFUNCTION("GOOGLETRANSLATE('대전도시공사_청년임대주택 현황_20240630'!C995,""ko"",""en"")"),"1")</f>
        <v>1</v>
      </c>
      <c r="D995" s="1" t="str">
        <f ca="1">IFERROR(__xludf.DUMMYFUNCTION("GOOGLETRANSLATE('대전도시공사_청년임대주택 현황_20240630'!D995,""ko"",""en"")"),"209")</f>
        <v>209</v>
      </c>
      <c r="E995" s="1" t="str">
        <f ca="1">IFERROR(__xludf.DUMMYFUNCTION("GOOGLETRANSLATE('대전도시공사_청년임대주택 현황_20240630'!E995,""ko"",""en"")"),"35.683")</f>
        <v>35.683</v>
      </c>
      <c r="F995" s="1" t="str">
        <f ca="1">IFERROR(__xludf.DUMMYFUNCTION("GOOGLETRANSLATE('대전도시공사_청년임대주택 현황_20240630'!F995,""ko"",""en"")"),"17.822")</f>
        <v>17.822</v>
      </c>
      <c r="G995" s="1" t="str">
        <f ca="1">IFERROR(__xludf.DUMMYFUNCTION("GOOGLETRANSLATE('대전도시공사_청년임대주택 현황_20240630'!G995,""ko"",""en"")"),"17.861")</f>
        <v>17.861</v>
      </c>
      <c r="H995" s="1" t="str">
        <f ca="1">IFERROR(__xludf.DUMMYFUNCTION("GOOGLETRANSLATE('대전도시공사_청년임대주택 현황_20240630'!H995,""ko"",""en"")"),"Beneficiary")</f>
        <v>Beneficiary</v>
      </c>
      <c r="I995" s="1" t="str">
        <f ca="1">IFERROR(__xludf.DUMMYFUNCTION("GOOGLETRANSLATE('대전도시공사_청년임대주택 현황_20240630'!I995,""ko"",""en"")"),"1000000")</f>
        <v>1000000</v>
      </c>
      <c r="J995" s="1" t="str">
        <f ca="1">IFERROR(__xludf.DUMMYFUNCTION("GOOGLETRANSLATE('대전도시공사_청년임대주택 현황_20240630'!J995,""ko"",""en"")"),"196500")</f>
        <v>196500</v>
      </c>
    </row>
    <row r="996" spans="1:10" ht="12.5" x14ac:dyDescent="0.25">
      <c r="A996" s="1" t="str">
        <f ca="1">IFERROR(__xludf.DUMMYFUNCTION("GOOGLETRANSLATE('대전도시공사_청년임대주택 현황_20240630'!A996,""ko"",""en"")"),"Gungdong-ro 71 (City Palace, Youth Rental)")</f>
        <v>Gungdong-ro 71 (City Palace, Youth Rental)</v>
      </c>
      <c r="B996" s="1" t="str">
        <f ca="1">IFERROR(__xludf.DUMMYFUNCTION("GOOGLETRANSLATE('대전도시공사_청년임대주택 현황_20240630'!B996,""ko"",""en"")"),"20")</f>
        <v>20</v>
      </c>
      <c r="C996" s="1" t="str">
        <f ca="1">IFERROR(__xludf.DUMMYFUNCTION("GOOGLETRANSLATE('대전도시공사_청년임대주택 현황_20240630'!C996,""ko"",""en"")"),"1")</f>
        <v>1</v>
      </c>
      <c r="D996" s="1" t="str">
        <f ca="1">IFERROR(__xludf.DUMMYFUNCTION("GOOGLETRANSLATE('대전도시공사_청년임대주택 현황_20240630'!D996,""ko"",""en"")"),"209")</f>
        <v>209</v>
      </c>
      <c r="E996" s="1" t="str">
        <f ca="1">IFERROR(__xludf.DUMMYFUNCTION("GOOGLETRANSLATE('대전도시공사_청년임대주택 현황_20240630'!E996,""ko"",""en"")"),"35.683")</f>
        <v>35.683</v>
      </c>
      <c r="F996" s="1" t="str">
        <f ca="1">IFERROR(__xludf.DUMMYFUNCTION("GOOGLETRANSLATE('대전도시공사_청년임대주택 현황_20240630'!F996,""ko"",""en"")"),"17.822")</f>
        <v>17.822</v>
      </c>
      <c r="G996" s="1" t="str">
        <f ca="1">IFERROR(__xludf.DUMMYFUNCTION("GOOGLETRANSLATE('대전도시공사_청년임대주택 현황_20240630'!G996,""ko"",""en"")"),"17.861")</f>
        <v>17.861</v>
      </c>
      <c r="H996" s="1" t="str">
        <f ca="1">IFERROR(__xludf.DUMMYFUNCTION("GOOGLETRANSLATE('대전도시공사_청년임대주택 현황_20240630'!H996,""ko"",""en"")"),"Youth Rental 2nd Place")</f>
        <v>Youth Rental 2nd Place</v>
      </c>
      <c r="I996" s="1" t="str">
        <f ca="1">IFERROR(__xludf.DUMMYFUNCTION("GOOGLETRANSLATE('대전도시공사_청년임대주택 현황_20240630'!I996,""ko"",""en"")"),"2000000")</f>
        <v>2000000</v>
      </c>
      <c r="J996" s="1" t="str">
        <f ca="1">IFERROR(__xludf.DUMMYFUNCTION("GOOGLETRANSLATE('대전도시공사_청년임대주택 현황_20240630'!J996,""ko"",""en"")"),"241500")</f>
        <v>241500</v>
      </c>
    </row>
    <row r="997" spans="1:10" ht="12.5" x14ac:dyDescent="0.25">
      <c r="A997" s="1" t="str">
        <f ca="1">IFERROR(__xludf.DUMMYFUNCTION("GOOGLETRANSLATE('대전도시공사_청년임대주택 현황_20240630'!A997,""ko"",""en"")"),"Gungdong-ro 71 (City Palace, Youth Rental)")</f>
        <v>Gungdong-ro 71 (City Palace, Youth Rental)</v>
      </c>
      <c r="B997" s="1" t="str">
        <f ca="1">IFERROR(__xludf.DUMMYFUNCTION("GOOGLETRANSLATE('대전도시공사_청년임대주택 현황_20240630'!B997,""ko"",""en"")"),"21")</f>
        <v>21</v>
      </c>
      <c r="C997" s="1" t="str">
        <f ca="1">IFERROR(__xludf.DUMMYFUNCTION("GOOGLETRANSLATE('대전도시공사_청년임대주택 현황_20240630'!C997,""ko"",""en"")"),"1")</f>
        <v>1</v>
      </c>
      <c r="D997" s="1" t="str">
        <f ca="1">IFERROR(__xludf.DUMMYFUNCTION("GOOGLETRANSLATE('대전도시공사_청년임대주택 현황_20240630'!D997,""ko"",""en"")"),"209")</f>
        <v>209</v>
      </c>
      <c r="E997" s="1" t="str">
        <f ca="1">IFERROR(__xludf.DUMMYFUNCTION("GOOGLETRANSLATE('대전도시공사_청년임대주택 현황_20240630'!E997,""ko"",""en"")"),"35.683")</f>
        <v>35.683</v>
      </c>
      <c r="F997" s="1" t="str">
        <f ca="1">IFERROR(__xludf.DUMMYFUNCTION("GOOGLETRANSLATE('대전도시공사_청년임대주택 현황_20240630'!F997,""ko"",""en"")"),"17.822")</f>
        <v>17.822</v>
      </c>
      <c r="G997" s="1" t="str">
        <f ca="1">IFERROR(__xludf.DUMMYFUNCTION("GOOGLETRANSLATE('대전도시공사_청년임대주택 현황_20240630'!G997,""ko"",""en"")"),"17.861")</f>
        <v>17.861</v>
      </c>
      <c r="H997" s="1" t="str">
        <f ca="1">IFERROR(__xludf.DUMMYFUNCTION("GOOGLETRANSLATE('대전도시공사_청년임대주택 현황_20240630'!H997,""ko"",""en"")"),"3rd place for youth rental")</f>
        <v>3rd place for youth rental</v>
      </c>
      <c r="I997" s="1" t="str">
        <f ca="1">IFERROR(__xludf.DUMMYFUNCTION("GOOGLETRANSLATE('대전도시공사_청년임대주택 현황_20240630'!I997,""ko"",""en"")"),"2000000")</f>
        <v>2000000</v>
      </c>
      <c r="J997" s="1" t="str">
        <f ca="1">IFERROR(__xludf.DUMMYFUNCTION("GOOGLETRANSLATE('대전도시공사_청년임대주택 현황_20240630'!J997,""ko"",""en"")"),"241500")</f>
        <v>241500</v>
      </c>
    </row>
    <row r="998" spans="1:10" ht="12.5" x14ac:dyDescent="0.25">
      <c r="A998" s="1" t="str">
        <f ca="1">IFERROR(__xludf.DUMMYFUNCTION("GOOGLETRANSLATE('대전도시공사_청년임대주택 현황_20240630'!A998,""ko"",""en"")"),"Gungdong-ro 71 (City Palace, Youth Rental)")</f>
        <v>Gungdong-ro 71 (City Palace, Youth Rental)</v>
      </c>
      <c r="B998" s="1" t="str">
        <f ca="1">IFERROR(__xludf.DUMMYFUNCTION("GOOGLETRANSLATE('대전도시공사_청년임대주택 현황_20240630'!B998,""ko"",""en"")"),"22")</f>
        <v>22</v>
      </c>
      <c r="C998" s="1" t="str">
        <f ca="1">IFERROR(__xludf.DUMMYFUNCTION("GOOGLETRANSLATE('대전도시공사_청년임대주택 현황_20240630'!C998,""ko"",""en"")"),"1")</f>
        <v>1</v>
      </c>
      <c r="D998" s="1" t="str">
        <f ca="1">IFERROR(__xludf.DUMMYFUNCTION("GOOGLETRANSLATE('대전도시공사_청년임대주택 현황_20240630'!D998,""ko"",""en"")"),"210")</f>
        <v>210</v>
      </c>
      <c r="E998" s="1" t="str">
        <f ca="1">IFERROR(__xludf.DUMMYFUNCTION("GOOGLETRANSLATE('대전도시공사_청년임대주택 현황_20240630'!E998,""ko"",""en"")"),"35.683")</f>
        <v>35.683</v>
      </c>
      <c r="F998" s="1" t="str">
        <f ca="1">IFERROR(__xludf.DUMMYFUNCTION("GOOGLETRANSLATE('대전도시공사_청년임대주택 현황_20240630'!F998,""ko"",""en"")"),"17.822")</f>
        <v>17.822</v>
      </c>
      <c r="G998" s="1" t="str">
        <f ca="1">IFERROR(__xludf.DUMMYFUNCTION("GOOGLETRANSLATE('대전도시공사_청년임대주택 현황_20240630'!G998,""ko"",""en"")"),"17.861")</f>
        <v>17.861</v>
      </c>
      <c r="H998" s="1" t="str">
        <f ca="1">IFERROR(__xludf.DUMMYFUNCTION("GOOGLETRANSLATE('대전도시공사_청년임대주택 현황_20240630'!H998,""ko"",""en"")"),"Beneficiary")</f>
        <v>Beneficiary</v>
      </c>
      <c r="I998" s="1" t="str">
        <f ca="1">IFERROR(__xludf.DUMMYFUNCTION("GOOGLETRANSLATE('대전도시공사_청년임대주택 현황_20240630'!I998,""ko"",""en"")"),"1000000")</f>
        <v>1000000</v>
      </c>
      <c r="J998" s="1" t="str">
        <f ca="1">IFERROR(__xludf.DUMMYFUNCTION("GOOGLETRANSLATE('대전도시공사_청년임대주택 현황_20240630'!J998,""ko"",""en"")"),"196500")</f>
        <v>196500</v>
      </c>
    </row>
    <row r="999" spans="1:10" ht="12.5" x14ac:dyDescent="0.25">
      <c r="A999" s="1" t="str">
        <f ca="1">IFERROR(__xludf.DUMMYFUNCTION("GOOGLETRANSLATE('대전도시공사_청년임대주택 현황_20240630'!A999,""ko"",""en"")"),"Gungdong-ro 71 (City Palace, Youth Rental)")</f>
        <v>Gungdong-ro 71 (City Palace, Youth Rental)</v>
      </c>
      <c r="B999" s="1" t="str">
        <f ca="1">IFERROR(__xludf.DUMMYFUNCTION("GOOGLETRANSLATE('대전도시공사_청년임대주택 현황_20240630'!B999,""ko"",""en"")"),"23")</f>
        <v>23</v>
      </c>
      <c r="C999" s="1" t="str">
        <f ca="1">IFERROR(__xludf.DUMMYFUNCTION("GOOGLETRANSLATE('대전도시공사_청년임대주택 현황_20240630'!C999,""ko"",""en"")"),"1")</f>
        <v>1</v>
      </c>
      <c r="D999" s="1" t="str">
        <f ca="1">IFERROR(__xludf.DUMMYFUNCTION("GOOGLETRANSLATE('대전도시공사_청년임대주택 현황_20240630'!D999,""ko"",""en"")"),"210")</f>
        <v>210</v>
      </c>
      <c r="E999" s="1" t="str">
        <f ca="1">IFERROR(__xludf.DUMMYFUNCTION("GOOGLETRANSLATE('대전도시공사_청년임대주택 현황_20240630'!E999,""ko"",""en"")"),"35.683")</f>
        <v>35.683</v>
      </c>
      <c r="F999" s="1" t="str">
        <f ca="1">IFERROR(__xludf.DUMMYFUNCTION("GOOGLETRANSLATE('대전도시공사_청년임대주택 현황_20240630'!F999,""ko"",""en"")"),"17.822")</f>
        <v>17.822</v>
      </c>
      <c r="G999" s="1" t="str">
        <f ca="1">IFERROR(__xludf.DUMMYFUNCTION("GOOGLETRANSLATE('대전도시공사_청년임대주택 현황_20240630'!G999,""ko"",""en"")"),"17.861")</f>
        <v>17.861</v>
      </c>
      <c r="H999" s="1" t="str">
        <f ca="1">IFERROR(__xludf.DUMMYFUNCTION("GOOGLETRANSLATE('대전도시공사_청년임대주택 현황_20240630'!H999,""ko"",""en"")"),"Youth Rental 2nd Place")</f>
        <v>Youth Rental 2nd Place</v>
      </c>
      <c r="I999" s="1" t="str">
        <f ca="1">IFERROR(__xludf.DUMMYFUNCTION("GOOGLETRANSLATE('대전도시공사_청년임대주택 현황_20240630'!I999,""ko"",""en"")"),"2000000")</f>
        <v>2000000</v>
      </c>
      <c r="J999" s="1" t="str">
        <f ca="1">IFERROR(__xludf.DUMMYFUNCTION("GOOGLETRANSLATE('대전도시공사_청년임대주택 현황_20240630'!J999,""ko"",""en"")"),"241500")</f>
        <v>241500</v>
      </c>
    </row>
    <row r="1000" spans="1:10" ht="12.5" x14ac:dyDescent="0.25">
      <c r="A1000" s="1" t="str">
        <f ca="1">IFERROR(__xludf.DUMMYFUNCTION("GOOGLETRANSLATE('대전도시공사_청년임대주택 현황_20240630'!A1000,""ko"",""en"")"),"Gungdong-ro 71 (City Palace, Youth Rental)")</f>
        <v>Gungdong-ro 71 (City Palace, Youth Rental)</v>
      </c>
      <c r="B1000" s="1" t="str">
        <f ca="1">IFERROR(__xludf.DUMMYFUNCTION("GOOGLETRANSLATE('대전도시공사_청년임대주택 현황_20240630'!B1000,""ko"",""en"")"),"24")</f>
        <v>24</v>
      </c>
      <c r="C1000" s="1" t="str">
        <f ca="1">IFERROR(__xludf.DUMMYFUNCTION("GOOGLETRANSLATE('대전도시공사_청년임대주택 현황_20240630'!C1000,""ko"",""en"")"),"1")</f>
        <v>1</v>
      </c>
      <c r="D1000" s="1" t="str">
        <f ca="1">IFERROR(__xludf.DUMMYFUNCTION("GOOGLETRANSLATE('대전도시공사_청년임대주택 현황_20240630'!D1000,""ko"",""en"")"),"210")</f>
        <v>210</v>
      </c>
      <c r="E1000" s="1" t="str">
        <f ca="1">IFERROR(__xludf.DUMMYFUNCTION("GOOGLETRANSLATE('대전도시공사_청년임대주택 현황_20240630'!E1000,""ko"",""en"")"),"35.683")</f>
        <v>35.683</v>
      </c>
      <c r="F1000" s="1" t="str">
        <f ca="1">IFERROR(__xludf.DUMMYFUNCTION("GOOGLETRANSLATE('대전도시공사_청년임대주택 현황_20240630'!F1000,""ko"",""en"")"),"17.822")</f>
        <v>17.822</v>
      </c>
      <c r="G1000" s="1" t="str">
        <f ca="1">IFERROR(__xludf.DUMMYFUNCTION("GOOGLETRANSLATE('대전도시공사_청년임대주택 현황_20240630'!G1000,""ko"",""en"")"),"17.861")</f>
        <v>17.861</v>
      </c>
      <c r="H1000" s="1" t="str">
        <f ca="1">IFERROR(__xludf.DUMMYFUNCTION("GOOGLETRANSLATE('대전도시공사_청년임대주택 현황_20240630'!H1000,""ko"",""en"")"),"3rd place for youth rental")</f>
        <v>3rd place for youth rental</v>
      </c>
      <c r="I1000" s="1" t="str">
        <f ca="1">IFERROR(__xludf.DUMMYFUNCTION("GOOGLETRANSLATE('대전도시공사_청년임대주택 현황_20240630'!I1000,""ko"",""en"")"),"2000000")</f>
        <v>2000000</v>
      </c>
      <c r="J1000" s="1" t="str">
        <f ca="1">IFERROR(__xludf.DUMMYFUNCTION("GOOGLETRANSLATE('대전도시공사_청년임대주택 현황_20240630'!J1000,""ko"",""en"")"),"241500")</f>
        <v>241500</v>
      </c>
    </row>
    <row r="1001" spans="1:10" ht="12.5" x14ac:dyDescent="0.25">
      <c r="A1001" s="1" t="str">
        <f ca="1">IFERROR(__xludf.DUMMYFUNCTION("GOOGLETRANSLATE('대전도시공사_청년임대주택 현황_20240630'!A1001,""ko"",""en"")"),"Gungdong-ro 71 (City Palace, Youth Rental)")</f>
        <v>Gungdong-ro 71 (City Palace, Youth Rental)</v>
      </c>
      <c r="B1001" s="1" t="str">
        <f ca="1">IFERROR(__xludf.DUMMYFUNCTION("GOOGLETRANSLATE('대전도시공사_청년임대주택 현황_20240630'!B1001,""ko"",""en"")"),"25")</f>
        <v>25</v>
      </c>
      <c r="C1001" s="1" t="str">
        <f ca="1">IFERROR(__xludf.DUMMYFUNCTION("GOOGLETRANSLATE('대전도시공사_청년임대주택 현황_20240630'!C1001,""ko"",""en"")"),"1")</f>
        <v>1</v>
      </c>
      <c r="D1001" s="1" t="str">
        <f ca="1">IFERROR(__xludf.DUMMYFUNCTION("GOOGLETRANSLATE('대전도시공사_청년임대주택 현황_20240630'!D1001,""ko"",""en"")"),"211")</f>
        <v>211</v>
      </c>
      <c r="E1001" s="1" t="str">
        <f ca="1">IFERROR(__xludf.DUMMYFUNCTION("GOOGLETRANSLATE('대전도시공사_청년임대주택 현황_20240630'!E1001,""ko"",""en"")"),"35.683")</f>
        <v>35.683</v>
      </c>
      <c r="F1001" s="1" t="str">
        <f ca="1">IFERROR(__xludf.DUMMYFUNCTION("GOOGLETRANSLATE('대전도시공사_청년임대주택 현황_20240630'!F1001,""ko"",""en"")"),"17.822")</f>
        <v>17.822</v>
      </c>
      <c r="G1001" s="1" t="str">
        <f ca="1">IFERROR(__xludf.DUMMYFUNCTION("GOOGLETRANSLATE('대전도시공사_청년임대주택 현황_20240630'!G1001,""ko"",""en"")"),"17.861")</f>
        <v>17.861</v>
      </c>
      <c r="H1001" s="1" t="str">
        <f ca="1">IFERROR(__xludf.DUMMYFUNCTION("GOOGLETRANSLATE('대전도시공사_청년임대주택 현황_20240630'!H1001,""ko"",""en"")"),"Beneficiary")</f>
        <v>Beneficiary</v>
      </c>
      <c r="I1001" s="1" t="str">
        <f ca="1">IFERROR(__xludf.DUMMYFUNCTION("GOOGLETRANSLATE('대전도시공사_청년임대주택 현황_20240630'!I1001,""ko"",""en"")"),"1000000")</f>
        <v>1000000</v>
      </c>
      <c r="J1001" s="1" t="str">
        <f ca="1">IFERROR(__xludf.DUMMYFUNCTION("GOOGLETRANSLATE('대전도시공사_청년임대주택 현황_20240630'!J1001,""ko"",""en"")"),"196500")</f>
        <v>196500</v>
      </c>
    </row>
    <row r="1002" spans="1:10" ht="12.5" x14ac:dyDescent="0.25">
      <c r="A1002" s="1" t="str">
        <f ca="1">IFERROR(__xludf.DUMMYFUNCTION("GOOGLETRANSLATE('대전도시공사_청년임대주택 현황_20240630'!A1002,""ko"",""en"")"),"Gungdong-ro 71 (City Palace, Youth Rental)")</f>
        <v>Gungdong-ro 71 (City Palace, Youth Rental)</v>
      </c>
      <c r="B1002" s="1" t="str">
        <f ca="1">IFERROR(__xludf.DUMMYFUNCTION("GOOGLETRANSLATE('대전도시공사_청년임대주택 현황_20240630'!B1002,""ko"",""en"")"),"26")</f>
        <v>26</v>
      </c>
      <c r="C1002" s="1" t="str">
        <f ca="1">IFERROR(__xludf.DUMMYFUNCTION("GOOGLETRANSLATE('대전도시공사_청년임대주택 현황_20240630'!C1002,""ko"",""en"")"),"1")</f>
        <v>1</v>
      </c>
      <c r="D1002" s="1" t="str">
        <f ca="1">IFERROR(__xludf.DUMMYFUNCTION("GOOGLETRANSLATE('대전도시공사_청년임대주택 현황_20240630'!D1002,""ko"",""en"")"),"211")</f>
        <v>211</v>
      </c>
      <c r="E1002" s="1" t="str">
        <f ca="1">IFERROR(__xludf.DUMMYFUNCTION("GOOGLETRANSLATE('대전도시공사_청년임대주택 현황_20240630'!E1002,""ko"",""en"")"),"35.683")</f>
        <v>35.683</v>
      </c>
      <c r="F1002" s="1" t="str">
        <f ca="1">IFERROR(__xludf.DUMMYFUNCTION("GOOGLETRANSLATE('대전도시공사_청년임대주택 현황_20240630'!F1002,""ko"",""en"")"),"17.822")</f>
        <v>17.822</v>
      </c>
      <c r="G1002" s="1" t="str">
        <f ca="1">IFERROR(__xludf.DUMMYFUNCTION("GOOGLETRANSLATE('대전도시공사_청년임대주택 현황_20240630'!G1002,""ko"",""en"")"),"17.861")</f>
        <v>17.861</v>
      </c>
      <c r="H1002" s="1" t="str">
        <f ca="1">IFERROR(__xludf.DUMMYFUNCTION("GOOGLETRANSLATE('대전도시공사_청년임대주택 현황_20240630'!H1002,""ko"",""en"")"),"Youth Rental 2nd Place")</f>
        <v>Youth Rental 2nd Place</v>
      </c>
      <c r="I1002" s="1" t="str">
        <f ca="1">IFERROR(__xludf.DUMMYFUNCTION("GOOGLETRANSLATE('대전도시공사_청년임대주택 현황_20240630'!I1002,""ko"",""en"")"),"2000000")</f>
        <v>2000000</v>
      </c>
      <c r="J1002" s="1" t="str">
        <f ca="1">IFERROR(__xludf.DUMMYFUNCTION("GOOGLETRANSLATE('대전도시공사_청년임대주택 현황_20240630'!J1002,""ko"",""en"")"),"241500")</f>
        <v>241500</v>
      </c>
    </row>
    <row r="1003" spans="1:10" ht="12.5" x14ac:dyDescent="0.25">
      <c r="A1003" s="1" t="str">
        <f ca="1">IFERROR(__xludf.DUMMYFUNCTION("GOOGLETRANSLATE('대전도시공사_청년임대주택 현황_20240630'!A1003,""ko"",""en"")"),"Gungdong-ro 71 (City Palace, Youth Rental)")</f>
        <v>Gungdong-ro 71 (City Palace, Youth Rental)</v>
      </c>
      <c r="B1003" s="1" t="str">
        <f ca="1">IFERROR(__xludf.DUMMYFUNCTION("GOOGLETRANSLATE('대전도시공사_청년임대주택 현황_20240630'!B1003,""ko"",""en"")"),"27")</f>
        <v>27</v>
      </c>
      <c r="C1003" s="1" t="str">
        <f ca="1">IFERROR(__xludf.DUMMYFUNCTION("GOOGLETRANSLATE('대전도시공사_청년임대주택 현황_20240630'!C1003,""ko"",""en"")"),"1")</f>
        <v>1</v>
      </c>
      <c r="D1003" s="1" t="str">
        <f ca="1">IFERROR(__xludf.DUMMYFUNCTION("GOOGLETRANSLATE('대전도시공사_청년임대주택 현황_20240630'!D1003,""ko"",""en"")"),"211")</f>
        <v>211</v>
      </c>
      <c r="E1003" s="1" t="str">
        <f ca="1">IFERROR(__xludf.DUMMYFUNCTION("GOOGLETRANSLATE('대전도시공사_청년임대주택 현황_20240630'!E1003,""ko"",""en"")"),"35.683")</f>
        <v>35.683</v>
      </c>
      <c r="F1003" s="1" t="str">
        <f ca="1">IFERROR(__xludf.DUMMYFUNCTION("GOOGLETRANSLATE('대전도시공사_청년임대주택 현황_20240630'!F1003,""ko"",""en"")"),"17.822")</f>
        <v>17.822</v>
      </c>
      <c r="G1003" s="1" t="str">
        <f ca="1">IFERROR(__xludf.DUMMYFUNCTION("GOOGLETRANSLATE('대전도시공사_청년임대주택 현황_20240630'!G1003,""ko"",""en"")"),"17.861")</f>
        <v>17.861</v>
      </c>
      <c r="H1003" s="1" t="str">
        <f ca="1">IFERROR(__xludf.DUMMYFUNCTION("GOOGLETRANSLATE('대전도시공사_청년임대주택 현황_20240630'!H1003,""ko"",""en"")"),"3rd place for youth rental")</f>
        <v>3rd place for youth rental</v>
      </c>
      <c r="I1003" s="1" t="str">
        <f ca="1">IFERROR(__xludf.DUMMYFUNCTION("GOOGLETRANSLATE('대전도시공사_청년임대주택 현황_20240630'!I1003,""ko"",""en"")"),"2000000")</f>
        <v>2000000</v>
      </c>
      <c r="J1003" s="1" t="str">
        <f ca="1">IFERROR(__xludf.DUMMYFUNCTION("GOOGLETRANSLATE('대전도시공사_청년임대주택 현황_20240630'!J1003,""ko"",""en"")"),"241500")</f>
        <v>241500</v>
      </c>
    </row>
    <row r="1004" spans="1:10" ht="12.5" x14ac:dyDescent="0.25">
      <c r="A1004" s="1" t="str">
        <f ca="1">IFERROR(__xludf.DUMMYFUNCTION("GOOGLETRANSLATE('대전도시공사_청년임대주택 현황_20240630'!A1004,""ko"",""en"")"),"Gungdong-ro 71 (City Palace, Youth Rental)")</f>
        <v>Gungdong-ro 71 (City Palace, Youth Rental)</v>
      </c>
      <c r="B1004" s="1" t="str">
        <f ca="1">IFERROR(__xludf.DUMMYFUNCTION("GOOGLETRANSLATE('대전도시공사_청년임대주택 현황_20240630'!B1004,""ko"",""en"")"),"28")</f>
        <v>28</v>
      </c>
      <c r="C1004" s="1" t="str">
        <f ca="1">IFERROR(__xludf.DUMMYFUNCTION("GOOGLETRANSLATE('대전도시공사_청년임대주택 현황_20240630'!C1004,""ko"",""en"")"),"1")</f>
        <v>1</v>
      </c>
      <c r="D1004" s="1" t="str">
        <f ca="1">IFERROR(__xludf.DUMMYFUNCTION("GOOGLETRANSLATE('대전도시공사_청년임대주택 현황_20240630'!D1004,""ko"",""en"")"),"212")</f>
        <v>212</v>
      </c>
      <c r="E1004" s="1" t="str">
        <f ca="1">IFERROR(__xludf.DUMMYFUNCTION("GOOGLETRANSLATE('대전도시공사_청년임대주택 현황_20240630'!E1004,""ko"",""en"")"),"35.683")</f>
        <v>35.683</v>
      </c>
      <c r="F1004" s="1" t="str">
        <f ca="1">IFERROR(__xludf.DUMMYFUNCTION("GOOGLETRANSLATE('대전도시공사_청년임대주택 현황_20240630'!F1004,""ko"",""en"")"),"17.822")</f>
        <v>17.822</v>
      </c>
      <c r="G1004" s="1" t="str">
        <f ca="1">IFERROR(__xludf.DUMMYFUNCTION("GOOGLETRANSLATE('대전도시공사_청년임대주택 현황_20240630'!G1004,""ko"",""en"")"),"17.861")</f>
        <v>17.861</v>
      </c>
      <c r="H1004" s="1" t="str">
        <f ca="1">IFERROR(__xludf.DUMMYFUNCTION("GOOGLETRANSLATE('대전도시공사_청년임대주택 현황_20240630'!H1004,""ko"",""en"")"),"Beneficiary")</f>
        <v>Beneficiary</v>
      </c>
      <c r="I1004" s="1" t="str">
        <f ca="1">IFERROR(__xludf.DUMMYFUNCTION("GOOGLETRANSLATE('대전도시공사_청년임대주택 현황_20240630'!I1004,""ko"",""en"")"),"1000000")</f>
        <v>1000000</v>
      </c>
      <c r="J1004" s="1" t="str">
        <f ca="1">IFERROR(__xludf.DUMMYFUNCTION("GOOGLETRANSLATE('대전도시공사_청년임대주택 현황_20240630'!J1004,""ko"",""en"")"),"196500")</f>
        <v>196500</v>
      </c>
    </row>
    <row r="1005" spans="1:10" ht="12.5" x14ac:dyDescent="0.25">
      <c r="A1005" s="1" t="str">
        <f ca="1">IFERROR(__xludf.DUMMYFUNCTION("GOOGLETRANSLATE('대전도시공사_청년임대주택 현황_20240630'!A1005,""ko"",""en"")"),"Gungdong-ro 71 (City Palace, Youth Rental)")</f>
        <v>Gungdong-ro 71 (City Palace, Youth Rental)</v>
      </c>
      <c r="B1005" s="1" t="str">
        <f ca="1">IFERROR(__xludf.DUMMYFUNCTION("GOOGLETRANSLATE('대전도시공사_청년임대주택 현황_20240630'!B1005,""ko"",""en"")"),"29")</f>
        <v>29</v>
      </c>
      <c r="C1005" s="1" t="str">
        <f ca="1">IFERROR(__xludf.DUMMYFUNCTION("GOOGLETRANSLATE('대전도시공사_청년임대주택 현황_20240630'!C1005,""ko"",""en"")"),"1")</f>
        <v>1</v>
      </c>
      <c r="D1005" s="1" t="str">
        <f ca="1">IFERROR(__xludf.DUMMYFUNCTION("GOOGLETRANSLATE('대전도시공사_청년임대주택 현황_20240630'!D1005,""ko"",""en"")"),"212")</f>
        <v>212</v>
      </c>
      <c r="E1005" s="1" t="str">
        <f ca="1">IFERROR(__xludf.DUMMYFUNCTION("GOOGLETRANSLATE('대전도시공사_청년임대주택 현황_20240630'!E1005,""ko"",""en"")"),"35.683")</f>
        <v>35.683</v>
      </c>
      <c r="F1005" s="1" t="str">
        <f ca="1">IFERROR(__xludf.DUMMYFUNCTION("GOOGLETRANSLATE('대전도시공사_청년임대주택 현황_20240630'!F1005,""ko"",""en"")"),"17.822")</f>
        <v>17.822</v>
      </c>
      <c r="G1005" s="1" t="str">
        <f ca="1">IFERROR(__xludf.DUMMYFUNCTION("GOOGLETRANSLATE('대전도시공사_청년임대주택 현황_20240630'!G1005,""ko"",""en"")"),"17.861")</f>
        <v>17.861</v>
      </c>
      <c r="H1005" s="1" t="str">
        <f ca="1">IFERROR(__xludf.DUMMYFUNCTION("GOOGLETRANSLATE('대전도시공사_청년임대주택 현황_20240630'!H1005,""ko"",""en"")"),"Youth Rental 2nd Place")</f>
        <v>Youth Rental 2nd Place</v>
      </c>
      <c r="I1005" s="1" t="str">
        <f ca="1">IFERROR(__xludf.DUMMYFUNCTION("GOOGLETRANSLATE('대전도시공사_청년임대주택 현황_20240630'!I1005,""ko"",""en"")"),"2000000")</f>
        <v>2000000</v>
      </c>
      <c r="J1005" s="1" t="str">
        <f ca="1">IFERROR(__xludf.DUMMYFUNCTION("GOOGLETRANSLATE('대전도시공사_청년임대주택 현황_20240630'!J1005,""ko"",""en"")"),"241500")</f>
        <v>241500</v>
      </c>
    </row>
    <row r="1006" spans="1:10" ht="12.5" x14ac:dyDescent="0.25">
      <c r="A1006" s="1" t="str">
        <f ca="1">IFERROR(__xludf.DUMMYFUNCTION("GOOGLETRANSLATE('대전도시공사_청년임대주택 현황_20240630'!A1006,""ko"",""en"")"),"Gungdong-ro 71 (City Palace, Youth Rental)")</f>
        <v>Gungdong-ro 71 (City Palace, Youth Rental)</v>
      </c>
      <c r="B1006" s="1" t="str">
        <f ca="1">IFERROR(__xludf.DUMMYFUNCTION("GOOGLETRANSLATE('대전도시공사_청년임대주택 현황_20240630'!B1006,""ko"",""en"")"),"30")</f>
        <v>30</v>
      </c>
      <c r="C1006" s="1" t="str">
        <f ca="1">IFERROR(__xludf.DUMMYFUNCTION("GOOGLETRANSLATE('대전도시공사_청년임대주택 현황_20240630'!C1006,""ko"",""en"")"),"1")</f>
        <v>1</v>
      </c>
      <c r="D1006" s="1" t="str">
        <f ca="1">IFERROR(__xludf.DUMMYFUNCTION("GOOGLETRANSLATE('대전도시공사_청년임대주택 현황_20240630'!D1006,""ko"",""en"")"),"212")</f>
        <v>212</v>
      </c>
      <c r="E1006" s="1" t="str">
        <f ca="1">IFERROR(__xludf.DUMMYFUNCTION("GOOGLETRANSLATE('대전도시공사_청년임대주택 현황_20240630'!E1006,""ko"",""en"")"),"35.683")</f>
        <v>35.683</v>
      </c>
      <c r="F1006" s="1" t="str">
        <f ca="1">IFERROR(__xludf.DUMMYFUNCTION("GOOGLETRANSLATE('대전도시공사_청년임대주택 현황_20240630'!F1006,""ko"",""en"")"),"17.822")</f>
        <v>17.822</v>
      </c>
      <c r="G1006" s="1" t="str">
        <f ca="1">IFERROR(__xludf.DUMMYFUNCTION("GOOGLETRANSLATE('대전도시공사_청년임대주택 현황_20240630'!G1006,""ko"",""en"")"),"17.861")</f>
        <v>17.861</v>
      </c>
      <c r="H1006" s="1" t="str">
        <f ca="1">IFERROR(__xludf.DUMMYFUNCTION("GOOGLETRANSLATE('대전도시공사_청년임대주택 현황_20240630'!H1006,""ko"",""en"")"),"3rd place for youth rental")</f>
        <v>3rd place for youth rental</v>
      </c>
      <c r="I1006" s="1" t="str">
        <f ca="1">IFERROR(__xludf.DUMMYFUNCTION("GOOGLETRANSLATE('대전도시공사_청년임대주택 현황_20240630'!I1006,""ko"",""en"")"),"2000000")</f>
        <v>2000000</v>
      </c>
      <c r="J1006" s="1" t="str">
        <f ca="1">IFERROR(__xludf.DUMMYFUNCTION("GOOGLETRANSLATE('대전도시공사_청년임대주택 현황_20240630'!J1006,""ko"",""en"")"),"241500")</f>
        <v>241500</v>
      </c>
    </row>
    <row r="1007" spans="1:10" ht="12.5" x14ac:dyDescent="0.25">
      <c r="A1007" s="1" t="str">
        <f ca="1">IFERROR(__xludf.DUMMYFUNCTION("GOOGLETRANSLATE('대전도시공사_청년임대주택 현황_20240630'!A1007,""ko"",""en"")"),"Gungdong-ro 71 (City Palace, Youth Rental)")</f>
        <v>Gungdong-ro 71 (City Palace, Youth Rental)</v>
      </c>
      <c r="B1007" s="1" t="str">
        <f ca="1">IFERROR(__xludf.DUMMYFUNCTION("GOOGLETRANSLATE('대전도시공사_청년임대주택 현황_20240630'!B1007,""ko"",""en"")"),"31")</f>
        <v>31</v>
      </c>
      <c r="C1007" s="1" t="str">
        <f ca="1">IFERROR(__xludf.DUMMYFUNCTION("GOOGLETRANSLATE('대전도시공사_청년임대주택 현황_20240630'!C1007,""ko"",""en"")"),"1")</f>
        <v>1</v>
      </c>
      <c r="D1007" s="1" t="str">
        <f ca="1">IFERROR(__xludf.DUMMYFUNCTION("GOOGLETRANSLATE('대전도시공사_청년임대주택 현황_20240630'!D1007,""ko"",""en"")"),"213")</f>
        <v>213</v>
      </c>
      <c r="E1007" s="1" t="str">
        <f ca="1">IFERROR(__xludf.DUMMYFUNCTION("GOOGLETRANSLATE('대전도시공사_청년임대주택 현황_20240630'!E1007,""ko"",""en"")"),"34.784")</f>
        <v>34.784</v>
      </c>
      <c r="F1007" s="1" t="str">
        <f ca="1">IFERROR(__xludf.DUMMYFUNCTION("GOOGLETRANSLATE('대전도시공사_청년임대주택 현황_20240630'!F1007,""ko"",""en"")"),"17.703")</f>
        <v>17.703</v>
      </c>
      <c r="G1007" s="1" t="str">
        <f ca="1">IFERROR(__xludf.DUMMYFUNCTION("GOOGLETRANSLATE('대전도시공사_청년임대주택 현황_20240630'!G1007,""ko"",""en"")"),"17.08")</f>
        <v>17.08</v>
      </c>
      <c r="H1007" s="1" t="str">
        <f ca="1">IFERROR(__xludf.DUMMYFUNCTION("GOOGLETRANSLATE('대전도시공사_청년임대주택 현황_20240630'!H1007,""ko"",""en"")"),"Beneficiary")</f>
        <v>Beneficiary</v>
      </c>
      <c r="I1007" s="1" t="str">
        <f ca="1">IFERROR(__xludf.DUMMYFUNCTION("GOOGLETRANSLATE('대전도시공사_청년임대주택 현황_20240630'!I1007,""ko"",""en"")"),"1000000")</f>
        <v>1000000</v>
      </c>
      <c r="J1007" s="1" t="str">
        <f ca="1">IFERROR(__xludf.DUMMYFUNCTION("GOOGLETRANSLATE('대전도시공사_청년임대주택 현황_20240630'!J1007,""ko"",""en"")"),"195100")</f>
        <v>195100</v>
      </c>
    </row>
    <row r="1008" spans="1:10" ht="12.5" x14ac:dyDescent="0.25">
      <c r="A1008" s="1" t="str">
        <f ca="1">IFERROR(__xludf.DUMMYFUNCTION("GOOGLETRANSLATE('대전도시공사_청년임대주택 현황_20240630'!A1008,""ko"",""en"")"),"Gungdong-ro 71 (City Palace, Youth Rental)")</f>
        <v>Gungdong-ro 71 (City Palace, Youth Rental)</v>
      </c>
      <c r="B1008" s="1" t="str">
        <f ca="1">IFERROR(__xludf.DUMMYFUNCTION("GOOGLETRANSLATE('대전도시공사_청년임대주택 현황_20240630'!B1008,""ko"",""en"")"),"32")</f>
        <v>32</v>
      </c>
      <c r="C1008" s="1" t="str">
        <f ca="1">IFERROR(__xludf.DUMMYFUNCTION("GOOGLETRANSLATE('대전도시공사_청년임대주택 현황_20240630'!C1008,""ko"",""en"")"),"1")</f>
        <v>1</v>
      </c>
      <c r="D1008" s="1" t="str">
        <f ca="1">IFERROR(__xludf.DUMMYFUNCTION("GOOGLETRANSLATE('대전도시공사_청년임대주택 현황_20240630'!D1008,""ko"",""en"")"),"213")</f>
        <v>213</v>
      </c>
      <c r="E1008" s="1" t="str">
        <f ca="1">IFERROR(__xludf.DUMMYFUNCTION("GOOGLETRANSLATE('대전도시공사_청년임대주택 현황_20240630'!E1008,""ko"",""en"")"),"34.784")</f>
        <v>34.784</v>
      </c>
      <c r="F1008" s="1" t="str">
        <f ca="1">IFERROR(__xludf.DUMMYFUNCTION("GOOGLETRANSLATE('대전도시공사_청년임대주택 현황_20240630'!F1008,""ko"",""en"")"),"17.703")</f>
        <v>17.703</v>
      </c>
      <c r="G1008" s="1" t="str">
        <f ca="1">IFERROR(__xludf.DUMMYFUNCTION("GOOGLETRANSLATE('대전도시공사_청년임대주택 현황_20240630'!G1008,""ko"",""en"")"),"17.08")</f>
        <v>17.08</v>
      </c>
      <c r="H1008" s="1" t="str">
        <f ca="1">IFERROR(__xludf.DUMMYFUNCTION("GOOGLETRANSLATE('대전도시공사_청년임대주택 현황_20240630'!H1008,""ko"",""en"")"),"Youth Rental 2nd Place")</f>
        <v>Youth Rental 2nd Place</v>
      </c>
      <c r="I1008" s="1" t="str">
        <f ca="1">IFERROR(__xludf.DUMMYFUNCTION("GOOGLETRANSLATE('대전도시공사_청년임대주택 현황_20240630'!I1008,""ko"",""en"")"),"2000000")</f>
        <v>2000000</v>
      </c>
      <c r="J1008" s="1" t="str">
        <f ca="1">IFERROR(__xludf.DUMMYFUNCTION("GOOGLETRANSLATE('대전도시공사_청년임대주택 현황_20240630'!J1008,""ko"",""en"")"),"239800")</f>
        <v>239800</v>
      </c>
    </row>
    <row r="1009" spans="1:10" ht="12.5" x14ac:dyDescent="0.25">
      <c r="A1009" s="1" t="str">
        <f ca="1">IFERROR(__xludf.DUMMYFUNCTION("GOOGLETRANSLATE('대전도시공사_청년임대주택 현황_20240630'!A1009,""ko"",""en"")"),"Gungdong-ro 71 (City Palace, Youth Rental)")</f>
        <v>Gungdong-ro 71 (City Palace, Youth Rental)</v>
      </c>
      <c r="B1009" s="1" t="str">
        <f ca="1">IFERROR(__xludf.DUMMYFUNCTION("GOOGLETRANSLATE('대전도시공사_청년임대주택 현황_20240630'!B1009,""ko"",""en"")"),"33")</f>
        <v>33</v>
      </c>
      <c r="C1009" s="1" t="str">
        <f ca="1">IFERROR(__xludf.DUMMYFUNCTION("GOOGLETRANSLATE('대전도시공사_청년임대주택 현황_20240630'!C1009,""ko"",""en"")"),"1")</f>
        <v>1</v>
      </c>
      <c r="D1009" s="1" t="str">
        <f ca="1">IFERROR(__xludf.DUMMYFUNCTION("GOOGLETRANSLATE('대전도시공사_청년임대주택 현황_20240630'!D1009,""ko"",""en"")"),"213")</f>
        <v>213</v>
      </c>
      <c r="E1009" s="1" t="str">
        <f ca="1">IFERROR(__xludf.DUMMYFUNCTION("GOOGLETRANSLATE('대전도시공사_청년임대주택 현황_20240630'!E1009,""ko"",""en"")"),"34.784")</f>
        <v>34.784</v>
      </c>
      <c r="F1009" s="1" t="str">
        <f ca="1">IFERROR(__xludf.DUMMYFUNCTION("GOOGLETRANSLATE('대전도시공사_청년임대주택 현황_20240630'!F1009,""ko"",""en"")"),"17.703")</f>
        <v>17.703</v>
      </c>
      <c r="G1009" s="1" t="str">
        <f ca="1">IFERROR(__xludf.DUMMYFUNCTION("GOOGLETRANSLATE('대전도시공사_청년임대주택 현황_20240630'!G1009,""ko"",""en"")"),"17.08")</f>
        <v>17.08</v>
      </c>
      <c r="H1009" s="1" t="str">
        <f ca="1">IFERROR(__xludf.DUMMYFUNCTION("GOOGLETRANSLATE('대전도시공사_청년임대주택 현황_20240630'!H1009,""ko"",""en"")"),"3rd place for youth rental")</f>
        <v>3rd place for youth rental</v>
      </c>
      <c r="I1009" s="1" t="str">
        <f ca="1">IFERROR(__xludf.DUMMYFUNCTION("GOOGLETRANSLATE('대전도시공사_청년임대주택 현황_20240630'!I1009,""ko"",""en"")"),"2000000")</f>
        <v>2000000</v>
      </c>
      <c r="J1009" s="1" t="str">
        <f ca="1">IFERROR(__xludf.DUMMYFUNCTION("GOOGLETRANSLATE('대전도시공사_청년임대주택 현황_20240630'!J1009,""ko"",""en"")"),"239800")</f>
        <v>239800</v>
      </c>
    </row>
    <row r="1010" spans="1:10" ht="12.5" x14ac:dyDescent="0.25">
      <c r="A1010" s="1" t="str">
        <f ca="1">IFERROR(__xludf.DUMMYFUNCTION("GOOGLETRANSLATE('대전도시공사_청년임대주택 현황_20240630'!A1010,""ko"",""en"")"),"Gungdong-ro 71 (City Palace, Youth Rental)")</f>
        <v>Gungdong-ro 71 (City Palace, Youth Rental)</v>
      </c>
      <c r="B1010" s="1" t="str">
        <f ca="1">IFERROR(__xludf.DUMMYFUNCTION("GOOGLETRANSLATE('대전도시공사_청년임대주택 현황_20240630'!B1010,""ko"",""en"")"),"34")</f>
        <v>34</v>
      </c>
      <c r="C1010" s="1" t="str">
        <f ca="1">IFERROR(__xludf.DUMMYFUNCTION("GOOGLETRANSLATE('대전도시공사_청년임대주택 현황_20240630'!C1010,""ko"",""en"")"),"1")</f>
        <v>1</v>
      </c>
      <c r="D1010" s="1" t="str">
        <f ca="1">IFERROR(__xludf.DUMMYFUNCTION("GOOGLETRANSLATE('대전도시공사_청년임대주택 현황_20240630'!D1010,""ko"",""en"")"),"217")</f>
        <v>217</v>
      </c>
      <c r="E1010" s="1" t="str">
        <f ca="1">IFERROR(__xludf.DUMMYFUNCTION("GOOGLETRANSLATE('대전도시공사_청년임대주택 현황_20240630'!E1010,""ko"",""en"")"),"34.784")</f>
        <v>34.784</v>
      </c>
      <c r="F1010" s="1" t="str">
        <f ca="1">IFERROR(__xludf.DUMMYFUNCTION("GOOGLETRANSLATE('대전도시공사_청년임대주택 현황_20240630'!F1010,""ko"",""en"")"),"17.703")</f>
        <v>17.703</v>
      </c>
      <c r="G1010" s="1" t="str">
        <f ca="1">IFERROR(__xludf.DUMMYFUNCTION("GOOGLETRANSLATE('대전도시공사_청년임대주택 현황_20240630'!G1010,""ko"",""en"")"),"17.08")</f>
        <v>17.08</v>
      </c>
      <c r="H1010" s="1" t="str">
        <f ca="1">IFERROR(__xludf.DUMMYFUNCTION("GOOGLETRANSLATE('대전도시공사_청년임대주택 현황_20240630'!H1010,""ko"",""en"")"),"Beneficiary")</f>
        <v>Beneficiary</v>
      </c>
      <c r="I1010" s="1" t="str">
        <f ca="1">IFERROR(__xludf.DUMMYFUNCTION("GOOGLETRANSLATE('대전도시공사_청년임대주택 현황_20240630'!I1010,""ko"",""en"")"),"1000000")</f>
        <v>1000000</v>
      </c>
      <c r="J1010" s="1" t="str">
        <f ca="1">IFERROR(__xludf.DUMMYFUNCTION("GOOGLETRANSLATE('대전도시공사_청년임대주택 현황_20240630'!J1010,""ko"",""en"")"),"195100")</f>
        <v>195100</v>
      </c>
    </row>
    <row r="1011" spans="1:10" ht="12.5" x14ac:dyDescent="0.25">
      <c r="A1011" s="1" t="str">
        <f ca="1">IFERROR(__xludf.DUMMYFUNCTION("GOOGLETRANSLATE('대전도시공사_청년임대주택 현황_20240630'!A1011,""ko"",""en"")"),"Gungdong-ro 71 (City Palace, Youth Rental)")</f>
        <v>Gungdong-ro 71 (City Palace, Youth Rental)</v>
      </c>
      <c r="B1011" s="1" t="str">
        <f ca="1">IFERROR(__xludf.DUMMYFUNCTION("GOOGLETRANSLATE('대전도시공사_청년임대주택 현황_20240630'!B1011,""ko"",""en"")"),"35")</f>
        <v>35</v>
      </c>
      <c r="C1011" s="1" t="str">
        <f ca="1">IFERROR(__xludf.DUMMYFUNCTION("GOOGLETRANSLATE('대전도시공사_청년임대주택 현황_20240630'!C1011,""ko"",""en"")"),"1")</f>
        <v>1</v>
      </c>
      <c r="D1011" s="1" t="str">
        <f ca="1">IFERROR(__xludf.DUMMYFUNCTION("GOOGLETRANSLATE('대전도시공사_청년임대주택 현황_20240630'!D1011,""ko"",""en"")"),"217")</f>
        <v>217</v>
      </c>
      <c r="E1011" s="1" t="str">
        <f ca="1">IFERROR(__xludf.DUMMYFUNCTION("GOOGLETRANSLATE('대전도시공사_청년임대주택 현황_20240630'!E1011,""ko"",""en"")"),"34.784")</f>
        <v>34.784</v>
      </c>
      <c r="F1011" s="1" t="str">
        <f ca="1">IFERROR(__xludf.DUMMYFUNCTION("GOOGLETRANSLATE('대전도시공사_청년임대주택 현황_20240630'!F1011,""ko"",""en"")"),"17.703")</f>
        <v>17.703</v>
      </c>
      <c r="G1011" s="1" t="str">
        <f ca="1">IFERROR(__xludf.DUMMYFUNCTION("GOOGLETRANSLATE('대전도시공사_청년임대주택 현황_20240630'!G1011,""ko"",""en"")"),"17.08")</f>
        <v>17.08</v>
      </c>
      <c r="H1011" s="1" t="str">
        <f ca="1">IFERROR(__xludf.DUMMYFUNCTION("GOOGLETRANSLATE('대전도시공사_청년임대주택 현황_20240630'!H1011,""ko"",""en"")"),"Youth Rental 2nd Place")</f>
        <v>Youth Rental 2nd Place</v>
      </c>
      <c r="I1011" s="1" t="str">
        <f ca="1">IFERROR(__xludf.DUMMYFUNCTION("GOOGLETRANSLATE('대전도시공사_청년임대주택 현황_20240630'!I1011,""ko"",""en"")"),"2000000")</f>
        <v>2000000</v>
      </c>
      <c r="J1011" s="1" t="str">
        <f ca="1">IFERROR(__xludf.DUMMYFUNCTION("GOOGLETRANSLATE('대전도시공사_청년임대주택 현황_20240630'!J1011,""ko"",""en"")"),"239800")</f>
        <v>239800</v>
      </c>
    </row>
    <row r="1012" spans="1:10" ht="12.5" x14ac:dyDescent="0.25">
      <c r="A1012" s="1" t="str">
        <f ca="1">IFERROR(__xludf.DUMMYFUNCTION("GOOGLETRANSLATE('대전도시공사_청년임대주택 현황_20240630'!A1012,""ko"",""en"")"),"Gungdong-ro 71 (City Palace, Youth Rental)")</f>
        <v>Gungdong-ro 71 (City Palace, Youth Rental)</v>
      </c>
      <c r="B1012" s="1" t="str">
        <f ca="1">IFERROR(__xludf.DUMMYFUNCTION("GOOGLETRANSLATE('대전도시공사_청년임대주택 현황_20240630'!B1012,""ko"",""en"")"),"36")</f>
        <v>36</v>
      </c>
      <c r="C1012" s="1" t="str">
        <f ca="1">IFERROR(__xludf.DUMMYFUNCTION("GOOGLETRANSLATE('대전도시공사_청년임대주택 현황_20240630'!C1012,""ko"",""en"")"),"1")</f>
        <v>1</v>
      </c>
      <c r="D1012" s="1" t="str">
        <f ca="1">IFERROR(__xludf.DUMMYFUNCTION("GOOGLETRANSLATE('대전도시공사_청년임대주택 현황_20240630'!D1012,""ko"",""en"")"),"217")</f>
        <v>217</v>
      </c>
      <c r="E1012" s="1" t="str">
        <f ca="1">IFERROR(__xludf.DUMMYFUNCTION("GOOGLETRANSLATE('대전도시공사_청년임대주택 현황_20240630'!E1012,""ko"",""en"")"),"34.784")</f>
        <v>34.784</v>
      </c>
      <c r="F1012" s="1" t="str">
        <f ca="1">IFERROR(__xludf.DUMMYFUNCTION("GOOGLETRANSLATE('대전도시공사_청년임대주택 현황_20240630'!F1012,""ko"",""en"")"),"17.703")</f>
        <v>17.703</v>
      </c>
      <c r="G1012" s="1" t="str">
        <f ca="1">IFERROR(__xludf.DUMMYFUNCTION("GOOGLETRANSLATE('대전도시공사_청년임대주택 현황_20240630'!G1012,""ko"",""en"")"),"17.08")</f>
        <v>17.08</v>
      </c>
      <c r="H1012" s="1" t="str">
        <f ca="1">IFERROR(__xludf.DUMMYFUNCTION("GOOGLETRANSLATE('대전도시공사_청년임대주택 현황_20240630'!H1012,""ko"",""en"")"),"3rd place for youth rental")</f>
        <v>3rd place for youth rental</v>
      </c>
      <c r="I1012" s="1" t="str">
        <f ca="1">IFERROR(__xludf.DUMMYFUNCTION("GOOGLETRANSLATE('대전도시공사_청년임대주택 현황_20240630'!I1012,""ko"",""en"")"),"2000000")</f>
        <v>2000000</v>
      </c>
      <c r="J1012" s="1" t="str">
        <f ca="1">IFERROR(__xludf.DUMMYFUNCTION("GOOGLETRANSLATE('대전도시공사_청년임대주택 현황_20240630'!J1012,""ko"",""en"")"),"239800")</f>
        <v>239800</v>
      </c>
    </row>
    <row r="1013" spans="1:10" ht="12.5" x14ac:dyDescent="0.25">
      <c r="A1013" s="1" t="str">
        <f ca="1">IFERROR(__xludf.DUMMYFUNCTION("GOOGLETRANSLATE('대전도시공사_청년임대주택 현황_20240630'!A1013,""ko"",""en"")"),"Gungdong-ro 71 (City Palace, Youth Rental)")</f>
        <v>Gungdong-ro 71 (City Palace, Youth Rental)</v>
      </c>
      <c r="B1013" s="1" t="str">
        <f ca="1">IFERROR(__xludf.DUMMYFUNCTION("GOOGLETRANSLATE('대전도시공사_청년임대주택 현황_20240630'!B1013,""ko"",""en"")"),"37")</f>
        <v>37</v>
      </c>
      <c r="C1013" s="1" t="str">
        <f ca="1">IFERROR(__xludf.DUMMYFUNCTION("GOOGLETRANSLATE('대전도시공사_청년임대주택 현황_20240630'!C1013,""ko"",""en"")"),"1")</f>
        <v>1</v>
      </c>
      <c r="D1013" s="1" t="str">
        <f ca="1">IFERROR(__xludf.DUMMYFUNCTION("GOOGLETRANSLATE('대전도시공사_청년임대주택 현황_20240630'!D1013,""ko"",""en"")"),"302")</f>
        <v>302</v>
      </c>
      <c r="E1013" s="1" t="str">
        <f ca="1">IFERROR(__xludf.DUMMYFUNCTION("GOOGLETRANSLATE('대전도시공사_청년임대주택 현황_20240630'!E1013,""ko"",""en"")"),"37.371")</f>
        <v>37.371</v>
      </c>
      <c r="F1013" s="1" t="str">
        <f ca="1">IFERROR(__xludf.DUMMYFUNCTION("GOOGLETRANSLATE('대전도시공사_청년임대주택 현황_20240630'!F1013,""ko"",""en"")"),"18.689")</f>
        <v>18.689</v>
      </c>
      <c r="G1013" s="1" t="str">
        <f ca="1">IFERROR(__xludf.DUMMYFUNCTION("GOOGLETRANSLATE('대전도시공사_청년임대주택 현황_20240630'!G1013,""ko"",""en"")"),"18.682")</f>
        <v>18.682</v>
      </c>
      <c r="H1013" s="1" t="str">
        <f ca="1">IFERROR(__xludf.DUMMYFUNCTION("GOOGLETRANSLATE('대전도시공사_청년임대주택 현황_20240630'!H1013,""ko"",""en"")"),"Beneficiary")</f>
        <v>Beneficiary</v>
      </c>
      <c r="I1013" s="1" t="str">
        <f ca="1">IFERROR(__xludf.DUMMYFUNCTION("GOOGLETRANSLATE('대전도시공사_청년임대주택 현황_20240630'!I1013,""ko"",""en"")"),"1000000")</f>
        <v>1000000</v>
      </c>
      <c r="J1013" s="1" t="str">
        <f ca="1">IFERROR(__xludf.DUMMYFUNCTION("GOOGLETRANSLATE('대전도시공사_청년임대주택 현황_20240630'!J1013,""ko"",""en"")"),"206300")</f>
        <v>206300</v>
      </c>
    </row>
    <row r="1014" spans="1:10" ht="12.5" x14ac:dyDescent="0.25">
      <c r="A1014" s="1" t="str">
        <f ca="1">IFERROR(__xludf.DUMMYFUNCTION("GOOGLETRANSLATE('대전도시공사_청년임대주택 현황_20240630'!A1014,""ko"",""en"")"),"Gungdong-ro 71 (City Palace, Youth Rental)")</f>
        <v>Gungdong-ro 71 (City Palace, Youth Rental)</v>
      </c>
      <c r="B1014" s="1" t="str">
        <f ca="1">IFERROR(__xludf.DUMMYFUNCTION("GOOGLETRANSLATE('대전도시공사_청년임대주택 현황_20240630'!B1014,""ko"",""en"")"),"38")</f>
        <v>38</v>
      </c>
      <c r="C1014" s="1" t="str">
        <f ca="1">IFERROR(__xludf.DUMMYFUNCTION("GOOGLETRANSLATE('대전도시공사_청년임대주택 현황_20240630'!C1014,""ko"",""en"")"),"1")</f>
        <v>1</v>
      </c>
      <c r="D1014" s="1" t="str">
        <f ca="1">IFERROR(__xludf.DUMMYFUNCTION("GOOGLETRANSLATE('대전도시공사_청년임대주택 현황_20240630'!D1014,""ko"",""en"")"),"302")</f>
        <v>302</v>
      </c>
      <c r="E1014" s="1" t="str">
        <f ca="1">IFERROR(__xludf.DUMMYFUNCTION("GOOGLETRANSLATE('대전도시공사_청년임대주택 현황_20240630'!E1014,""ko"",""en"")"),"37.371")</f>
        <v>37.371</v>
      </c>
      <c r="F1014" s="1" t="str">
        <f ca="1">IFERROR(__xludf.DUMMYFUNCTION("GOOGLETRANSLATE('대전도시공사_청년임대주택 현황_20240630'!F1014,""ko"",""en"")"),"18.689")</f>
        <v>18.689</v>
      </c>
      <c r="G1014" s="1" t="str">
        <f ca="1">IFERROR(__xludf.DUMMYFUNCTION("GOOGLETRANSLATE('대전도시공사_청년임대주택 현황_20240630'!G1014,""ko"",""en"")"),"18.682")</f>
        <v>18.682</v>
      </c>
      <c r="H1014" s="1" t="str">
        <f ca="1">IFERROR(__xludf.DUMMYFUNCTION("GOOGLETRANSLATE('대전도시공사_청년임대주택 현황_20240630'!H1014,""ko"",""en"")"),"Youth Rental 2nd Place")</f>
        <v>Youth Rental 2nd Place</v>
      </c>
      <c r="I1014" s="1" t="str">
        <f ca="1">IFERROR(__xludf.DUMMYFUNCTION("GOOGLETRANSLATE('대전도시공사_청년임대주택 현황_20240630'!I1014,""ko"",""en"")"),"2000000")</f>
        <v>2000000</v>
      </c>
      <c r="J1014" s="1" t="str">
        <f ca="1">IFERROR(__xludf.DUMMYFUNCTION("GOOGLETRANSLATE('대전도시공사_청년임대주택 현황_20240630'!J1014,""ko"",""en"")"),"253700")</f>
        <v>253700</v>
      </c>
    </row>
    <row r="1015" spans="1:10" ht="12.5" x14ac:dyDescent="0.25">
      <c r="A1015" s="1" t="str">
        <f ca="1">IFERROR(__xludf.DUMMYFUNCTION("GOOGLETRANSLATE('대전도시공사_청년임대주택 현황_20240630'!A1015,""ko"",""en"")"),"Gungdong-ro 71 (City Palace, Youth Rental)")</f>
        <v>Gungdong-ro 71 (City Palace, Youth Rental)</v>
      </c>
      <c r="B1015" s="1" t="str">
        <f ca="1">IFERROR(__xludf.DUMMYFUNCTION("GOOGLETRANSLATE('대전도시공사_청년임대주택 현황_20240630'!B1015,""ko"",""en"")"),"39")</f>
        <v>39</v>
      </c>
      <c r="C1015" s="1" t="str">
        <f ca="1">IFERROR(__xludf.DUMMYFUNCTION("GOOGLETRANSLATE('대전도시공사_청년임대주택 현황_20240630'!C1015,""ko"",""en"")"),"1")</f>
        <v>1</v>
      </c>
      <c r="D1015" s="1" t="str">
        <f ca="1">IFERROR(__xludf.DUMMYFUNCTION("GOOGLETRANSLATE('대전도시공사_청년임대주택 현황_20240630'!D1015,""ko"",""en"")"),"302")</f>
        <v>302</v>
      </c>
      <c r="E1015" s="1" t="str">
        <f ca="1">IFERROR(__xludf.DUMMYFUNCTION("GOOGLETRANSLATE('대전도시공사_청년임대주택 현황_20240630'!E1015,""ko"",""en"")"),"37.371")</f>
        <v>37.371</v>
      </c>
      <c r="F1015" s="1" t="str">
        <f ca="1">IFERROR(__xludf.DUMMYFUNCTION("GOOGLETRANSLATE('대전도시공사_청년임대주택 현황_20240630'!F1015,""ko"",""en"")"),"18.689")</f>
        <v>18.689</v>
      </c>
      <c r="G1015" s="1" t="str">
        <f ca="1">IFERROR(__xludf.DUMMYFUNCTION("GOOGLETRANSLATE('대전도시공사_청년임대주택 현황_20240630'!G1015,""ko"",""en"")"),"18.682")</f>
        <v>18.682</v>
      </c>
      <c r="H1015" s="1" t="str">
        <f ca="1">IFERROR(__xludf.DUMMYFUNCTION("GOOGLETRANSLATE('대전도시공사_청년임대주택 현황_20240630'!H1015,""ko"",""en"")"),"3rd place for youth rental")</f>
        <v>3rd place for youth rental</v>
      </c>
      <c r="I1015" s="1" t="str">
        <f ca="1">IFERROR(__xludf.DUMMYFUNCTION("GOOGLETRANSLATE('대전도시공사_청년임대주택 현황_20240630'!I1015,""ko"",""en"")"),"2000000")</f>
        <v>2000000</v>
      </c>
      <c r="J1015" s="1" t="str">
        <f ca="1">IFERROR(__xludf.DUMMYFUNCTION("GOOGLETRANSLATE('대전도시공사_청년임대주택 현황_20240630'!J1015,""ko"",""en"")"),"253700")</f>
        <v>253700</v>
      </c>
    </row>
    <row r="1016" spans="1:10" ht="12.5" x14ac:dyDescent="0.25">
      <c r="A1016" s="1" t="str">
        <f ca="1">IFERROR(__xludf.DUMMYFUNCTION("GOOGLETRANSLATE('대전도시공사_청년임대주택 현황_20240630'!A1016,""ko"",""en"")"),"Gungdong-ro 71 (City Palace, Youth Rental)")</f>
        <v>Gungdong-ro 71 (City Palace, Youth Rental)</v>
      </c>
      <c r="B1016" s="1" t="str">
        <f ca="1">IFERROR(__xludf.DUMMYFUNCTION("GOOGLETRANSLATE('대전도시공사_청년임대주택 현황_20240630'!B1016,""ko"",""en"")"),"40")</f>
        <v>40</v>
      </c>
      <c r="C1016" s="1" t="str">
        <f ca="1">IFERROR(__xludf.DUMMYFUNCTION("GOOGLETRANSLATE('대전도시공사_청년임대주택 현황_20240630'!C1016,""ko"",""en"")"),"1")</f>
        <v>1</v>
      </c>
      <c r="D1016" s="1" t="str">
        <f ca="1">IFERROR(__xludf.DUMMYFUNCTION("GOOGLETRANSLATE('대전도시공사_청년임대주택 현황_20240630'!D1016,""ko"",""en"")"),"304")</f>
        <v>304</v>
      </c>
      <c r="E1016" s="1" t="str">
        <f ca="1">IFERROR(__xludf.DUMMYFUNCTION("GOOGLETRANSLATE('대전도시공사_청년임대주택 현황_20240630'!E1016,""ko"",""en"")"),"35.683")</f>
        <v>35.683</v>
      </c>
      <c r="F1016" s="1" t="str">
        <f ca="1">IFERROR(__xludf.DUMMYFUNCTION("GOOGLETRANSLATE('대전도시공사_청년임대주택 현황_20240630'!F1016,""ko"",""en"")"),"17.822")</f>
        <v>17.822</v>
      </c>
      <c r="G1016" s="1" t="str">
        <f ca="1">IFERROR(__xludf.DUMMYFUNCTION("GOOGLETRANSLATE('대전도시공사_청년임대주택 현황_20240630'!G1016,""ko"",""en"")"),"17.861")</f>
        <v>17.861</v>
      </c>
      <c r="H1016" s="1" t="str">
        <f ca="1">IFERROR(__xludf.DUMMYFUNCTION("GOOGLETRANSLATE('대전도시공사_청년임대주택 현황_20240630'!H1016,""ko"",""en"")"),"Beneficiary")</f>
        <v>Beneficiary</v>
      </c>
      <c r="I1016" s="1" t="str">
        <f ca="1">IFERROR(__xludf.DUMMYFUNCTION("GOOGLETRANSLATE('대전도시공사_청년임대주택 현황_20240630'!I1016,""ko"",""en"")"),"1000000")</f>
        <v>1000000</v>
      </c>
      <c r="J1016" s="1" t="str">
        <f ca="1">IFERROR(__xludf.DUMMYFUNCTION("GOOGLETRANSLATE('대전도시공사_청년임대주택 현황_20240630'!J1016,""ko"",""en"")"),"198700")</f>
        <v>198700</v>
      </c>
    </row>
    <row r="1017" spans="1:10" ht="12.5" x14ac:dyDescent="0.25">
      <c r="A1017" s="1" t="str">
        <f ca="1">IFERROR(__xludf.DUMMYFUNCTION("GOOGLETRANSLATE('대전도시공사_청년임대주택 현황_20240630'!A1017,""ko"",""en"")"),"Gungdong-ro 71 (City Palace, Youth Rental)")</f>
        <v>Gungdong-ro 71 (City Palace, Youth Rental)</v>
      </c>
      <c r="B1017" s="1" t="str">
        <f ca="1">IFERROR(__xludf.DUMMYFUNCTION("GOOGLETRANSLATE('대전도시공사_청년임대주택 현황_20240630'!B1017,""ko"",""en"")"),"41")</f>
        <v>41</v>
      </c>
      <c r="C1017" s="1" t="str">
        <f ca="1">IFERROR(__xludf.DUMMYFUNCTION("GOOGLETRANSLATE('대전도시공사_청년임대주택 현황_20240630'!C1017,""ko"",""en"")"),"1")</f>
        <v>1</v>
      </c>
      <c r="D1017" s="1" t="str">
        <f ca="1">IFERROR(__xludf.DUMMYFUNCTION("GOOGLETRANSLATE('대전도시공사_청년임대주택 현황_20240630'!D1017,""ko"",""en"")"),"304")</f>
        <v>304</v>
      </c>
      <c r="E1017" s="1" t="str">
        <f ca="1">IFERROR(__xludf.DUMMYFUNCTION("GOOGLETRANSLATE('대전도시공사_청년임대주택 현황_20240630'!E1017,""ko"",""en"")"),"35.683")</f>
        <v>35.683</v>
      </c>
      <c r="F1017" s="1" t="str">
        <f ca="1">IFERROR(__xludf.DUMMYFUNCTION("GOOGLETRANSLATE('대전도시공사_청년임대주택 현황_20240630'!F1017,""ko"",""en"")"),"17.822")</f>
        <v>17.822</v>
      </c>
      <c r="G1017" s="1" t="str">
        <f ca="1">IFERROR(__xludf.DUMMYFUNCTION("GOOGLETRANSLATE('대전도시공사_청년임대주택 현황_20240630'!G1017,""ko"",""en"")"),"17.861")</f>
        <v>17.861</v>
      </c>
      <c r="H1017" s="1" t="str">
        <f ca="1">IFERROR(__xludf.DUMMYFUNCTION("GOOGLETRANSLATE('대전도시공사_청년임대주택 현황_20240630'!H1017,""ko"",""en"")"),"Youth Rental 2nd Place")</f>
        <v>Youth Rental 2nd Place</v>
      </c>
      <c r="I1017" s="1" t="str">
        <f ca="1">IFERROR(__xludf.DUMMYFUNCTION("GOOGLETRANSLATE('대전도시공사_청년임대주택 현황_20240630'!I1017,""ko"",""en"")"),"2000000")</f>
        <v>2000000</v>
      </c>
      <c r="J1017" s="1" t="str">
        <f ca="1">IFERROR(__xludf.DUMMYFUNCTION("GOOGLETRANSLATE('대전도시공사_청년임대주택 현황_20240630'!J1017,""ko"",""en"")"),"244300")</f>
        <v>244300</v>
      </c>
    </row>
    <row r="1018" spans="1:10" ht="12.5" x14ac:dyDescent="0.25">
      <c r="A1018" s="1" t="str">
        <f ca="1">IFERROR(__xludf.DUMMYFUNCTION("GOOGLETRANSLATE('대전도시공사_청년임대주택 현황_20240630'!A1018,""ko"",""en"")"),"Gungdong-ro 71 (City Palace, Youth Rental)")</f>
        <v>Gungdong-ro 71 (City Palace, Youth Rental)</v>
      </c>
      <c r="B1018" s="1" t="str">
        <f ca="1">IFERROR(__xludf.DUMMYFUNCTION("GOOGLETRANSLATE('대전도시공사_청년임대주택 현황_20240630'!B1018,""ko"",""en"")"),"42")</f>
        <v>42</v>
      </c>
      <c r="C1018" s="1" t="str">
        <f ca="1">IFERROR(__xludf.DUMMYFUNCTION("GOOGLETRANSLATE('대전도시공사_청년임대주택 현황_20240630'!C1018,""ko"",""en"")"),"1")</f>
        <v>1</v>
      </c>
      <c r="D1018" s="1" t="str">
        <f ca="1">IFERROR(__xludf.DUMMYFUNCTION("GOOGLETRANSLATE('대전도시공사_청년임대주택 현황_20240630'!D1018,""ko"",""en"")"),"304")</f>
        <v>304</v>
      </c>
      <c r="E1018" s="1" t="str">
        <f ca="1">IFERROR(__xludf.DUMMYFUNCTION("GOOGLETRANSLATE('대전도시공사_청년임대주택 현황_20240630'!E1018,""ko"",""en"")"),"35.683")</f>
        <v>35.683</v>
      </c>
      <c r="F1018" s="1" t="str">
        <f ca="1">IFERROR(__xludf.DUMMYFUNCTION("GOOGLETRANSLATE('대전도시공사_청년임대주택 현황_20240630'!F1018,""ko"",""en"")"),"17.822")</f>
        <v>17.822</v>
      </c>
      <c r="G1018" s="1" t="str">
        <f ca="1">IFERROR(__xludf.DUMMYFUNCTION("GOOGLETRANSLATE('대전도시공사_청년임대주택 현황_20240630'!G1018,""ko"",""en"")"),"17.861")</f>
        <v>17.861</v>
      </c>
      <c r="H1018" s="1" t="str">
        <f ca="1">IFERROR(__xludf.DUMMYFUNCTION("GOOGLETRANSLATE('대전도시공사_청년임대주택 현황_20240630'!H1018,""ko"",""en"")"),"3rd place for youth rental")</f>
        <v>3rd place for youth rental</v>
      </c>
      <c r="I1018" s="1" t="str">
        <f ca="1">IFERROR(__xludf.DUMMYFUNCTION("GOOGLETRANSLATE('대전도시공사_청년임대주택 현황_20240630'!I1018,""ko"",""en"")"),"2000000")</f>
        <v>2000000</v>
      </c>
      <c r="J1018" s="1" t="str">
        <f ca="1">IFERROR(__xludf.DUMMYFUNCTION("GOOGLETRANSLATE('대전도시공사_청년임대주택 현황_20240630'!J1018,""ko"",""en"")"),"244300")</f>
        <v>244300</v>
      </c>
    </row>
    <row r="1019" spans="1:10" ht="12.5" x14ac:dyDescent="0.25">
      <c r="A1019" s="1" t="str">
        <f ca="1">IFERROR(__xludf.DUMMYFUNCTION("GOOGLETRANSLATE('대전도시공사_청년임대주택 현황_20240630'!A1019,""ko"",""en"")"),"Gungdong-ro 71 (City Palace, Youth Rental)")</f>
        <v>Gungdong-ro 71 (City Palace, Youth Rental)</v>
      </c>
      <c r="B1019" s="1" t="str">
        <f ca="1">IFERROR(__xludf.DUMMYFUNCTION("GOOGLETRANSLATE('대전도시공사_청년임대주택 현황_20240630'!B1019,""ko"",""en"")"),"43")</f>
        <v>43</v>
      </c>
      <c r="C1019" s="1" t="str">
        <f ca="1">IFERROR(__xludf.DUMMYFUNCTION("GOOGLETRANSLATE('대전도시공사_청년임대주택 현황_20240630'!C1019,""ko"",""en"")"),"1")</f>
        <v>1</v>
      </c>
      <c r="D1019" s="1" t="str">
        <f ca="1">IFERROR(__xludf.DUMMYFUNCTION("GOOGLETRANSLATE('대전도시공사_청년임대주택 현황_20240630'!D1019,""ko"",""en"")"),"305")</f>
        <v>305</v>
      </c>
      <c r="E1019" s="1" t="str">
        <f ca="1">IFERROR(__xludf.DUMMYFUNCTION("GOOGLETRANSLATE('대전도시공사_청년임대주택 현황_20240630'!E1019,""ko"",""en"")"),"35.683")</f>
        <v>35.683</v>
      </c>
      <c r="F1019" s="1" t="str">
        <f ca="1">IFERROR(__xludf.DUMMYFUNCTION("GOOGLETRANSLATE('대전도시공사_청년임대주택 현황_20240630'!F1019,""ko"",""en"")"),"17.822")</f>
        <v>17.822</v>
      </c>
      <c r="G1019" s="1" t="str">
        <f ca="1">IFERROR(__xludf.DUMMYFUNCTION("GOOGLETRANSLATE('대전도시공사_청년임대주택 현황_20240630'!G1019,""ko"",""en"")"),"17.861")</f>
        <v>17.861</v>
      </c>
      <c r="H1019" s="1" t="str">
        <f ca="1">IFERROR(__xludf.DUMMYFUNCTION("GOOGLETRANSLATE('대전도시공사_청년임대주택 현황_20240630'!H1019,""ko"",""en"")"),"Beneficiary")</f>
        <v>Beneficiary</v>
      </c>
      <c r="I1019" s="1" t="str">
        <f ca="1">IFERROR(__xludf.DUMMYFUNCTION("GOOGLETRANSLATE('대전도시공사_청년임대주택 현황_20240630'!I1019,""ko"",""en"")"),"1000000")</f>
        <v>1000000</v>
      </c>
      <c r="J1019" s="1" t="str">
        <f ca="1">IFERROR(__xludf.DUMMYFUNCTION("GOOGLETRANSLATE('대전도시공사_청년임대주택 현황_20240630'!J1019,""ko"",""en"")"),"198700")</f>
        <v>198700</v>
      </c>
    </row>
    <row r="1020" spans="1:10" ht="12.5" x14ac:dyDescent="0.25">
      <c r="A1020" s="1" t="str">
        <f ca="1">IFERROR(__xludf.DUMMYFUNCTION("GOOGLETRANSLATE('대전도시공사_청년임대주택 현황_20240630'!A1020,""ko"",""en"")"),"Gungdong-ro 71 (City Palace, Youth Rental)")</f>
        <v>Gungdong-ro 71 (City Palace, Youth Rental)</v>
      </c>
      <c r="B1020" s="1" t="str">
        <f ca="1">IFERROR(__xludf.DUMMYFUNCTION("GOOGLETRANSLATE('대전도시공사_청년임대주택 현황_20240630'!B1020,""ko"",""en"")"),"44")</f>
        <v>44</v>
      </c>
      <c r="C1020" s="1" t="str">
        <f ca="1">IFERROR(__xludf.DUMMYFUNCTION("GOOGLETRANSLATE('대전도시공사_청년임대주택 현황_20240630'!C1020,""ko"",""en"")"),"1")</f>
        <v>1</v>
      </c>
      <c r="D1020" s="1" t="str">
        <f ca="1">IFERROR(__xludf.DUMMYFUNCTION("GOOGLETRANSLATE('대전도시공사_청년임대주택 현황_20240630'!D1020,""ko"",""en"")"),"305")</f>
        <v>305</v>
      </c>
      <c r="E1020" s="1" t="str">
        <f ca="1">IFERROR(__xludf.DUMMYFUNCTION("GOOGLETRANSLATE('대전도시공사_청년임대주택 현황_20240630'!E1020,""ko"",""en"")"),"35.683")</f>
        <v>35.683</v>
      </c>
      <c r="F1020" s="1" t="str">
        <f ca="1">IFERROR(__xludf.DUMMYFUNCTION("GOOGLETRANSLATE('대전도시공사_청년임대주택 현황_20240630'!F1020,""ko"",""en"")"),"17.822")</f>
        <v>17.822</v>
      </c>
      <c r="G1020" s="1" t="str">
        <f ca="1">IFERROR(__xludf.DUMMYFUNCTION("GOOGLETRANSLATE('대전도시공사_청년임대주택 현황_20240630'!G1020,""ko"",""en"")"),"17.861")</f>
        <v>17.861</v>
      </c>
      <c r="H1020" s="1" t="str">
        <f ca="1">IFERROR(__xludf.DUMMYFUNCTION("GOOGLETRANSLATE('대전도시공사_청년임대주택 현황_20240630'!H1020,""ko"",""en"")"),"Youth Rental 2nd Place")</f>
        <v>Youth Rental 2nd Place</v>
      </c>
      <c r="I1020" s="1" t="str">
        <f ca="1">IFERROR(__xludf.DUMMYFUNCTION("GOOGLETRANSLATE('대전도시공사_청년임대주택 현황_20240630'!I1020,""ko"",""en"")"),"2000000")</f>
        <v>2000000</v>
      </c>
      <c r="J1020" s="1" t="str">
        <f ca="1">IFERROR(__xludf.DUMMYFUNCTION("GOOGLETRANSLATE('대전도시공사_청년임대주택 현황_20240630'!J1020,""ko"",""en"")"),"244300")</f>
        <v>244300</v>
      </c>
    </row>
    <row r="1021" spans="1:10" ht="12.5" x14ac:dyDescent="0.25">
      <c r="A1021" s="1" t="str">
        <f ca="1">IFERROR(__xludf.DUMMYFUNCTION("GOOGLETRANSLATE('대전도시공사_청년임대주택 현황_20240630'!A1021,""ko"",""en"")"),"Gungdong-ro 71 (City Palace, Youth Rental)")</f>
        <v>Gungdong-ro 71 (City Palace, Youth Rental)</v>
      </c>
      <c r="B1021" s="1" t="str">
        <f ca="1">IFERROR(__xludf.DUMMYFUNCTION("GOOGLETRANSLATE('대전도시공사_청년임대주택 현황_20240630'!B1021,""ko"",""en"")"),"45")</f>
        <v>45</v>
      </c>
      <c r="C1021" s="1" t="str">
        <f ca="1">IFERROR(__xludf.DUMMYFUNCTION("GOOGLETRANSLATE('대전도시공사_청년임대주택 현황_20240630'!C1021,""ko"",""en"")"),"1")</f>
        <v>1</v>
      </c>
      <c r="D1021" s="1" t="str">
        <f ca="1">IFERROR(__xludf.DUMMYFUNCTION("GOOGLETRANSLATE('대전도시공사_청년임대주택 현황_20240630'!D1021,""ko"",""en"")"),"305")</f>
        <v>305</v>
      </c>
      <c r="E1021" s="1" t="str">
        <f ca="1">IFERROR(__xludf.DUMMYFUNCTION("GOOGLETRANSLATE('대전도시공사_청년임대주택 현황_20240630'!E1021,""ko"",""en"")"),"35.683")</f>
        <v>35.683</v>
      </c>
      <c r="F1021" s="1" t="str">
        <f ca="1">IFERROR(__xludf.DUMMYFUNCTION("GOOGLETRANSLATE('대전도시공사_청년임대주택 현황_20240630'!F1021,""ko"",""en"")"),"17.822")</f>
        <v>17.822</v>
      </c>
      <c r="G1021" s="1" t="str">
        <f ca="1">IFERROR(__xludf.DUMMYFUNCTION("GOOGLETRANSLATE('대전도시공사_청년임대주택 현황_20240630'!G1021,""ko"",""en"")"),"17.861")</f>
        <v>17.861</v>
      </c>
      <c r="H1021" s="1" t="str">
        <f ca="1">IFERROR(__xludf.DUMMYFUNCTION("GOOGLETRANSLATE('대전도시공사_청년임대주택 현황_20240630'!H1021,""ko"",""en"")"),"3rd place for youth rental")</f>
        <v>3rd place for youth rental</v>
      </c>
      <c r="I1021" s="1" t="str">
        <f ca="1">IFERROR(__xludf.DUMMYFUNCTION("GOOGLETRANSLATE('대전도시공사_청년임대주택 현황_20240630'!I1021,""ko"",""en"")"),"2000000")</f>
        <v>2000000</v>
      </c>
      <c r="J1021" s="1" t="str">
        <f ca="1">IFERROR(__xludf.DUMMYFUNCTION("GOOGLETRANSLATE('대전도시공사_청년임대주택 현황_20240630'!J1021,""ko"",""en"")"),"244300")</f>
        <v>244300</v>
      </c>
    </row>
    <row r="1022" spans="1:10" ht="12.5" x14ac:dyDescent="0.25">
      <c r="A1022" s="1" t="str">
        <f ca="1">IFERROR(__xludf.DUMMYFUNCTION("GOOGLETRANSLATE('대전도시공사_청년임대주택 현황_20240630'!A1022,""ko"",""en"")"),"Gungdong-ro 71 (City Palace, Youth Rental)")</f>
        <v>Gungdong-ro 71 (City Palace, Youth Rental)</v>
      </c>
      <c r="B1022" s="1" t="str">
        <f ca="1">IFERROR(__xludf.DUMMYFUNCTION("GOOGLETRANSLATE('대전도시공사_청년임대주택 현황_20240630'!B1022,""ko"",""en"")"),"46")</f>
        <v>46</v>
      </c>
      <c r="C1022" s="1" t="str">
        <f ca="1">IFERROR(__xludf.DUMMYFUNCTION("GOOGLETRANSLATE('대전도시공사_청년임대주택 현황_20240630'!C1022,""ko"",""en"")"),"1")</f>
        <v>1</v>
      </c>
      <c r="D1022" s="1" t="str">
        <f ca="1">IFERROR(__xludf.DUMMYFUNCTION("GOOGLETRANSLATE('대전도시공사_청년임대주택 현황_20240630'!D1022,""ko"",""en"")"),"306")</f>
        <v>306</v>
      </c>
      <c r="E1022" s="1" t="str">
        <f ca="1">IFERROR(__xludf.DUMMYFUNCTION("GOOGLETRANSLATE('대전도시공사_청년임대주택 현황_20240630'!E1022,""ko"",""en"")"),"35.683")</f>
        <v>35.683</v>
      </c>
      <c r="F1022" s="1" t="str">
        <f ca="1">IFERROR(__xludf.DUMMYFUNCTION("GOOGLETRANSLATE('대전도시공사_청년임대주택 현황_20240630'!F1022,""ko"",""en"")"),"17.822")</f>
        <v>17.822</v>
      </c>
      <c r="G1022" s="1" t="str">
        <f ca="1">IFERROR(__xludf.DUMMYFUNCTION("GOOGLETRANSLATE('대전도시공사_청년임대주택 현황_20240630'!G1022,""ko"",""en"")"),"17.861")</f>
        <v>17.861</v>
      </c>
      <c r="H1022" s="1" t="str">
        <f ca="1">IFERROR(__xludf.DUMMYFUNCTION("GOOGLETRANSLATE('대전도시공사_청년임대주택 현황_20240630'!H1022,""ko"",""en"")"),"Beneficiary")</f>
        <v>Beneficiary</v>
      </c>
      <c r="I1022" s="1" t="str">
        <f ca="1">IFERROR(__xludf.DUMMYFUNCTION("GOOGLETRANSLATE('대전도시공사_청년임대주택 현황_20240630'!I1022,""ko"",""en"")"),"1000000")</f>
        <v>1000000</v>
      </c>
      <c r="J1022" s="1" t="str">
        <f ca="1">IFERROR(__xludf.DUMMYFUNCTION("GOOGLETRANSLATE('대전도시공사_청년임대주택 현황_20240630'!J1022,""ko"",""en"")"),"198700")</f>
        <v>198700</v>
      </c>
    </row>
    <row r="1023" spans="1:10" ht="12.5" x14ac:dyDescent="0.25">
      <c r="A1023" s="1" t="str">
        <f ca="1">IFERROR(__xludf.DUMMYFUNCTION("GOOGLETRANSLATE('대전도시공사_청년임대주택 현황_20240630'!A1023,""ko"",""en"")"),"Gungdong-ro 71 (City Palace, Youth Rental)")</f>
        <v>Gungdong-ro 71 (City Palace, Youth Rental)</v>
      </c>
      <c r="B1023" s="1" t="str">
        <f ca="1">IFERROR(__xludf.DUMMYFUNCTION("GOOGLETRANSLATE('대전도시공사_청년임대주택 현황_20240630'!B1023,""ko"",""en"")"),"47")</f>
        <v>47</v>
      </c>
      <c r="C1023" s="1" t="str">
        <f ca="1">IFERROR(__xludf.DUMMYFUNCTION("GOOGLETRANSLATE('대전도시공사_청년임대주택 현황_20240630'!C1023,""ko"",""en"")"),"1")</f>
        <v>1</v>
      </c>
      <c r="D1023" s="1" t="str">
        <f ca="1">IFERROR(__xludf.DUMMYFUNCTION("GOOGLETRANSLATE('대전도시공사_청년임대주택 현황_20240630'!D1023,""ko"",""en"")"),"306")</f>
        <v>306</v>
      </c>
      <c r="E1023" s="1" t="str">
        <f ca="1">IFERROR(__xludf.DUMMYFUNCTION("GOOGLETRANSLATE('대전도시공사_청년임대주택 현황_20240630'!E1023,""ko"",""en"")"),"35.683")</f>
        <v>35.683</v>
      </c>
      <c r="F1023" s="1" t="str">
        <f ca="1">IFERROR(__xludf.DUMMYFUNCTION("GOOGLETRANSLATE('대전도시공사_청년임대주택 현황_20240630'!F1023,""ko"",""en"")"),"17.822")</f>
        <v>17.822</v>
      </c>
      <c r="G1023" s="1" t="str">
        <f ca="1">IFERROR(__xludf.DUMMYFUNCTION("GOOGLETRANSLATE('대전도시공사_청년임대주택 현황_20240630'!G1023,""ko"",""en"")"),"17.861")</f>
        <v>17.861</v>
      </c>
      <c r="H1023" s="1" t="str">
        <f ca="1">IFERROR(__xludf.DUMMYFUNCTION("GOOGLETRANSLATE('대전도시공사_청년임대주택 현황_20240630'!H1023,""ko"",""en"")"),"Youth Rental 2nd Place")</f>
        <v>Youth Rental 2nd Place</v>
      </c>
      <c r="I1023" s="1" t="str">
        <f ca="1">IFERROR(__xludf.DUMMYFUNCTION("GOOGLETRANSLATE('대전도시공사_청년임대주택 현황_20240630'!I1023,""ko"",""en"")"),"2000000")</f>
        <v>2000000</v>
      </c>
      <c r="J1023" s="1" t="str">
        <f ca="1">IFERROR(__xludf.DUMMYFUNCTION("GOOGLETRANSLATE('대전도시공사_청년임대주택 현황_20240630'!J1023,""ko"",""en"")"),"244300")</f>
        <v>244300</v>
      </c>
    </row>
    <row r="1024" spans="1:10" ht="12.5" x14ac:dyDescent="0.25">
      <c r="A1024" s="1" t="str">
        <f ca="1">IFERROR(__xludf.DUMMYFUNCTION("GOOGLETRANSLATE('대전도시공사_청년임대주택 현황_20240630'!A1024,""ko"",""en"")"),"Gungdong-ro 71 (City Palace, Youth Rental)")</f>
        <v>Gungdong-ro 71 (City Palace, Youth Rental)</v>
      </c>
      <c r="B1024" s="1" t="str">
        <f ca="1">IFERROR(__xludf.DUMMYFUNCTION("GOOGLETRANSLATE('대전도시공사_청년임대주택 현황_20240630'!B1024,""ko"",""en"")"),"48")</f>
        <v>48</v>
      </c>
      <c r="C1024" s="1" t="str">
        <f ca="1">IFERROR(__xludf.DUMMYFUNCTION("GOOGLETRANSLATE('대전도시공사_청년임대주택 현황_20240630'!C1024,""ko"",""en"")"),"1")</f>
        <v>1</v>
      </c>
      <c r="D1024" s="1" t="str">
        <f ca="1">IFERROR(__xludf.DUMMYFUNCTION("GOOGLETRANSLATE('대전도시공사_청년임대주택 현황_20240630'!D1024,""ko"",""en"")"),"306")</f>
        <v>306</v>
      </c>
      <c r="E1024" s="1" t="str">
        <f ca="1">IFERROR(__xludf.DUMMYFUNCTION("GOOGLETRANSLATE('대전도시공사_청년임대주택 현황_20240630'!E1024,""ko"",""en"")"),"35.683")</f>
        <v>35.683</v>
      </c>
      <c r="F1024" s="1" t="str">
        <f ca="1">IFERROR(__xludf.DUMMYFUNCTION("GOOGLETRANSLATE('대전도시공사_청년임대주택 현황_20240630'!F1024,""ko"",""en"")"),"17.822")</f>
        <v>17.822</v>
      </c>
      <c r="G1024" s="1" t="str">
        <f ca="1">IFERROR(__xludf.DUMMYFUNCTION("GOOGLETRANSLATE('대전도시공사_청년임대주택 현황_20240630'!G1024,""ko"",""en"")"),"17.861")</f>
        <v>17.861</v>
      </c>
      <c r="H1024" s="1" t="str">
        <f ca="1">IFERROR(__xludf.DUMMYFUNCTION("GOOGLETRANSLATE('대전도시공사_청년임대주택 현황_20240630'!H1024,""ko"",""en"")"),"3rd place for youth rental")</f>
        <v>3rd place for youth rental</v>
      </c>
      <c r="I1024" s="1" t="str">
        <f ca="1">IFERROR(__xludf.DUMMYFUNCTION("GOOGLETRANSLATE('대전도시공사_청년임대주택 현황_20240630'!I1024,""ko"",""en"")"),"2000000")</f>
        <v>2000000</v>
      </c>
      <c r="J1024" s="1" t="str">
        <f ca="1">IFERROR(__xludf.DUMMYFUNCTION("GOOGLETRANSLATE('대전도시공사_청년임대주택 현황_20240630'!J1024,""ko"",""en"")"),"244300")</f>
        <v>244300</v>
      </c>
    </row>
    <row r="1025" spans="1:10" ht="12.5" x14ac:dyDescent="0.25">
      <c r="A1025" s="1" t="str">
        <f ca="1">IFERROR(__xludf.DUMMYFUNCTION("GOOGLETRANSLATE('대전도시공사_청년임대주택 현황_20240630'!A1025,""ko"",""en"")"),"Gungdong-ro 71 (City Palace, Youth Rental)")</f>
        <v>Gungdong-ro 71 (City Palace, Youth Rental)</v>
      </c>
      <c r="B1025" s="1" t="str">
        <f ca="1">IFERROR(__xludf.DUMMYFUNCTION("GOOGLETRANSLATE('대전도시공사_청년임대주택 현황_20240630'!B1025,""ko"",""en"")"),"49")</f>
        <v>49</v>
      </c>
      <c r="C1025" s="1" t="str">
        <f ca="1">IFERROR(__xludf.DUMMYFUNCTION("GOOGLETRANSLATE('대전도시공사_청년임대주택 현황_20240630'!C1025,""ko"",""en"")"),"1")</f>
        <v>1</v>
      </c>
      <c r="D1025" s="1" t="str">
        <f ca="1">IFERROR(__xludf.DUMMYFUNCTION("GOOGLETRANSLATE('대전도시공사_청년임대주택 현황_20240630'!D1025,""ko"",""en"")"),"307")</f>
        <v>307</v>
      </c>
      <c r="E1025" s="1" t="str">
        <f ca="1">IFERROR(__xludf.DUMMYFUNCTION("GOOGLETRANSLATE('대전도시공사_청년임대주택 현황_20240630'!E1025,""ko"",""en"")"),"35.683")</f>
        <v>35.683</v>
      </c>
      <c r="F1025" s="1" t="str">
        <f ca="1">IFERROR(__xludf.DUMMYFUNCTION("GOOGLETRANSLATE('대전도시공사_청년임대주택 현황_20240630'!F1025,""ko"",""en"")"),"17.822")</f>
        <v>17.822</v>
      </c>
      <c r="G1025" s="1" t="str">
        <f ca="1">IFERROR(__xludf.DUMMYFUNCTION("GOOGLETRANSLATE('대전도시공사_청년임대주택 현황_20240630'!G1025,""ko"",""en"")"),"17.861")</f>
        <v>17.861</v>
      </c>
      <c r="H1025" s="1" t="str">
        <f ca="1">IFERROR(__xludf.DUMMYFUNCTION("GOOGLETRANSLATE('대전도시공사_청년임대주택 현황_20240630'!H1025,""ko"",""en"")"),"Beneficiary")</f>
        <v>Beneficiary</v>
      </c>
      <c r="I1025" s="1" t="str">
        <f ca="1">IFERROR(__xludf.DUMMYFUNCTION("GOOGLETRANSLATE('대전도시공사_청년임대주택 현황_20240630'!I1025,""ko"",""en"")"),"1000000")</f>
        <v>1000000</v>
      </c>
      <c r="J1025" s="1" t="str">
        <f ca="1">IFERROR(__xludf.DUMMYFUNCTION("GOOGLETRANSLATE('대전도시공사_청년임대주택 현황_20240630'!J1025,""ko"",""en"")"),"198700")</f>
        <v>198700</v>
      </c>
    </row>
    <row r="1026" spans="1:10" ht="12.5" x14ac:dyDescent="0.25">
      <c r="A1026" s="1" t="str">
        <f ca="1">IFERROR(__xludf.DUMMYFUNCTION("GOOGLETRANSLATE('대전도시공사_청년임대주택 현황_20240630'!A1026,""ko"",""en"")"),"Gungdong-ro 71 (City Palace, Youth Rental)")</f>
        <v>Gungdong-ro 71 (City Palace, Youth Rental)</v>
      </c>
      <c r="B1026" s="1" t="str">
        <f ca="1">IFERROR(__xludf.DUMMYFUNCTION("GOOGLETRANSLATE('대전도시공사_청년임대주택 현황_20240630'!B1026,""ko"",""en"")"),"50")</f>
        <v>50</v>
      </c>
      <c r="C1026" s="1" t="str">
        <f ca="1">IFERROR(__xludf.DUMMYFUNCTION("GOOGLETRANSLATE('대전도시공사_청년임대주택 현황_20240630'!C1026,""ko"",""en"")"),"1")</f>
        <v>1</v>
      </c>
      <c r="D1026" s="1" t="str">
        <f ca="1">IFERROR(__xludf.DUMMYFUNCTION("GOOGLETRANSLATE('대전도시공사_청년임대주택 현황_20240630'!D1026,""ko"",""en"")"),"307")</f>
        <v>307</v>
      </c>
      <c r="E1026" s="1" t="str">
        <f ca="1">IFERROR(__xludf.DUMMYFUNCTION("GOOGLETRANSLATE('대전도시공사_청년임대주택 현황_20240630'!E1026,""ko"",""en"")"),"35.683")</f>
        <v>35.683</v>
      </c>
      <c r="F1026" s="1" t="str">
        <f ca="1">IFERROR(__xludf.DUMMYFUNCTION("GOOGLETRANSLATE('대전도시공사_청년임대주택 현황_20240630'!F1026,""ko"",""en"")"),"17.822")</f>
        <v>17.822</v>
      </c>
      <c r="G1026" s="1" t="str">
        <f ca="1">IFERROR(__xludf.DUMMYFUNCTION("GOOGLETRANSLATE('대전도시공사_청년임대주택 현황_20240630'!G1026,""ko"",""en"")"),"17.861")</f>
        <v>17.861</v>
      </c>
      <c r="H1026" s="1" t="str">
        <f ca="1">IFERROR(__xludf.DUMMYFUNCTION("GOOGLETRANSLATE('대전도시공사_청년임대주택 현황_20240630'!H1026,""ko"",""en"")"),"Youth Rental 2nd Place")</f>
        <v>Youth Rental 2nd Place</v>
      </c>
      <c r="I1026" s="1" t="str">
        <f ca="1">IFERROR(__xludf.DUMMYFUNCTION("GOOGLETRANSLATE('대전도시공사_청년임대주택 현황_20240630'!I1026,""ko"",""en"")"),"2000000")</f>
        <v>2000000</v>
      </c>
      <c r="J1026" s="1" t="str">
        <f ca="1">IFERROR(__xludf.DUMMYFUNCTION("GOOGLETRANSLATE('대전도시공사_청년임대주택 현황_20240630'!J1026,""ko"",""en"")"),"244300")</f>
        <v>244300</v>
      </c>
    </row>
    <row r="1027" spans="1:10" ht="12.5" x14ac:dyDescent="0.25">
      <c r="A1027" s="1" t="str">
        <f ca="1">IFERROR(__xludf.DUMMYFUNCTION("GOOGLETRANSLATE('대전도시공사_청년임대주택 현황_20240630'!A1027,""ko"",""en"")"),"Gungdong-ro 71 (City Palace, Youth Rental)")</f>
        <v>Gungdong-ro 71 (City Palace, Youth Rental)</v>
      </c>
      <c r="B1027" s="1" t="str">
        <f ca="1">IFERROR(__xludf.DUMMYFUNCTION("GOOGLETRANSLATE('대전도시공사_청년임대주택 현황_20240630'!B1027,""ko"",""en"")"),"51")</f>
        <v>51</v>
      </c>
      <c r="C1027" s="1" t="str">
        <f ca="1">IFERROR(__xludf.DUMMYFUNCTION("GOOGLETRANSLATE('대전도시공사_청년임대주택 현황_20240630'!C1027,""ko"",""en"")"),"1")</f>
        <v>1</v>
      </c>
      <c r="D1027" s="1" t="str">
        <f ca="1">IFERROR(__xludf.DUMMYFUNCTION("GOOGLETRANSLATE('대전도시공사_청년임대주택 현황_20240630'!D1027,""ko"",""en"")"),"307")</f>
        <v>307</v>
      </c>
      <c r="E1027" s="1" t="str">
        <f ca="1">IFERROR(__xludf.DUMMYFUNCTION("GOOGLETRANSLATE('대전도시공사_청년임대주택 현황_20240630'!E1027,""ko"",""en"")"),"35.683")</f>
        <v>35.683</v>
      </c>
      <c r="F1027" s="1" t="str">
        <f ca="1">IFERROR(__xludf.DUMMYFUNCTION("GOOGLETRANSLATE('대전도시공사_청년임대주택 현황_20240630'!F1027,""ko"",""en"")"),"17.822")</f>
        <v>17.822</v>
      </c>
      <c r="G1027" s="1" t="str">
        <f ca="1">IFERROR(__xludf.DUMMYFUNCTION("GOOGLETRANSLATE('대전도시공사_청년임대주택 현황_20240630'!G1027,""ko"",""en"")"),"17.861")</f>
        <v>17.861</v>
      </c>
      <c r="H1027" s="1" t="str">
        <f ca="1">IFERROR(__xludf.DUMMYFUNCTION("GOOGLETRANSLATE('대전도시공사_청년임대주택 현황_20240630'!H1027,""ko"",""en"")"),"3rd place for youth rental")</f>
        <v>3rd place for youth rental</v>
      </c>
      <c r="I1027" s="1" t="str">
        <f ca="1">IFERROR(__xludf.DUMMYFUNCTION("GOOGLETRANSLATE('대전도시공사_청년임대주택 현황_20240630'!I1027,""ko"",""en"")"),"2000000")</f>
        <v>2000000</v>
      </c>
      <c r="J1027" s="1" t="str">
        <f ca="1">IFERROR(__xludf.DUMMYFUNCTION("GOOGLETRANSLATE('대전도시공사_청년임대주택 현황_20240630'!J1027,""ko"",""en"")"),"244300")</f>
        <v>244300</v>
      </c>
    </row>
    <row r="1028" spans="1:10" ht="12.5" x14ac:dyDescent="0.25">
      <c r="A1028" s="1" t="str">
        <f ca="1">IFERROR(__xludf.DUMMYFUNCTION("GOOGLETRANSLATE('대전도시공사_청년임대주택 현황_20240630'!A1028,""ko"",""en"")"),"Gungdong-ro 71 (City Palace, Youth Rental)")</f>
        <v>Gungdong-ro 71 (City Palace, Youth Rental)</v>
      </c>
      <c r="B1028" s="1" t="str">
        <f ca="1">IFERROR(__xludf.DUMMYFUNCTION("GOOGLETRANSLATE('대전도시공사_청년임대주택 현황_20240630'!B1028,""ko"",""en"")"),"52")</f>
        <v>52</v>
      </c>
      <c r="C1028" s="1" t="str">
        <f ca="1">IFERROR(__xludf.DUMMYFUNCTION("GOOGLETRANSLATE('대전도시공사_청년임대주택 현황_20240630'!C1028,""ko"",""en"")"),"1")</f>
        <v>1</v>
      </c>
      <c r="D1028" s="1" t="str">
        <f ca="1">IFERROR(__xludf.DUMMYFUNCTION("GOOGLETRANSLATE('대전도시공사_청년임대주택 현황_20240630'!D1028,""ko"",""en"")"),"308")</f>
        <v>308</v>
      </c>
      <c r="E1028" s="1" t="str">
        <f ca="1">IFERROR(__xludf.DUMMYFUNCTION("GOOGLETRANSLATE('대전도시공사_청년임대주택 현황_20240630'!E1028,""ko"",""en"")"),"35.683")</f>
        <v>35.683</v>
      </c>
      <c r="F1028" s="1" t="str">
        <f ca="1">IFERROR(__xludf.DUMMYFUNCTION("GOOGLETRANSLATE('대전도시공사_청년임대주택 현황_20240630'!F1028,""ko"",""en"")"),"17.822")</f>
        <v>17.822</v>
      </c>
      <c r="G1028" s="1" t="str">
        <f ca="1">IFERROR(__xludf.DUMMYFUNCTION("GOOGLETRANSLATE('대전도시공사_청년임대주택 현황_20240630'!G1028,""ko"",""en"")"),"17.861")</f>
        <v>17.861</v>
      </c>
      <c r="H1028" s="1" t="str">
        <f ca="1">IFERROR(__xludf.DUMMYFUNCTION("GOOGLETRANSLATE('대전도시공사_청년임대주택 현황_20240630'!H1028,""ko"",""en"")"),"Beneficiary")</f>
        <v>Beneficiary</v>
      </c>
      <c r="I1028" s="1" t="str">
        <f ca="1">IFERROR(__xludf.DUMMYFUNCTION("GOOGLETRANSLATE('대전도시공사_청년임대주택 현황_20240630'!I1028,""ko"",""en"")"),"1000000")</f>
        <v>1000000</v>
      </c>
      <c r="J1028" s="1" t="str">
        <f ca="1">IFERROR(__xludf.DUMMYFUNCTION("GOOGLETRANSLATE('대전도시공사_청년임대주택 현황_20240630'!J1028,""ko"",""en"")"),"198700")</f>
        <v>198700</v>
      </c>
    </row>
    <row r="1029" spans="1:10" ht="12.5" x14ac:dyDescent="0.25">
      <c r="A1029" s="1" t="str">
        <f ca="1">IFERROR(__xludf.DUMMYFUNCTION("GOOGLETRANSLATE('대전도시공사_청년임대주택 현황_20240630'!A1029,""ko"",""en"")"),"Gungdong-ro 71 (City Palace, Youth Rental)")</f>
        <v>Gungdong-ro 71 (City Palace, Youth Rental)</v>
      </c>
      <c r="B1029" s="1" t="str">
        <f ca="1">IFERROR(__xludf.DUMMYFUNCTION("GOOGLETRANSLATE('대전도시공사_청년임대주택 현황_20240630'!B1029,""ko"",""en"")"),"53")</f>
        <v>53</v>
      </c>
      <c r="C1029" s="1" t="str">
        <f ca="1">IFERROR(__xludf.DUMMYFUNCTION("GOOGLETRANSLATE('대전도시공사_청년임대주택 현황_20240630'!C1029,""ko"",""en"")"),"1")</f>
        <v>1</v>
      </c>
      <c r="D1029" s="1" t="str">
        <f ca="1">IFERROR(__xludf.DUMMYFUNCTION("GOOGLETRANSLATE('대전도시공사_청년임대주택 현황_20240630'!D1029,""ko"",""en"")"),"308")</f>
        <v>308</v>
      </c>
      <c r="E1029" s="1" t="str">
        <f ca="1">IFERROR(__xludf.DUMMYFUNCTION("GOOGLETRANSLATE('대전도시공사_청년임대주택 현황_20240630'!E1029,""ko"",""en"")"),"35.683")</f>
        <v>35.683</v>
      </c>
      <c r="F1029" s="1" t="str">
        <f ca="1">IFERROR(__xludf.DUMMYFUNCTION("GOOGLETRANSLATE('대전도시공사_청년임대주택 현황_20240630'!F1029,""ko"",""en"")"),"17.822")</f>
        <v>17.822</v>
      </c>
      <c r="G1029" s="1" t="str">
        <f ca="1">IFERROR(__xludf.DUMMYFUNCTION("GOOGLETRANSLATE('대전도시공사_청년임대주택 현황_20240630'!G1029,""ko"",""en"")"),"17.861")</f>
        <v>17.861</v>
      </c>
      <c r="H1029" s="1" t="str">
        <f ca="1">IFERROR(__xludf.DUMMYFUNCTION("GOOGLETRANSLATE('대전도시공사_청년임대주택 현황_20240630'!H1029,""ko"",""en"")"),"Youth Rental 2nd Place")</f>
        <v>Youth Rental 2nd Place</v>
      </c>
      <c r="I1029" s="1" t="str">
        <f ca="1">IFERROR(__xludf.DUMMYFUNCTION("GOOGLETRANSLATE('대전도시공사_청년임대주택 현황_20240630'!I1029,""ko"",""en"")"),"2000000")</f>
        <v>2000000</v>
      </c>
      <c r="J1029" s="1" t="str">
        <f ca="1">IFERROR(__xludf.DUMMYFUNCTION("GOOGLETRANSLATE('대전도시공사_청년임대주택 현황_20240630'!J1029,""ko"",""en"")"),"244300")</f>
        <v>244300</v>
      </c>
    </row>
    <row r="1030" spans="1:10" ht="12.5" x14ac:dyDescent="0.25">
      <c r="A1030" s="1" t="str">
        <f ca="1">IFERROR(__xludf.DUMMYFUNCTION("GOOGLETRANSLATE('대전도시공사_청년임대주택 현황_20240630'!A1030,""ko"",""en"")"),"Gungdong-ro 71 (City Palace, Youth Rental)")</f>
        <v>Gungdong-ro 71 (City Palace, Youth Rental)</v>
      </c>
      <c r="B1030" s="1" t="str">
        <f ca="1">IFERROR(__xludf.DUMMYFUNCTION("GOOGLETRANSLATE('대전도시공사_청년임대주택 현황_20240630'!B1030,""ko"",""en"")"),"54")</f>
        <v>54</v>
      </c>
      <c r="C1030" s="1" t="str">
        <f ca="1">IFERROR(__xludf.DUMMYFUNCTION("GOOGLETRANSLATE('대전도시공사_청년임대주택 현황_20240630'!C1030,""ko"",""en"")"),"1")</f>
        <v>1</v>
      </c>
      <c r="D1030" s="1" t="str">
        <f ca="1">IFERROR(__xludf.DUMMYFUNCTION("GOOGLETRANSLATE('대전도시공사_청년임대주택 현황_20240630'!D1030,""ko"",""en"")"),"308")</f>
        <v>308</v>
      </c>
      <c r="E1030" s="1" t="str">
        <f ca="1">IFERROR(__xludf.DUMMYFUNCTION("GOOGLETRANSLATE('대전도시공사_청년임대주택 현황_20240630'!E1030,""ko"",""en"")"),"35.683")</f>
        <v>35.683</v>
      </c>
      <c r="F1030" s="1" t="str">
        <f ca="1">IFERROR(__xludf.DUMMYFUNCTION("GOOGLETRANSLATE('대전도시공사_청년임대주택 현황_20240630'!F1030,""ko"",""en"")"),"17.822")</f>
        <v>17.822</v>
      </c>
      <c r="G1030" s="1" t="str">
        <f ca="1">IFERROR(__xludf.DUMMYFUNCTION("GOOGLETRANSLATE('대전도시공사_청년임대주택 현황_20240630'!G1030,""ko"",""en"")"),"17.861")</f>
        <v>17.861</v>
      </c>
      <c r="H1030" s="1" t="str">
        <f ca="1">IFERROR(__xludf.DUMMYFUNCTION("GOOGLETRANSLATE('대전도시공사_청년임대주택 현황_20240630'!H1030,""ko"",""en"")"),"3rd place for youth rental")</f>
        <v>3rd place for youth rental</v>
      </c>
      <c r="I1030" s="1" t="str">
        <f ca="1">IFERROR(__xludf.DUMMYFUNCTION("GOOGLETRANSLATE('대전도시공사_청년임대주택 현황_20240630'!I1030,""ko"",""en"")"),"2000000")</f>
        <v>2000000</v>
      </c>
      <c r="J1030" s="1" t="str">
        <f ca="1">IFERROR(__xludf.DUMMYFUNCTION("GOOGLETRANSLATE('대전도시공사_청년임대주택 현황_20240630'!J1030,""ko"",""en"")"),"244300")</f>
        <v>244300</v>
      </c>
    </row>
    <row r="1031" spans="1:10" ht="12.5" x14ac:dyDescent="0.25">
      <c r="A1031" s="1" t="str">
        <f ca="1">IFERROR(__xludf.DUMMYFUNCTION("GOOGLETRANSLATE('대전도시공사_청년임대주택 현황_20240630'!A1031,""ko"",""en"")"),"Gungdong-ro 71 (City Palace, Youth Rental)")</f>
        <v>Gungdong-ro 71 (City Palace, Youth Rental)</v>
      </c>
      <c r="B1031" s="1" t="str">
        <f ca="1">IFERROR(__xludf.DUMMYFUNCTION("GOOGLETRANSLATE('대전도시공사_청년임대주택 현황_20240630'!B1031,""ko"",""en"")"),"55")</f>
        <v>55</v>
      </c>
      <c r="C1031" s="1" t="str">
        <f ca="1">IFERROR(__xludf.DUMMYFUNCTION("GOOGLETRANSLATE('대전도시공사_청년임대주택 현황_20240630'!C1031,""ko"",""en"")"),"1")</f>
        <v>1</v>
      </c>
      <c r="D1031" s="1" t="str">
        <f ca="1">IFERROR(__xludf.DUMMYFUNCTION("GOOGLETRANSLATE('대전도시공사_청년임대주택 현황_20240630'!D1031,""ko"",""en"")"),"309")</f>
        <v>309</v>
      </c>
      <c r="E1031" s="1" t="str">
        <f ca="1">IFERROR(__xludf.DUMMYFUNCTION("GOOGLETRANSLATE('대전도시공사_청년임대주택 현황_20240630'!E1031,""ko"",""en"")"),"35.683")</f>
        <v>35.683</v>
      </c>
      <c r="F1031" s="1" t="str">
        <f ca="1">IFERROR(__xludf.DUMMYFUNCTION("GOOGLETRANSLATE('대전도시공사_청년임대주택 현황_20240630'!F1031,""ko"",""en"")"),"17.822")</f>
        <v>17.822</v>
      </c>
      <c r="G1031" s="1" t="str">
        <f ca="1">IFERROR(__xludf.DUMMYFUNCTION("GOOGLETRANSLATE('대전도시공사_청년임대주택 현황_20240630'!G1031,""ko"",""en"")"),"17.861")</f>
        <v>17.861</v>
      </c>
      <c r="H1031" s="1" t="str">
        <f ca="1">IFERROR(__xludf.DUMMYFUNCTION("GOOGLETRANSLATE('대전도시공사_청년임대주택 현황_20240630'!H1031,""ko"",""en"")"),"Beneficiary")</f>
        <v>Beneficiary</v>
      </c>
      <c r="I1031" s="1" t="str">
        <f ca="1">IFERROR(__xludf.DUMMYFUNCTION("GOOGLETRANSLATE('대전도시공사_청년임대주택 현황_20240630'!I1031,""ko"",""en"")"),"1000000")</f>
        <v>1000000</v>
      </c>
      <c r="J1031" s="1" t="str">
        <f ca="1">IFERROR(__xludf.DUMMYFUNCTION("GOOGLETRANSLATE('대전도시공사_청년임대주택 현황_20240630'!J1031,""ko"",""en"")"),"198700")</f>
        <v>198700</v>
      </c>
    </row>
    <row r="1032" spans="1:10" ht="12.5" x14ac:dyDescent="0.25">
      <c r="A1032" s="1" t="str">
        <f ca="1">IFERROR(__xludf.DUMMYFUNCTION("GOOGLETRANSLATE('대전도시공사_청년임대주택 현황_20240630'!A1032,""ko"",""en"")"),"Gungdong-ro 71 (City Palace, Youth Rental)")</f>
        <v>Gungdong-ro 71 (City Palace, Youth Rental)</v>
      </c>
      <c r="B1032" s="1" t="str">
        <f ca="1">IFERROR(__xludf.DUMMYFUNCTION("GOOGLETRANSLATE('대전도시공사_청년임대주택 현황_20240630'!B1032,""ko"",""en"")"),"56")</f>
        <v>56</v>
      </c>
      <c r="C1032" s="1" t="str">
        <f ca="1">IFERROR(__xludf.DUMMYFUNCTION("GOOGLETRANSLATE('대전도시공사_청년임대주택 현황_20240630'!C1032,""ko"",""en"")"),"1")</f>
        <v>1</v>
      </c>
      <c r="D1032" s="1" t="str">
        <f ca="1">IFERROR(__xludf.DUMMYFUNCTION("GOOGLETRANSLATE('대전도시공사_청년임대주택 현황_20240630'!D1032,""ko"",""en"")"),"309")</f>
        <v>309</v>
      </c>
      <c r="E1032" s="1" t="str">
        <f ca="1">IFERROR(__xludf.DUMMYFUNCTION("GOOGLETRANSLATE('대전도시공사_청년임대주택 현황_20240630'!E1032,""ko"",""en"")"),"35.683")</f>
        <v>35.683</v>
      </c>
      <c r="F1032" s="1" t="str">
        <f ca="1">IFERROR(__xludf.DUMMYFUNCTION("GOOGLETRANSLATE('대전도시공사_청년임대주택 현황_20240630'!F1032,""ko"",""en"")"),"17.822")</f>
        <v>17.822</v>
      </c>
      <c r="G1032" s="1" t="str">
        <f ca="1">IFERROR(__xludf.DUMMYFUNCTION("GOOGLETRANSLATE('대전도시공사_청년임대주택 현황_20240630'!G1032,""ko"",""en"")"),"17.861")</f>
        <v>17.861</v>
      </c>
      <c r="H1032" s="1" t="str">
        <f ca="1">IFERROR(__xludf.DUMMYFUNCTION("GOOGLETRANSLATE('대전도시공사_청년임대주택 현황_20240630'!H1032,""ko"",""en"")"),"Youth Rental 2nd Place")</f>
        <v>Youth Rental 2nd Place</v>
      </c>
      <c r="I1032" s="1" t="str">
        <f ca="1">IFERROR(__xludf.DUMMYFUNCTION("GOOGLETRANSLATE('대전도시공사_청년임대주택 현황_20240630'!I1032,""ko"",""en"")"),"2000000")</f>
        <v>2000000</v>
      </c>
      <c r="J1032" s="1" t="str">
        <f ca="1">IFERROR(__xludf.DUMMYFUNCTION("GOOGLETRANSLATE('대전도시공사_청년임대주택 현황_20240630'!J1032,""ko"",""en"")"),"244300")</f>
        <v>244300</v>
      </c>
    </row>
    <row r="1033" spans="1:10" ht="12.5" x14ac:dyDescent="0.25">
      <c r="A1033" s="1" t="str">
        <f ca="1">IFERROR(__xludf.DUMMYFUNCTION("GOOGLETRANSLATE('대전도시공사_청년임대주택 현황_20240630'!A1033,""ko"",""en"")"),"Gungdong-ro 71 (City Palace, Youth Rental)")</f>
        <v>Gungdong-ro 71 (City Palace, Youth Rental)</v>
      </c>
      <c r="B1033" s="1" t="str">
        <f ca="1">IFERROR(__xludf.DUMMYFUNCTION("GOOGLETRANSLATE('대전도시공사_청년임대주택 현황_20240630'!B1033,""ko"",""en"")"),"57")</f>
        <v>57</v>
      </c>
      <c r="C1033" s="1" t="str">
        <f ca="1">IFERROR(__xludf.DUMMYFUNCTION("GOOGLETRANSLATE('대전도시공사_청년임대주택 현황_20240630'!C1033,""ko"",""en"")"),"1")</f>
        <v>1</v>
      </c>
      <c r="D1033" s="1" t="str">
        <f ca="1">IFERROR(__xludf.DUMMYFUNCTION("GOOGLETRANSLATE('대전도시공사_청년임대주택 현황_20240630'!D1033,""ko"",""en"")"),"309")</f>
        <v>309</v>
      </c>
      <c r="E1033" s="1" t="str">
        <f ca="1">IFERROR(__xludf.DUMMYFUNCTION("GOOGLETRANSLATE('대전도시공사_청년임대주택 현황_20240630'!E1033,""ko"",""en"")"),"35.683")</f>
        <v>35.683</v>
      </c>
      <c r="F1033" s="1" t="str">
        <f ca="1">IFERROR(__xludf.DUMMYFUNCTION("GOOGLETRANSLATE('대전도시공사_청년임대주택 현황_20240630'!F1033,""ko"",""en"")"),"17.822")</f>
        <v>17.822</v>
      </c>
      <c r="G1033" s="1" t="str">
        <f ca="1">IFERROR(__xludf.DUMMYFUNCTION("GOOGLETRANSLATE('대전도시공사_청년임대주택 현황_20240630'!G1033,""ko"",""en"")"),"17.861")</f>
        <v>17.861</v>
      </c>
      <c r="H1033" s="1" t="str">
        <f ca="1">IFERROR(__xludf.DUMMYFUNCTION("GOOGLETRANSLATE('대전도시공사_청년임대주택 현황_20240630'!H1033,""ko"",""en"")"),"3rd place for youth rental")</f>
        <v>3rd place for youth rental</v>
      </c>
      <c r="I1033" s="1" t="str">
        <f ca="1">IFERROR(__xludf.DUMMYFUNCTION("GOOGLETRANSLATE('대전도시공사_청년임대주택 현황_20240630'!I1033,""ko"",""en"")"),"2000000")</f>
        <v>2000000</v>
      </c>
      <c r="J1033" s="1" t="str">
        <f ca="1">IFERROR(__xludf.DUMMYFUNCTION("GOOGLETRANSLATE('대전도시공사_청년임대주택 현황_20240630'!J1033,""ko"",""en"")"),"244300")</f>
        <v>244300</v>
      </c>
    </row>
    <row r="1034" spans="1:10" ht="12.5" x14ac:dyDescent="0.25">
      <c r="A1034" s="1" t="str">
        <f ca="1">IFERROR(__xludf.DUMMYFUNCTION("GOOGLETRANSLATE('대전도시공사_청년임대주택 현황_20240630'!A1034,""ko"",""en"")"),"Gungdong-ro 71 (City Palace, Youth Rental)")</f>
        <v>Gungdong-ro 71 (City Palace, Youth Rental)</v>
      </c>
      <c r="B1034" s="1" t="str">
        <f ca="1">IFERROR(__xludf.DUMMYFUNCTION("GOOGLETRANSLATE('대전도시공사_청년임대주택 현황_20240630'!B1034,""ko"",""en"")"),"58")</f>
        <v>58</v>
      </c>
      <c r="C1034" s="1" t="str">
        <f ca="1">IFERROR(__xludf.DUMMYFUNCTION("GOOGLETRANSLATE('대전도시공사_청년임대주택 현황_20240630'!C1034,""ko"",""en"")"),"1")</f>
        <v>1</v>
      </c>
      <c r="D1034" s="1" t="str">
        <f ca="1">IFERROR(__xludf.DUMMYFUNCTION("GOOGLETRANSLATE('대전도시공사_청년임대주택 현황_20240630'!D1034,""ko"",""en"")"),"311")</f>
        <v>311</v>
      </c>
      <c r="E1034" s="1" t="str">
        <f ca="1">IFERROR(__xludf.DUMMYFUNCTION("GOOGLETRANSLATE('대전도시공사_청년임대주택 현황_20240630'!E1034,""ko"",""en"")"),"35.683")</f>
        <v>35.683</v>
      </c>
      <c r="F1034" s="1" t="str">
        <f ca="1">IFERROR(__xludf.DUMMYFUNCTION("GOOGLETRANSLATE('대전도시공사_청년임대주택 현황_20240630'!F1034,""ko"",""en"")"),"17.822")</f>
        <v>17.822</v>
      </c>
      <c r="G1034" s="1" t="str">
        <f ca="1">IFERROR(__xludf.DUMMYFUNCTION("GOOGLETRANSLATE('대전도시공사_청년임대주택 현황_20240630'!G1034,""ko"",""en"")"),"17.861")</f>
        <v>17.861</v>
      </c>
      <c r="H1034" s="1" t="str">
        <f ca="1">IFERROR(__xludf.DUMMYFUNCTION("GOOGLETRANSLATE('대전도시공사_청년임대주택 현황_20240630'!H1034,""ko"",""en"")"),"Beneficiary")</f>
        <v>Beneficiary</v>
      </c>
      <c r="I1034" s="1" t="str">
        <f ca="1">IFERROR(__xludf.DUMMYFUNCTION("GOOGLETRANSLATE('대전도시공사_청년임대주택 현황_20240630'!I1034,""ko"",""en"")"),"1000000")</f>
        <v>1000000</v>
      </c>
      <c r="J1034" s="1" t="str">
        <f ca="1">IFERROR(__xludf.DUMMYFUNCTION("GOOGLETRANSLATE('대전도시공사_청년임대주택 현황_20240630'!J1034,""ko"",""en"")"),"198700")</f>
        <v>198700</v>
      </c>
    </row>
    <row r="1035" spans="1:10" ht="12.5" x14ac:dyDescent="0.25">
      <c r="A1035" s="1" t="str">
        <f ca="1">IFERROR(__xludf.DUMMYFUNCTION("GOOGLETRANSLATE('대전도시공사_청년임대주택 현황_20240630'!A1035,""ko"",""en"")"),"Gungdong-ro 71 (City Palace, Youth Rental)")</f>
        <v>Gungdong-ro 71 (City Palace, Youth Rental)</v>
      </c>
      <c r="B1035" s="1" t="str">
        <f ca="1">IFERROR(__xludf.DUMMYFUNCTION("GOOGLETRANSLATE('대전도시공사_청년임대주택 현황_20240630'!B1035,""ko"",""en"")"),"59")</f>
        <v>59</v>
      </c>
      <c r="C1035" s="1" t="str">
        <f ca="1">IFERROR(__xludf.DUMMYFUNCTION("GOOGLETRANSLATE('대전도시공사_청년임대주택 현황_20240630'!C1035,""ko"",""en"")"),"1")</f>
        <v>1</v>
      </c>
      <c r="D1035" s="1" t="str">
        <f ca="1">IFERROR(__xludf.DUMMYFUNCTION("GOOGLETRANSLATE('대전도시공사_청년임대주택 현황_20240630'!D1035,""ko"",""en"")"),"311")</f>
        <v>311</v>
      </c>
      <c r="E1035" s="1" t="str">
        <f ca="1">IFERROR(__xludf.DUMMYFUNCTION("GOOGLETRANSLATE('대전도시공사_청년임대주택 현황_20240630'!E1035,""ko"",""en"")"),"35.683")</f>
        <v>35.683</v>
      </c>
      <c r="F1035" s="1" t="str">
        <f ca="1">IFERROR(__xludf.DUMMYFUNCTION("GOOGLETRANSLATE('대전도시공사_청년임대주택 현황_20240630'!F1035,""ko"",""en"")"),"17.822")</f>
        <v>17.822</v>
      </c>
      <c r="G1035" s="1" t="str">
        <f ca="1">IFERROR(__xludf.DUMMYFUNCTION("GOOGLETRANSLATE('대전도시공사_청년임대주택 현황_20240630'!G1035,""ko"",""en"")"),"17.861")</f>
        <v>17.861</v>
      </c>
      <c r="H1035" s="1" t="str">
        <f ca="1">IFERROR(__xludf.DUMMYFUNCTION("GOOGLETRANSLATE('대전도시공사_청년임대주택 현황_20240630'!H1035,""ko"",""en"")"),"Youth Rental 2nd Place")</f>
        <v>Youth Rental 2nd Place</v>
      </c>
      <c r="I1035" s="1" t="str">
        <f ca="1">IFERROR(__xludf.DUMMYFUNCTION("GOOGLETRANSLATE('대전도시공사_청년임대주택 현황_20240630'!I1035,""ko"",""en"")"),"2000000")</f>
        <v>2000000</v>
      </c>
      <c r="J1035" s="1" t="str">
        <f ca="1">IFERROR(__xludf.DUMMYFUNCTION("GOOGLETRANSLATE('대전도시공사_청년임대주택 현황_20240630'!J1035,""ko"",""en"")"),"244300")</f>
        <v>244300</v>
      </c>
    </row>
    <row r="1036" spans="1:10" ht="12.5" x14ac:dyDescent="0.25">
      <c r="A1036" s="1" t="str">
        <f ca="1">IFERROR(__xludf.DUMMYFUNCTION("GOOGLETRANSLATE('대전도시공사_청년임대주택 현황_20240630'!A1036,""ko"",""en"")"),"Gungdong-ro 71 (City Palace, Youth Rental)")</f>
        <v>Gungdong-ro 71 (City Palace, Youth Rental)</v>
      </c>
      <c r="B1036" s="1" t="str">
        <f ca="1">IFERROR(__xludf.DUMMYFUNCTION("GOOGLETRANSLATE('대전도시공사_청년임대주택 현황_20240630'!B1036,""ko"",""en"")"),"60")</f>
        <v>60</v>
      </c>
      <c r="C1036" s="1" t="str">
        <f ca="1">IFERROR(__xludf.DUMMYFUNCTION("GOOGLETRANSLATE('대전도시공사_청년임대주택 현황_20240630'!C1036,""ko"",""en"")"),"1")</f>
        <v>1</v>
      </c>
      <c r="D1036" s="1" t="str">
        <f ca="1">IFERROR(__xludf.DUMMYFUNCTION("GOOGLETRANSLATE('대전도시공사_청년임대주택 현황_20240630'!D1036,""ko"",""en"")"),"311")</f>
        <v>311</v>
      </c>
      <c r="E1036" s="1" t="str">
        <f ca="1">IFERROR(__xludf.DUMMYFUNCTION("GOOGLETRANSLATE('대전도시공사_청년임대주택 현황_20240630'!E1036,""ko"",""en"")"),"35.683")</f>
        <v>35.683</v>
      </c>
      <c r="F1036" s="1" t="str">
        <f ca="1">IFERROR(__xludf.DUMMYFUNCTION("GOOGLETRANSLATE('대전도시공사_청년임대주택 현황_20240630'!F1036,""ko"",""en"")"),"17.822")</f>
        <v>17.822</v>
      </c>
      <c r="G1036" s="1" t="str">
        <f ca="1">IFERROR(__xludf.DUMMYFUNCTION("GOOGLETRANSLATE('대전도시공사_청년임대주택 현황_20240630'!G1036,""ko"",""en"")"),"17.861")</f>
        <v>17.861</v>
      </c>
      <c r="H1036" s="1" t="str">
        <f ca="1">IFERROR(__xludf.DUMMYFUNCTION("GOOGLETRANSLATE('대전도시공사_청년임대주택 현황_20240630'!H1036,""ko"",""en"")"),"3rd place for youth rental")</f>
        <v>3rd place for youth rental</v>
      </c>
      <c r="I1036" s="1" t="str">
        <f ca="1">IFERROR(__xludf.DUMMYFUNCTION("GOOGLETRANSLATE('대전도시공사_청년임대주택 현황_20240630'!I1036,""ko"",""en"")"),"2000000")</f>
        <v>2000000</v>
      </c>
      <c r="J1036" s="1" t="str">
        <f ca="1">IFERROR(__xludf.DUMMYFUNCTION("GOOGLETRANSLATE('대전도시공사_청년임대주택 현황_20240630'!J1036,""ko"",""en"")"),"244300")</f>
        <v>244300</v>
      </c>
    </row>
    <row r="1037" spans="1:10" ht="12.5" x14ac:dyDescent="0.25">
      <c r="A1037" s="1" t="str">
        <f ca="1">IFERROR(__xludf.DUMMYFUNCTION("GOOGLETRANSLATE('대전도시공사_청년임대주택 현황_20240630'!A1037,""ko"",""en"")"),"Gungdong-ro 71 (City Palace, Youth Rental)")</f>
        <v>Gungdong-ro 71 (City Palace, Youth Rental)</v>
      </c>
      <c r="B1037" s="1" t="str">
        <f ca="1">IFERROR(__xludf.DUMMYFUNCTION("GOOGLETRANSLATE('대전도시공사_청년임대주택 현황_20240630'!B1037,""ko"",""en"")"),"61")</f>
        <v>61</v>
      </c>
      <c r="C1037" s="1" t="str">
        <f ca="1">IFERROR(__xludf.DUMMYFUNCTION("GOOGLETRANSLATE('대전도시공사_청년임대주택 현황_20240630'!C1037,""ko"",""en"")"),"1")</f>
        <v>1</v>
      </c>
      <c r="D1037" s="1" t="str">
        <f ca="1">IFERROR(__xludf.DUMMYFUNCTION("GOOGLETRANSLATE('대전도시공사_청년임대주택 현황_20240630'!D1037,""ko"",""en"")"),"312")</f>
        <v>312</v>
      </c>
      <c r="E1037" s="1" t="str">
        <f ca="1">IFERROR(__xludf.DUMMYFUNCTION("GOOGLETRANSLATE('대전도시공사_청년임대주택 현황_20240630'!E1037,""ko"",""en"")"),"35.683")</f>
        <v>35.683</v>
      </c>
      <c r="F1037" s="1" t="str">
        <f ca="1">IFERROR(__xludf.DUMMYFUNCTION("GOOGLETRANSLATE('대전도시공사_청년임대주택 현황_20240630'!F1037,""ko"",""en"")"),"17.822")</f>
        <v>17.822</v>
      </c>
      <c r="G1037" s="1" t="str">
        <f ca="1">IFERROR(__xludf.DUMMYFUNCTION("GOOGLETRANSLATE('대전도시공사_청년임대주택 현황_20240630'!G1037,""ko"",""en"")"),"17.861")</f>
        <v>17.861</v>
      </c>
      <c r="H1037" s="1" t="str">
        <f ca="1">IFERROR(__xludf.DUMMYFUNCTION("GOOGLETRANSLATE('대전도시공사_청년임대주택 현황_20240630'!H1037,""ko"",""en"")"),"Beneficiary")</f>
        <v>Beneficiary</v>
      </c>
      <c r="I1037" s="1" t="str">
        <f ca="1">IFERROR(__xludf.DUMMYFUNCTION("GOOGLETRANSLATE('대전도시공사_청년임대주택 현황_20240630'!I1037,""ko"",""en"")"),"1000000")</f>
        <v>1000000</v>
      </c>
      <c r="J1037" s="1" t="str">
        <f ca="1">IFERROR(__xludf.DUMMYFUNCTION("GOOGLETRANSLATE('대전도시공사_청년임대주택 현황_20240630'!J1037,""ko"",""en"")"),"198700")</f>
        <v>198700</v>
      </c>
    </row>
    <row r="1038" spans="1:10" ht="12.5" x14ac:dyDescent="0.25">
      <c r="A1038" s="1" t="str">
        <f ca="1">IFERROR(__xludf.DUMMYFUNCTION("GOOGLETRANSLATE('대전도시공사_청년임대주택 현황_20240630'!A1038,""ko"",""en"")"),"Gungdong-ro 71 (City Palace, Youth Rental)")</f>
        <v>Gungdong-ro 71 (City Palace, Youth Rental)</v>
      </c>
      <c r="B1038" s="1" t="str">
        <f ca="1">IFERROR(__xludf.DUMMYFUNCTION("GOOGLETRANSLATE('대전도시공사_청년임대주택 현황_20240630'!B1038,""ko"",""en"")"),"62")</f>
        <v>62</v>
      </c>
      <c r="C1038" s="1" t="str">
        <f ca="1">IFERROR(__xludf.DUMMYFUNCTION("GOOGLETRANSLATE('대전도시공사_청년임대주택 현황_20240630'!C1038,""ko"",""en"")"),"1")</f>
        <v>1</v>
      </c>
      <c r="D1038" s="1" t="str">
        <f ca="1">IFERROR(__xludf.DUMMYFUNCTION("GOOGLETRANSLATE('대전도시공사_청년임대주택 현황_20240630'!D1038,""ko"",""en"")"),"312")</f>
        <v>312</v>
      </c>
      <c r="E1038" s="1" t="str">
        <f ca="1">IFERROR(__xludf.DUMMYFUNCTION("GOOGLETRANSLATE('대전도시공사_청년임대주택 현황_20240630'!E1038,""ko"",""en"")"),"35.683")</f>
        <v>35.683</v>
      </c>
      <c r="F1038" s="1" t="str">
        <f ca="1">IFERROR(__xludf.DUMMYFUNCTION("GOOGLETRANSLATE('대전도시공사_청년임대주택 현황_20240630'!F1038,""ko"",""en"")"),"17.822")</f>
        <v>17.822</v>
      </c>
      <c r="G1038" s="1" t="str">
        <f ca="1">IFERROR(__xludf.DUMMYFUNCTION("GOOGLETRANSLATE('대전도시공사_청년임대주택 현황_20240630'!G1038,""ko"",""en"")"),"17.861")</f>
        <v>17.861</v>
      </c>
      <c r="H1038" s="1" t="str">
        <f ca="1">IFERROR(__xludf.DUMMYFUNCTION("GOOGLETRANSLATE('대전도시공사_청년임대주택 현황_20240630'!H1038,""ko"",""en"")"),"Youth Rental 2nd Place")</f>
        <v>Youth Rental 2nd Place</v>
      </c>
      <c r="I1038" s="1" t="str">
        <f ca="1">IFERROR(__xludf.DUMMYFUNCTION("GOOGLETRANSLATE('대전도시공사_청년임대주택 현황_20240630'!I1038,""ko"",""en"")"),"2000000")</f>
        <v>2000000</v>
      </c>
      <c r="J1038" s="1" t="str">
        <f ca="1">IFERROR(__xludf.DUMMYFUNCTION("GOOGLETRANSLATE('대전도시공사_청년임대주택 현황_20240630'!J1038,""ko"",""en"")"),"244300")</f>
        <v>244300</v>
      </c>
    </row>
    <row r="1039" spans="1:10" ht="12.5" x14ac:dyDescent="0.25">
      <c r="A1039" s="1" t="str">
        <f ca="1">IFERROR(__xludf.DUMMYFUNCTION("GOOGLETRANSLATE('대전도시공사_청년임대주택 현황_20240630'!A1039,""ko"",""en"")"),"Gungdong-ro 71 (City Palace, Youth Rental)")</f>
        <v>Gungdong-ro 71 (City Palace, Youth Rental)</v>
      </c>
      <c r="B1039" s="1" t="str">
        <f ca="1">IFERROR(__xludf.DUMMYFUNCTION("GOOGLETRANSLATE('대전도시공사_청년임대주택 현황_20240630'!B1039,""ko"",""en"")"),"63")</f>
        <v>63</v>
      </c>
      <c r="C1039" s="1" t="str">
        <f ca="1">IFERROR(__xludf.DUMMYFUNCTION("GOOGLETRANSLATE('대전도시공사_청년임대주택 현황_20240630'!C1039,""ko"",""en"")"),"1")</f>
        <v>1</v>
      </c>
      <c r="D1039" s="1" t="str">
        <f ca="1">IFERROR(__xludf.DUMMYFUNCTION("GOOGLETRANSLATE('대전도시공사_청년임대주택 현황_20240630'!D1039,""ko"",""en"")"),"312")</f>
        <v>312</v>
      </c>
      <c r="E1039" s="1" t="str">
        <f ca="1">IFERROR(__xludf.DUMMYFUNCTION("GOOGLETRANSLATE('대전도시공사_청년임대주택 현황_20240630'!E1039,""ko"",""en"")"),"35.683")</f>
        <v>35.683</v>
      </c>
      <c r="F1039" s="1" t="str">
        <f ca="1">IFERROR(__xludf.DUMMYFUNCTION("GOOGLETRANSLATE('대전도시공사_청년임대주택 현황_20240630'!F1039,""ko"",""en"")"),"17.822")</f>
        <v>17.822</v>
      </c>
      <c r="G1039" s="1" t="str">
        <f ca="1">IFERROR(__xludf.DUMMYFUNCTION("GOOGLETRANSLATE('대전도시공사_청년임대주택 현황_20240630'!G1039,""ko"",""en"")"),"17.861")</f>
        <v>17.861</v>
      </c>
      <c r="H1039" s="1" t="str">
        <f ca="1">IFERROR(__xludf.DUMMYFUNCTION("GOOGLETRANSLATE('대전도시공사_청년임대주택 현황_20240630'!H1039,""ko"",""en"")"),"3rd place for youth rental")</f>
        <v>3rd place for youth rental</v>
      </c>
      <c r="I1039" s="1" t="str">
        <f ca="1">IFERROR(__xludf.DUMMYFUNCTION("GOOGLETRANSLATE('대전도시공사_청년임대주택 현황_20240630'!I1039,""ko"",""en"")"),"2000000")</f>
        <v>2000000</v>
      </c>
      <c r="J1039" s="1" t="str">
        <f ca="1">IFERROR(__xludf.DUMMYFUNCTION("GOOGLETRANSLATE('대전도시공사_청년임대주택 현황_20240630'!J1039,""ko"",""en"")"),"244300")</f>
        <v>244300</v>
      </c>
    </row>
    <row r="1040" spans="1:10" ht="12.5" x14ac:dyDescent="0.25">
      <c r="A1040" s="1" t="str">
        <f ca="1">IFERROR(__xludf.DUMMYFUNCTION("GOOGLETRANSLATE('대전도시공사_청년임대주택 현황_20240630'!A1040,""ko"",""en"")"),"Gungdong-ro 71 (City Palace, Youth Rental)")</f>
        <v>Gungdong-ro 71 (City Palace, Youth Rental)</v>
      </c>
      <c r="B1040" s="1" t="str">
        <f ca="1">IFERROR(__xludf.DUMMYFUNCTION("GOOGLETRANSLATE('대전도시공사_청년임대주택 현황_20240630'!B1040,""ko"",""en"")"),"64")</f>
        <v>64</v>
      </c>
      <c r="C1040" s="1" t="str">
        <f ca="1">IFERROR(__xludf.DUMMYFUNCTION("GOOGLETRANSLATE('대전도시공사_청년임대주택 현황_20240630'!C1040,""ko"",""en"")"),"1")</f>
        <v>1</v>
      </c>
      <c r="D1040" s="1" t="str">
        <f ca="1">IFERROR(__xludf.DUMMYFUNCTION("GOOGLETRANSLATE('대전도시공사_청년임대주택 현황_20240630'!D1040,""ko"",""en"")"),"313")</f>
        <v>313</v>
      </c>
      <c r="E1040" s="1" t="str">
        <f ca="1">IFERROR(__xludf.DUMMYFUNCTION("GOOGLETRANSLATE('대전도시공사_청년임대주택 현황_20240630'!E1040,""ko"",""en"")"),"35.683")</f>
        <v>35.683</v>
      </c>
      <c r="F1040" s="1" t="str">
        <f ca="1">IFERROR(__xludf.DUMMYFUNCTION("GOOGLETRANSLATE('대전도시공사_청년임대주택 현황_20240630'!F1040,""ko"",""en"")"),"17.822")</f>
        <v>17.822</v>
      </c>
      <c r="G1040" s="1" t="str">
        <f ca="1">IFERROR(__xludf.DUMMYFUNCTION("GOOGLETRANSLATE('대전도시공사_청년임대주택 현황_20240630'!G1040,""ko"",""en"")"),"17.861")</f>
        <v>17.861</v>
      </c>
      <c r="H1040" s="1" t="str">
        <f ca="1">IFERROR(__xludf.DUMMYFUNCTION("GOOGLETRANSLATE('대전도시공사_청년임대주택 현황_20240630'!H1040,""ko"",""en"")"),"Beneficiary")</f>
        <v>Beneficiary</v>
      </c>
      <c r="I1040" s="1" t="str">
        <f ca="1">IFERROR(__xludf.DUMMYFUNCTION("GOOGLETRANSLATE('대전도시공사_청년임대주택 현황_20240630'!I1040,""ko"",""en"")"),"1000000")</f>
        <v>1000000</v>
      </c>
      <c r="J1040" s="1" t="str">
        <f ca="1">IFERROR(__xludf.DUMMYFUNCTION("GOOGLETRANSLATE('대전도시공사_청년임대주택 현황_20240630'!J1040,""ko"",""en"")"),"198700")</f>
        <v>198700</v>
      </c>
    </row>
    <row r="1041" spans="1:10" ht="12.5" x14ac:dyDescent="0.25">
      <c r="A1041" s="1" t="str">
        <f ca="1">IFERROR(__xludf.DUMMYFUNCTION("GOOGLETRANSLATE('대전도시공사_청년임대주택 현황_20240630'!A1041,""ko"",""en"")"),"Gungdong-ro 71 (City Palace, Youth Rental)")</f>
        <v>Gungdong-ro 71 (City Palace, Youth Rental)</v>
      </c>
      <c r="B1041" s="1" t="str">
        <f ca="1">IFERROR(__xludf.DUMMYFUNCTION("GOOGLETRANSLATE('대전도시공사_청년임대주택 현황_20240630'!B1041,""ko"",""en"")"),"65")</f>
        <v>65</v>
      </c>
      <c r="C1041" s="1" t="str">
        <f ca="1">IFERROR(__xludf.DUMMYFUNCTION("GOOGLETRANSLATE('대전도시공사_청년임대주택 현황_20240630'!C1041,""ko"",""en"")"),"1")</f>
        <v>1</v>
      </c>
      <c r="D1041" s="1" t="str">
        <f ca="1">IFERROR(__xludf.DUMMYFUNCTION("GOOGLETRANSLATE('대전도시공사_청년임대주택 현황_20240630'!D1041,""ko"",""en"")"),"313")</f>
        <v>313</v>
      </c>
      <c r="E1041" s="1" t="str">
        <f ca="1">IFERROR(__xludf.DUMMYFUNCTION("GOOGLETRANSLATE('대전도시공사_청년임대주택 현황_20240630'!E1041,""ko"",""en"")"),"35.683")</f>
        <v>35.683</v>
      </c>
      <c r="F1041" s="1" t="str">
        <f ca="1">IFERROR(__xludf.DUMMYFUNCTION("GOOGLETRANSLATE('대전도시공사_청년임대주택 현황_20240630'!F1041,""ko"",""en"")"),"17.822")</f>
        <v>17.822</v>
      </c>
      <c r="G1041" s="1" t="str">
        <f ca="1">IFERROR(__xludf.DUMMYFUNCTION("GOOGLETRANSLATE('대전도시공사_청년임대주택 현황_20240630'!G1041,""ko"",""en"")"),"17.861")</f>
        <v>17.861</v>
      </c>
      <c r="H1041" s="1" t="str">
        <f ca="1">IFERROR(__xludf.DUMMYFUNCTION("GOOGLETRANSLATE('대전도시공사_청년임대주택 현황_20240630'!H1041,""ko"",""en"")"),"Youth Rental 2nd Place")</f>
        <v>Youth Rental 2nd Place</v>
      </c>
      <c r="I1041" s="1" t="str">
        <f ca="1">IFERROR(__xludf.DUMMYFUNCTION("GOOGLETRANSLATE('대전도시공사_청년임대주택 현황_20240630'!I1041,""ko"",""en"")"),"2000000")</f>
        <v>2000000</v>
      </c>
      <c r="J1041" s="1" t="str">
        <f ca="1">IFERROR(__xludf.DUMMYFUNCTION("GOOGLETRANSLATE('대전도시공사_청년임대주택 현황_20240630'!J1041,""ko"",""en"")"),"244300")</f>
        <v>244300</v>
      </c>
    </row>
    <row r="1042" spans="1:10" ht="12.5" x14ac:dyDescent="0.25">
      <c r="A1042" s="1" t="str">
        <f ca="1">IFERROR(__xludf.DUMMYFUNCTION("GOOGLETRANSLATE('대전도시공사_청년임대주택 현황_20240630'!A1042,""ko"",""en"")"),"Gungdong-ro 71 (City Palace, Youth Rental)")</f>
        <v>Gungdong-ro 71 (City Palace, Youth Rental)</v>
      </c>
      <c r="B1042" s="1" t="str">
        <f ca="1">IFERROR(__xludf.DUMMYFUNCTION("GOOGLETRANSLATE('대전도시공사_청년임대주택 현황_20240630'!B1042,""ko"",""en"")"),"66")</f>
        <v>66</v>
      </c>
      <c r="C1042" s="1" t="str">
        <f ca="1">IFERROR(__xludf.DUMMYFUNCTION("GOOGLETRANSLATE('대전도시공사_청년임대주택 현황_20240630'!C1042,""ko"",""en"")"),"1")</f>
        <v>1</v>
      </c>
      <c r="D1042" s="1" t="str">
        <f ca="1">IFERROR(__xludf.DUMMYFUNCTION("GOOGLETRANSLATE('대전도시공사_청년임대주택 현황_20240630'!D1042,""ko"",""en"")"),"313")</f>
        <v>313</v>
      </c>
      <c r="E1042" s="1" t="str">
        <f ca="1">IFERROR(__xludf.DUMMYFUNCTION("GOOGLETRANSLATE('대전도시공사_청년임대주택 현황_20240630'!E1042,""ko"",""en"")"),"35.683")</f>
        <v>35.683</v>
      </c>
      <c r="F1042" s="1" t="str">
        <f ca="1">IFERROR(__xludf.DUMMYFUNCTION("GOOGLETRANSLATE('대전도시공사_청년임대주택 현황_20240630'!F1042,""ko"",""en"")"),"17.822")</f>
        <v>17.822</v>
      </c>
      <c r="G1042" s="1" t="str">
        <f ca="1">IFERROR(__xludf.DUMMYFUNCTION("GOOGLETRANSLATE('대전도시공사_청년임대주택 현황_20240630'!G1042,""ko"",""en"")"),"17.861")</f>
        <v>17.861</v>
      </c>
      <c r="H1042" s="1" t="str">
        <f ca="1">IFERROR(__xludf.DUMMYFUNCTION("GOOGLETRANSLATE('대전도시공사_청년임대주택 현황_20240630'!H1042,""ko"",""en"")"),"3rd place for youth rental")</f>
        <v>3rd place for youth rental</v>
      </c>
      <c r="I1042" s="1" t="str">
        <f ca="1">IFERROR(__xludf.DUMMYFUNCTION("GOOGLETRANSLATE('대전도시공사_청년임대주택 현황_20240630'!I1042,""ko"",""en"")"),"2000000")</f>
        <v>2000000</v>
      </c>
      <c r="J1042" s="1" t="str">
        <f ca="1">IFERROR(__xludf.DUMMYFUNCTION("GOOGLETRANSLATE('대전도시공사_청년임대주택 현황_20240630'!J1042,""ko"",""en"")"),"244300")</f>
        <v>244300</v>
      </c>
    </row>
    <row r="1043" spans="1:10" ht="12.5" x14ac:dyDescent="0.25">
      <c r="A1043" s="1" t="str">
        <f ca="1">IFERROR(__xludf.DUMMYFUNCTION("GOOGLETRANSLATE('대전도시공사_청년임대주택 현황_20240630'!A1043,""ko"",""en"")"),"Gungdong-ro 71 (City Palace, Youth Rental)")</f>
        <v>Gungdong-ro 71 (City Palace, Youth Rental)</v>
      </c>
      <c r="B1043" s="1" t="str">
        <f ca="1">IFERROR(__xludf.DUMMYFUNCTION("GOOGLETRANSLATE('대전도시공사_청년임대주택 현황_20240630'!B1043,""ko"",""en"")"),"67")</f>
        <v>67</v>
      </c>
      <c r="C1043" s="1" t="str">
        <f ca="1">IFERROR(__xludf.DUMMYFUNCTION("GOOGLETRANSLATE('대전도시공사_청년임대주택 현황_20240630'!C1043,""ko"",""en"")"),"1")</f>
        <v>1</v>
      </c>
      <c r="D1043" s="1" t="str">
        <f ca="1">IFERROR(__xludf.DUMMYFUNCTION("GOOGLETRANSLATE('대전도시공사_청년임대주택 현황_20240630'!D1043,""ko"",""en"")"),"314")</f>
        <v>314</v>
      </c>
      <c r="E1043" s="1" t="str">
        <f ca="1">IFERROR(__xludf.DUMMYFUNCTION("GOOGLETRANSLATE('대전도시공사_청년임대주택 현황_20240630'!E1043,""ko"",""en"")"),"35.683")</f>
        <v>35.683</v>
      </c>
      <c r="F1043" s="1" t="str">
        <f ca="1">IFERROR(__xludf.DUMMYFUNCTION("GOOGLETRANSLATE('대전도시공사_청년임대주택 현황_20240630'!F1043,""ko"",""en"")"),"17.822")</f>
        <v>17.822</v>
      </c>
      <c r="G1043" s="1" t="str">
        <f ca="1">IFERROR(__xludf.DUMMYFUNCTION("GOOGLETRANSLATE('대전도시공사_청년임대주택 현황_20240630'!G1043,""ko"",""en"")"),"17.861")</f>
        <v>17.861</v>
      </c>
      <c r="H1043" s="1" t="str">
        <f ca="1">IFERROR(__xludf.DUMMYFUNCTION("GOOGLETRANSLATE('대전도시공사_청년임대주택 현황_20240630'!H1043,""ko"",""en"")"),"Beneficiary")</f>
        <v>Beneficiary</v>
      </c>
      <c r="I1043" s="1" t="str">
        <f ca="1">IFERROR(__xludf.DUMMYFUNCTION("GOOGLETRANSLATE('대전도시공사_청년임대주택 현황_20240630'!I1043,""ko"",""en"")"),"1000000")</f>
        <v>1000000</v>
      </c>
      <c r="J1043" s="1" t="str">
        <f ca="1">IFERROR(__xludf.DUMMYFUNCTION("GOOGLETRANSLATE('대전도시공사_청년임대주택 현황_20240630'!J1043,""ko"",""en"")"),"198700")</f>
        <v>198700</v>
      </c>
    </row>
    <row r="1044" spans="1:10" ht="12.5" x14ac:dyDescent="0.25">
      <c r="A1044" s="1" t="str">
        <f ca="1">IFERROR(__xludf.DUMMYFUNCTION("GOOGLETRANSLATE('대전도시공사_청년임대주택 현황_20240630'!A1044,""ko"",""en"")"),"Gungdong-ro 71 (City Palace, Youth Rental)")</f>
        <v>Gungdong-ro 71 (City Palace, Youth Rental)</v>
      </c>
      <c r="B1044" s="1" t="str">
        <f ca="1">IFERROR(__xludf.DUMMYFUNCTION("GOOGLETRANSLATE('대전도시공사_청년임대주택 현황_20240630'!B1044,""ko"",""en"")"),"68")</f>
        <v>68</v>
      </c>
      <c r="C1044" s="1" t="str">
        <f ca="1">IFERROR(__xludf.DUMMYFUNCTION("GOOGLETRANSLATE('대전도시공사_청년임대주택 현황_20240630'!C1044,""ko"",""en"")"),"1")</f>
        <v>1</v>
      </c>
      <c r="D1044" s="1" t="str">
        <f ca="1">IFERROR(__xludf.DUMMYFUNCTION("GOOGLETRANSLATE('대전도시공사_청년임대주택 현황_20240630'!D1044,""ko"",""en"")"),"314")</f>
        <v>314</v>
      </c>
      <c r="E1044" s="1" t="str">
        <f ca="1">IFERROR(__xludf.DUMMYFUNCTION("GOOGLETRANSLATE('대전도시공사_청년임대주택 현황_20240630'!E1044,""ko"",""en"")"),"35.683")</f>
        <v>35.683</v>
      </c>
      <c r="F1044" s="1" t="str">
        <f ca="1">IFERROR(__xludf.DUMMYFUNCTION("GOOGLETRANSLATE('대전도시공사_청년임대주택 현황_20240630'!F1044,""ko"",""en"")"),"17.822")</f>
        <v>17.822</v>
      </c>
      <c r="G1044" s="1" t="str">
        <f ca="1">IFERROR(__xludf.DUMMYFUNCTION("GOOGLETRANSLATE('대전도시공사_청년임대주택 현황_20240630'!G1044,""ko"",""en"")"),"17.861")</f>
        <v>17.861</v>
      </c>
      <c r="H1044" s="1" t="str">
        <f ca="1">IFERROR(__xludf.DUMMYFUNCTION("GOOGLETRANSLATE('대전도시공사_청년임대주택 현황_20240630'!H1044,""ko"",""en"")"),"Youth Rental 2nd Place")</f>
        <v>Youth Rental 2nd Place</v>
      </c>
      <c r="I1044" s="1" t="str">
        <f ca="1">IFERROR(__xludf.DUMMYFUNCTION("GOOGLETRANSLATE('대전도시공사_청년임대주택 현황_20240630'!I1044,""ko"",""en"")"),"2000000")</f>
        <v>2000000</v>
      </c>
      <c r="J1044" s="1" t="str">
        <f ca="1">IFERROR(__xludf.DUMMYFUNCTION("GOOGLETRANSLATE('대전도시공사_청년임대주택 현황_20240630'!J1044,""ko"",""en"")"),"244300")</f>
        <v>244300</v>
      </c>
    </row>
    <row r="1045" spans="1:10" ht="12.5" x14ac:dyDescent="0.25">
      <c r="A1045" s="1" t="str">
        <f ca="1">IFERROR(__xludf.DUMMYFUNCTION("GOOGLETRANSLATE('대전도시공사_청년임대주택 현황_20240630'!A1045,""ko"",""en"")"),"Gungdong-ro 71 (City Palace, Youth Rental)")</f>
        <v>Gungdong-ro 71 (City Palace, Youth Rental)</v>
      </c>
      <c r="B1045" s="1" t="str">
        <f ca="1">IFERROR(__xludf.DUMMYFUNCTION("GOOGLETRANSLATE('대전도시공사_청년임대주택 현황_20240630'!B1045,""ko"",""en"")"),"69")</f>
        <v>69</v>
      </c>
      <c r="C1045" s="1" t="str">
        <f ca="1">IFERROR(__xludf.DUMMYFUNCTION("GOOGLETRANSLATE('대전도시공사_청년임대주택 현황_20240630'!C1045,""ko"",""en"")"),"1")</f>
        <v>1</v>
      </c>
      <c r="D1045" s="1" t="str">
        <f ca="1">IFERROR(__xludf.DUMMYFUNCTION("GOOGLETRANSLATE('대전도시공사_청년임대주택 현황_20240630'!D1045,""ko"",""en"")"),"314")</f>
        <v>314</v>
      </c>
      <c r="E1045" s="1" t="str">
        <f ca="1">IFERROR(__xludf.DUMMYFUNCTION("GOOGLETRANSLATE('대전도시공사_청년임대주택 현황_20240630'!E1045,""ko"",""en"")"),"35.683")</f>
        <v>35.683</v>
      </c>
      <c r="F1045" s="1" t="str">
        <f ca="1">IFERROR(__xludf.DUMMYFUNCTION("GOOGLETRANSLATE('대전도시공사_청년임대주택 현황_20240630'!F1045,""ko"",""en"")"),"17.822")</f>
        <v>17.822</v>
      </c>
      <c r="G1045" s="1" t="str">
        <f ca="1">IFERROR(__xludf.DUMMYFUNCTION("GOOGLETRANSLATE('대전도시공사_청년임대주택 현황_20240630'!G1045,""ko"",""en"")"),"17.861")</f>
        <v>17.861</v>
      </c>
      <c r="H1045" s="1" t="str">
        <f ca="1">IFERROR(__xludf.DUMMYFUNCTION("GOOGLETRANSLATE('대전도시공사_청년임대주택 현황_20240630'!H1045,""ko"",""en"")"),"3rd place for youth rental")</f>
        <v>3rd place for youth rental</v>
      </c>
      <c r="I1045" s="1" t="str">
        <f ca="1">IFERROR(__xludf.DUMMYFUNCTION("GOOGLETRANSLATE('대전도시공사_청년임대주택 현황_20240630'!I1045,""ko"",""en"")"),"2000000")</f>
        <v>2000000</v>
      </c>
      <c r="J1045" s="1" t="str">
        <f ca="1">IFERROR(__xludf.DUMMYFUNCTION("GOOGLETRANSLATE('대전도시공사_청년임대주택 현황_20240630'!J1045,""ko"",""en"")"),"244300")</f>
        <v>244300</v>
      </c>
    </row>
    <row r="1046" spans="1:10" ht="12.5" x14ac:dyDescent="0.25">
      <c r="A1046" s="1" t="str">
        <f ca="1">IFERROR(__xludf.DUMMYFUNCTION("GOOGLETRANSLATE('대전도시공사_청년임대주택 현황_20240630'!A1046,""ko"",""en"")"),"Gungdong-ro 71 (City Palace, Youth Rental)")</f>
        <v>Gungdong-ro 71 (City Palace, Youth Rental)</v>
      </c>
      <c r="B1046" s="1" t="str">
        <f ca="1">IFERROR(__xludf.DUMMYFUNCTION("GOOGLETRANSLATE('대전도시공사_청년임대주택 현황_20240630'!B1046,""ko"",""en"")"),"70")</f>
        <v>70</v>
      </c>
      <c r="C1046" s="1" t="str">
        <f ca="1">IFERROR(__xludf.DUMMYFUNCTION("GOOGLETRANSLATE('대전도시공사_청년임대주택 현황_20240630'!C1046,""ko"",""en"")"),"1")</f>
        <v>1</v>
      </c>
      <c r="D1046" s="1" t="str">
        <f ca="1">IFERROR(__xludf.DUMMYFUNCTION("GOOGLETRANSLATE('대전도시공사_청년임대주택 현황_20240630'!D1046,""ko"",""en"")"),"315")</f>
        <v>315</v>
      </c>
      <c r="E1046" s="1" t="str">
        <f ca="1">IFERROR(__xludf.DUMMYFUNCTION("GOOGLETRANSLATE('대전도시공사_청년임대주택 현황_20240630'!E1046,""ko"",""en"")"),"35.683")</f>
        <v>35.683</v>
      </c>
      <c r="F1046" s="1" t="str">
        <f ca="1">IFERROR(__xludf.DUMMYFUNCTION("GOOGLETRANSLATE('대전도시공사_청년임대주택 현황_20240630'!F1046,""ko"",""en"")"),"17.822")</f>
        <v>17.822</v>
      </c>
      <c r="G1046" s="1" t="str">
        <f ca="1">IFERROR(__xludf.DUMMYFUNCTION("GOOGLETRANSLATE('대전도시공사_청년임대주택 현황_20240630'!G1046,""ko"",""en"")"),"17.861")</f>
        <v>17.861</v>
      </c>
      <c r="H1046" s="1" t="str">
        <f ca="1">IFERROR(__xludf.DUMMYFUNCTION("GOOGLETRANSLATE('대전도시공사_청년임대주택 현황_20240630'!H1046,""ko"",""en"")"),"Beneficiary")</f>
        <v>Beneficiary</v>
      </c>
      <c r="I1046" s="1" t="str">
        <f ca="1">IFERROR(__xludf.DUMMYFUNCTION("GOOGLETRANSLATE('대전도시공사_청년임대주택 현황_20240630'!I1046,""ko"",""en"")"),"1000000")</f>
        <v>1000000</v>
      </c>
      <c r="J1046" s="1" t="str">
        <f ca="1">IFERROR(__xludf.DUMMYFUNCTION("GOOGLETRANSLATE('대전도시공사_청년임대주택 현황_20240630'!J1046,""ko"",""en"")"),"198700")</f>
        <v>198700</v>
      </c>
    </row>
    <row r="1047" spans="1:10" ht="12.5" x14ac:dyDescent="0.25">
      <c r="A1047" s="1" t="str">
        <f ca="1">IFERROR(__xludf.DUMMYFUNCTION("GOOGLETRANSLATE('대전도시공사_청년임대주택 현황_20240630'!A1047,""ko"",""en"")"),"Gungdong-ro 71 (City Palace, Youth Rental)")</f>
        <v>Gungdong-ro 71 (City Palace, Youth Rental)</v>
      </c>
      <c r="B1047" s="1" t="str">
        <f ca="1">IFERROR(__xludf.DUMMYFUNCTION("GOOGLETRANSLATE('대전도시공사_청년임대주택 현황_20240630'!B1047,""ko"",""en"")"),"71")</f>
        <v>71</v>
      </c>
      <c r="C1047" s="1" t="str">
        <f ca="1">IFERROR(__xludf.DUMMYFUNCTION("GOOGLETRANSLATE('대전도시공사_청년임대주택 현황_20240630'!C1047,""ko"",""en"")"),"1")</f>
        <v>1</v>
      </c>
      <c r="D1047" s="1" t="str">
        <f ca="1">IFERROR(__xludf.DUMMYFUNCTION("GOOGLETRANSLATE('대전도시공사_청년임대주택 현황_20240630'!D1047,""ko"",""en"")"),"315")</f>
        <v>315</v>
      </c>
      <c r="E1047" s="1" t="str">
        <f ca="1">IFERROR(__xludf.DUMMYFUNCTION("GOOGLETRANSLATE('대전도시공사_청년임대주택 현황_20240630'!E1047,""ko"",""en"")"),"35.683")</f>
        <v>35.683</v>
      </c>
      <c r="F1047" s="1" t="str">
        <f ca="1">IFERROR(__xludf.DUMMYFUNCTION("GOOGLETRANSLATE('대전도시공사_청년임대주택 현황_20240630'!F1047,""ko"",""en"")"),"17.822")</f>
        <v>17.822</v>
      </c>
      <c r="G1047" s="1" t="str">
        <f ca="1">IFERROR(__xludf.DUMMYFUNCTION("GOOGLETRANSLATE('대전도시공사_청년임대주택 현황_20240630'!G1047,""ko"",""en"")"),"17.861")</f>
        <v>17.861</v>
      </c>
      <c r="H1047" s="1" t="str">
        <f ca="1">IFERROR(__xludf.DUMMYFUNCTION("GOOGLETRANSLATE('대전도시공사_청년임대주택 현황_20240630'!H1047,""ko"",""en"")"),"Youth Rental 2nd Place")</f>
        <v>Youth Rental 2nd Place</v>
      </c>
      <c r="I1047" s="1" t="str">
        <f ca="1">IFERROR(__xludf.DUMMYFUNCTION("GOOGLETRANSLATE('대전도시공사_청년임대주택 현황_20240630'!I1047,""ko"",""en"")"),"2000000")</f>
        <v>2000000</v>
      </c>
      <c r="J1047" s="1" t="str">
        <f ca="1">IFERROR(__xludf.DUMMYFUNCTION("GOOGLETRANSLATE('대전도시공사_청년임대주택 현황_20240630'!J1047,""ko"",""en"")"),"244300")</f>
        <v>244300</v>
      </c>
    </row>
    <row r="1048" spans="1:10" ht="12.5" x14ac:dyDescent="0.25">
      <c r="A1048" s="1" t="str">
        <f ca="1">IFERROR(__xludf.DUMMYFUNCTION("GOOGLETRANSLATE('대전도시공사_청년임대주택 현황_20240630'!A1048,""ko"",""en"")"),"Gungdong-ro 71 (City Palace, Youth Rental)")</f>
        <v>Gungdong-ro 71 (City Palace, Youth Rental)</v>
      </c>
      <c r="B1048" s="1" t="str">
        <f ca="1">IFERROR(__xludf.DUMMYFUNCTION("GOOGLETRANSLATE('대전도시공사_청년임대주택 현황_20240630'!B1048,""ko"",""en"")"),"72")</f>
        <v>72</v>
      </c>
      <c r="C1048" s="1" t="str">
        <f ca="1">IFERROR(__xludf.DUMMYFUNCTION("GOOGLETRANSLATE('대전도시공사_청년임대주택 현황_20240630'!C1048,""ko"",""en"")"),"1")</f>
        <v>1</v>
      </c>
      <c r="D1048" s="1" t="str">
        <f ca="1">IFERROR(__xludf.DUMMYFUNCTION("GOOGLETRANSLATE('대전도시공사_청년임대주택 현황_20240630'!D1048,""ko"",""en"")"),"315")</f>
        <v>315</v>
      </c>
      <c r="E1048" s="1" t="str">
        <f ca="1">IFERROR(__xludf.DUMMYFUNCTION("GOOGLETRANSLATE('대전도시공사_청년임대주택 현황_20240630'!E1048,""ko"",""en"")"),"35.683")</f>
        <v>35.683</v>
      </c>
      <c r="F1048" s="1" t="str">
        <f ca="1">IFERROR(__xludf.DUMMYFUNCTION("GOOGLETRANSLATE('대전도시공사_청년임대주택 현황_20240630'!F1048,""ko"",""en"")"),"17.822")</f>
        <v>17.822</v>
      </c>
      <c r="G1048" s="1" t="str">
        <f ca="1">IFERROR(__xludf.DUMMYFUNCTION("GOOGLETRANSLATE('대전도시공사_청년임대주택 현황_20240630'!G1048,""ko"",""en"")"),"17.861")</f>
        <v>17.861</v>
      </c>
      <c r="H1048" s="1" t="str">
        <f ca="1">IFERROR(__xludf.DUMMYFUNCTION("GOOGLETRANSLATE('대전도시공사_청년임대주택 현황_20240630'!H1048,""ko"",""en"")"),"3rd place for youth rental")</f>
        <v>3rd place for youth rental</v>
      </c>
      <c r="I1048" s="1" t="str">
        <f ca="1">IFERROR(__xludf.DUMMYFUNCTION("GOOGLETRANSLATE('대전도시공사_청년임대주택 현황_20240630'!I1048,""ko"",""en"")"),"2000000")</f>
        <v>2000000</v>
      </c>
      <c r="J1048" s="1" t="str">
        <f ca="1">IFERROR(__xludf.DUMMYFUNCTION("GOOGLETRANSLATE('대전도시공사_청년임대주택 현황_20240630'!J1048,""ko"",""en"")"),"244300")</f>
        <v>244300</v>
      </c>
    </row>
    <row r="1049" spans="1:10" ht="12.5" x14ac:dyDescent="0.25">
      <c r="A1049" s="1" t="str">
        <f ca="1">IFERROR(__xludf.DUMMYFUNCTION("GOOGLETRANSLATE('대전도시공사_청년임대주택 현황_20240630'!A1049,""ko"",""en"")"),"Gungdong-ro 71 (City Palace, Youth Rental)")</f>
        <v>Gungdong-ro 71 (City Palace, Youth Rental)</v>
      </c>
      <c r="B1049" s="1" t="str">
        <f ca="1">IFERROR(__xludf.DUMMYFUNCTION("GOOGLETRANSLATE('대전도시공사_청년임대주택 현황_20240630'!B1049,""ko"",""en"")"),"73")</f>
        <v>73</v>
      </c>
      <c r="C1049" s="1" t="str">
        <f ca="1">IFERROR(__xludf.DUMMYFUNCTION("GOOGLETRANSLATE('대전도시공사_청년임대주택 현황_20240630'!C1049,""ko"",""en"")"),"1")</f>
        <v>1</v>
      </c>
      <c r="D1049" s="1" t="str">
        <f ca="1">IFERROR(__xludf.DUMMYFUNCTION("GOOGLETRANSLATE('대전도시공사_청년임대주택 현황_20240630'!D1049,""ko"",""en"")"),"316")</f>
        <v>316</v>
      </c>
      <c r="E1049" s="1" t="str">
        <f ca="1">IFERROR(__xludf.DUMMYFUNCTION("GOOGLETRANSLATE('대전도시공사_청년임대주택 현황_20240630'!E1049,""ko"",""en"")"),"35.683")</f>
        <v>35.683</v>
      </c>
      <c r="F1049" s="1" t="str">
        <f ca="1">IFERROR(__xludf.DUMMYFUNCTION("GOOGLETRANSLATE('대전도시공사_청년임대주택 현황_20240630'!F1049,""ko"",""en"")"),"17.822")</f>
        <v>17.822</v>
      </c>
      <c r="G1049" s="1" t="str">
        <f ca="1">IFERROR(__xludf.DUMMYFUNCTION("GOOGLETRANSLATE('대전도시공사_청년임대주택 현황_20240630'!G1049,""ko"",""en"")"),"17.861")</f>
        <v>17.861</v>
      </c>
      <c r="H1049" s="1" t="str">
        <f ca="1">IFERROR(__xludf.DUMMYFUNCTION("GOOGLETRANSLATE('대전도시공사_청년임대주택 현황_20240630'!H1049,""ko"",""en"")"),"Beneficiary")</f>
        <v>Beneficiary</v>
      </c>
      <c r="I1049" s="1" t="str">
        <f ca="1">IFERROR(__xludf.DUMMYFUNCTION("GOOGLETRANSLATE('대전도시공사_청년임대주택 현황_20240630'!I1049,""ko"",""en"")"),"1000000")</f>
        <v>1000000</v>
      </c>
      <c r="J1049" s="1" t="str">
        <f ca="1">IFERROR(__xludf.DUMMYFUNCTION("GOOGLETRANSLATE('대전도시공사_청년임대주택 현황_20240630'!J1049,""ko"",""en"")"),"198700")</f>
        <v>198700</v>
      </c>
    </row>
    <row r="1050" spans="1:10" ht="12.5" x14ac:dyDescent="0.25">
      <c r="A1050" s="1" t="str">
        <f ca="1">IFERROR(__xludf.DUMMYFUNCTION("GOOGLETRANSLATE('대전도시공사_청년임대주택 현황_20240630'!A1050,""ko"",""en"")"),"Gungdong-ro 71 (City Palace, Youth Rental)")</f>
        <v>Gungdong-ro 71 (City Palace, Youth Rental)</v>
      </c>
      <c r="B1050" s="1" t="str">
        <f ca="1">IFERROR(__xludf.DUMMYFUNCTION("GOOGLETRANSLATE('대전도시공사_청년임대주택 현황_20240630'!B1050,""ko"",""en"")"),"74")</f>
        <v>74</v>
      </c>
      <c r="C1050" s="1" t="str">
        <f ca="1">IFERROR(__xludf.DUMMYFUNCTION("GOOGLETRANSLATE('대전도시공사_청년임대주택 현황_20240630'!C1050,""ko"",""en"")"),"1")</f>
        <v>1</v>
      </c>
      <c r="D1050" s="1" t="str">
        <f ca="1">IFERROR(__xludf.DUMMYFUNCTION("GOOGLETRANSLATE('대전도시공사_청년임대주택 현황_20240630'!D1050,""ko"",""en"")"),"316")</f>
        <v>316</v>
      </c>
      <c r="E1050" s="1" t="str">
        <f ca="1">IFERROR(__xludf.DUMMYFUNCTION("GOOGLETRANSLATE('대전도시공사_청년임대주택 현황_20240630'!E1050,""ko"",""en"")"),"35.683")</f>
        <v>35.683</v>
      </c>
      <c r="F1050" s="1" t="str">
        <f ca="1">IFERROR(__xludf.DUMMYFUNCTION("GOOGLETRANSLATE('대전도시공사_청년임대주택 현황_20240630'!F1050,""ko"",""en"")"),"17.822")</f>
        <v>17.822</v>
      </c>
      <c r="G1050" s="1" t="str">
        <f ca="1">IFERROR(__xludf.DUMMYFUNCTION("GOOGLETRANSLATE('대전도시공사_청년임대주택 현황_20240630'!G1050,""ko"",""en"")"),"17.861")</f>
        <v>17.861</v>
      </c>
      <c r="H1050" s="1" t="str">
        <f ca="1">IFERROR(__xludf.DUMMYFUNCTION("GOOGLETRANSLATE('대전도시공사_청년임대주택 현황_20240630'!H1050,""ko"",""en"")"),"Youth Rental 2nd Place")</f>
        <v>Youth Rental 2nd Place</v>
      </c>
      <c r="I1050" s="1" t="str">
        <f ca="1">IFERROR(__xludf.DUMMYFUNCTION("GOOGLETRANSLATE('대전도시공사_청년임대주택 현황_20240630'!I1050,""ko"",""en"")"),"2000000")</f>
        <v>2000000</v>
      </c>
      <c r="J1050" s="1" t="str">
        <f ca="1">IFERROR(__xludf.DUMMYFUNCTION("GOOGLETRANSLATE('대전도시공사_청년임대주택 현황_20240630'!J1050,""ko"",""en"")"),"244300")</f>
        <v>244300</v>
      </c>
    </row>
    <row r="1051" spans="1:10" ht="12.5" x14ac:dyDescent="0.25">
      <c r="A1051" s="1" t="str">
        <f ca="1">IFERROR(__xludf.DUMMYFUNCTION("GOOGLETRANSLATE('대전도시공사_청년임대주택 현황_20240630'!A1051,""ko"",""en"")"),"Gungdong-ro 71 (City Palace, Youth Rental)")</f>
        <v>Gungdong-ro 71 (City Palace, Youth Rental)</v>
      </c>
      <c r="B1051" s="1" t="str">
        <f ca="1">IFERROR(__xludf.DUMMYFUNCTION("GOOGLETRANSLATE('대전도시공사_청년임대주택 현황_20240630'!B1051,""ko"",""en"")"),"75")</f>
        <v>75</v>
      </c>
      <c r="C1051" s="1" t="str">
        <f ca="1">IFERROR(__xludf.DUMMYFUNCTION("GOOGLETRANSLATE('대전도시공사_청년임대주택 현황_20240630'!C1051,""ko"",""en"")"),"1")</f>
        <v>1</v>
      </c>
      <c r="D1051" s="1" t="str">
        <f ca="1">IFERROR(__xludf.DUMMYFUNCTION("GOOGLETRANSLATE('대전도시공사_청년임대주택 현황_20240630'!D1051,""ko"",""en"")"),"316")</f>
        <v>316</v>
      </c>
      <c r="E1051" s="1" t="str">
        <f ca="1">IFERROR(__xludf.DUMMYFUNCTION("GOOGLETRANSLATE('대전도시공사_청년임대주택 현황_20240630'!E1051,""ko"",""en"")"),"35.683")</f>
        <v>35.683</v>
      </c>
      <c r="F1051" s="1" t="str">
        <f ca="1">IFERROR(__xludf.DUMMYFUNCTION("GOOGLETRANSLATE('대전도시공사_청년임대주택 현황_20240630'!F1051,""ko"",""en"")"),"17.822")</f>
        <v>17.822</v>
      </c>
      <c r="G1051" s="1" t="str">
        <f ca="1">IFERROR(__xludf.DUMMYFUNCTION("GOOGLETRANSLATE('대전도시공사_청년임대주택 현황_20240630'!G1051,""ko"",""en"")"),"17.861")</f>
        <v>17.861</v>
      </c>
      <c r="H1051" s="1" t="str">
        <f ca="1">IFERROR(__xludf.DUMMYFUNCTION("GOOGLETRANSLATE('대전도시공사_청년임대주택 현황_20240630'!H1051,""ko"",""en"")"),"3rd place for youth rental")</f>
        <v>3rd place for youth rental</v>
      </c>
      <c r="I1051" s="1" t="str">
        <f ca="1">IFERROR(__xludf.DUMMYFUNCTION("GOOGLETRANSLATE('대전도시공사_청년임대주택 현황_20240630'!I1051,""ko"",""en"")"),"2000000")</f>
        <v>2000000</v>
      </c>
      <c r="J1051" s="1" t="str">
        <f ca="1">IFERROR(__xludf.DUMMYFUNCTION("GOOGLETRANSLATE('대전도시공사_청년임대주택 현황_20240630'!J1051,""ko"",""en"")"),"244300")</f>
        <v>244300</v>
      </c>
    </row>
    <row r="1052" spans="1:10" ht="12.5" x14ac:dyDescent="0.25">
      <c r="A1052" s="1" t="str">
        <f ca="1">IFERROR(__xludf.DUMMYFUNCTION("GOOGLETRANSLATE('대전도시공사_청년임대주택 현황_20240630'!A1052,""ko"",""en"")"),"Gungdong-ro 71 (City Palace, Youth Rental)")</f>
        <v>Gungdong-ro 71 (City Palace, Youth Rental)</v>
      </c>
      <c r="B1052" s="1" t="str">
        <f ca="1">IFERROR(__xludf.DUMMYFUNCTION("GOOGLETRANSLATE('대전도시공사_청년임대주택 현황_20240630'!B1052,""ko"",""en"")"),"76")</f>
        <v>76</v>
      </c>
      <c r="C1052" s="1" t="str">
        <f ca="1">IFERROR(__xludf.DUMMYFUNCTION("GOOGLETRANSLATE('대전도시공사_청년임대주택 현황_20240630'!C1052,""ko"",""en"")"),"1")</f>
        <v>1</v>
      </c>
      <c r="D1052" s="1" t="str">
        <f ca="1">IFERROR(__xludf.DUMMYFUNCTION("GOOGLETRANSLATE('대전도시공사_청년임대주택 현황_20240630'!D1052,""ko"",""en"")"),"317")</f>
        <v>317</v>
      </c>
      <c r="E1052" s="1" t="str">
        <f ca="1">IFERROR(__xludf.DUMMYFUNCTION("GOOGLETRANSLATE('대전도시공사_청년임대주택 현황_20240630'!E1052,""ko"",""en"")"),"35.683")</f>
        <v>35.683</v>
      </c>
      <c r="F1052" s="1" t="str">
        <f ca="1">IFERROR(__xludf.DUMMYFUNCTION("GOOGLETRANSLATE('대전도시공사_청년임대주택 현황_20240630'!F1052,""ko"",""en"")"),"17.822")</f>
        <v>17.822</v>
      </c>
      <c r="G1052" s="1" t="str">
        <f ca="1">IFERROR(__xludf.DUMMYFUNCTION("GOOGLETRANSLATE('대전도시공사_청년임대주택 현황_20240630'!G1052,""ko"",""en"")"),"17.861")</f>
        <v>17.861</v>
      </c>
      <c r="H1052" s="1" t="str">
        <f ca="1">IFERROR(__xludf.DUMMYFUNCTION("GOOGLETRANSLATE('대전도시공사_청년임대주택 현황_20240630'!H1052,""ko"",""en"")"),"Beneficiary")</f>
        <v>Beneficiary</v>
      </c>
      <c r="I1052" s="1" t="str">
        <f ca="1">IFERROR(__xludf.DUMMYFUNCTION("GOOGLETRANSLATE('대전도시공사_청년임대주택 현황_20240630'!I1052,""ko"",""en"")"),"1000000")</f>
        <v>1000000</v>
      </c>
      <c r="J1052" s="1" t="str">
        <f ca="1">IFERROR(__xludf.DUMMYFUNCTION("GOOGLETRANSLATE('대전도시공사_청년임대주택 현황_20240630'!J1052,""ko"",""en"")"),"198700")</f>
        <v>198700</v>
      </c>
    </row>
    <row r="1053" spans="1:10" ht="12.5" x14ac:dyDescent="0.25">
      <c r="A1053" s="1" t="str">
        <f ca="1">IFERROR(__xludf.DUMMYFUNCTION("GOOGLETRANSLATE('대전도시공사_청년임대주택 현황_20240630'!A1053,""ko"",""en"")"),"Gungdong-ro 71 (City Palace, Youth Rental)")</f>
        <v>Gungdong-ro 71 (City Palace, Youth Rental)</v>
      </c>
      <c r="B1053" s="1" t="str">
        <f ca="1">IFERROR(__xludf.DUMMYFUNCTION("GOOGLETRANSLATE('대전도시공사_청년임대주택 현황_20240630'!B1053,""ko"",""en"")"),"77")</f>
        <v>77</v>
      </c>
      <c r="C1053" s="1" t="str">
        <f ca="1">IFERROR(__xludf.DUMMYFUNCTION("GOOGLETRANSLATE('대전도시공사_청년임대주택 현황_20240630'!C1053,""ko"",""en"")"),"1")</f>
        <v>1</v>
      </c>
      <c r="D1053" s="1" t="str">
        <f ca="1">IFERROR(__xludf.DUMMYFUNCTION("GOOGLETRANSLATE('대전도시공사_청년임대주택 현황_20240630'!D1053,""ko"",""en"")"),"317")</f>
        <v>317</v>
      </c>
      <c r="E1053" s="1" t="str">
        <f ca="1">IFERROR(__xludf.DUMMYFUNCTION("GOOGLETRANSLATE('대전도시공사_청년임대주택 현황_20240630'!E1053,""ko"",""en"")"),"35.683")</f>
        <v>35.683</v>
      </c>
      <c r="F1053" s="1" t="str">
        <f ca="1">IFERROR(__xludf.DUMMYFUNCTION("GOOGLETRANSLATE('대전도시공사_청년임대주택 현황_20240630'!F1053,""ko"",""en"")"),"17.822")</f>
        <v>17.822</v>
      </c>
      <c r="G1053" s="1" t="str">
        <f ca="1">IFERROR(__xludf.DUMMYFUNCTION("GOOGLETRANSLATE('대전도시공사_청년임대주택 현황_20240630'!G1053,""ko"",""en"")"),"17.861")</f>
        <v>17.861</v>
      </c>
      <c r="H1053" s="1" t="str">
        <f ca="1">IFERROR(__xludf.DUMMYFUNCTION("GOOGLETRANSLATE('대전도시공사_청년임대주택 현황_20240630'!H1053,""ko"",""en"")"),"Youth Rental 2nd Place")</f>
        <v>Youth Rental 2nd Place</v>
      </c>
      <c r="I1053" s="1" t="str">
        <f ca="1">IFERROR(__xludf.DUMMYFUNCTION("GOOGLETRANSLATE('대전도시공사_청년임대주택 현황_20240630'!I1053,""ko"",""en"")"),"2000000")</f>
        <v>2000000</v>
      </c>
      <c r="J1053" s="1" t="str">
        <f ca="1">IFERROR(__xludf.DUMMYFUNCTION("GOOGLETRANSLATE('대전도시공사_청년임대주택 현황_20240630'!J1053,""ko"",""en"")"),"244300")</f>
        <v>244300</v>
      </c>
    </row>
    <row r="1054" spans="1:10" ht="12.5" x14ac:dyDescent="0.25">
      <c r="A1054" s="1" t="str">
        <f ca="1">IFERROR(__xludf.DUMMYFUNCTION("GOOGLETRANSLATE('대전도시공사_청년임대주택 현황_20240630'!A1054,""ko"",""en"")"),"Gungdong-ro 71 (City Palace, Youth Rental)")</f>
        <v>Gungdong-ro 71 (City Palace, Youth Rental)</v>
      </c>
      <c r="B1054" s="1" t="str">
        <f ca="1">IFERROR(__xludf.DUMMYFUNCTION("GOOGLETRANSLATE('대전도시공사_청년임대주택 현황_20240630'!B1054,""ko"",""en"")"),"78")</f>
        <v>78</v>
      </c>
      <c r="C1054" s="1" t="str">
        <f ca="1">IFERROR(__xludf.DUMMYFUNCTION("GOOGLETRANSLATE('대전도시공사_청년임대주택 현황_20240630'!C1054,""ko"",""en"")"),"1")</f>
        <v>1</v>
      </c>
      <c r="D1054" s="1" t="str">
        <f ca="1">IFERROR(__xludf.DUMMYFUNCTION("GOOGLETRANSLATE('대전도시공사_청년임대주택 현황_20240630'!D1054,""ko"",""en"")"),"317")</f>
        <v>317</v>
      </c>
      <c r="E1054" s="1" t="str">
        <f ca="1">IFERROR(__xludf.DUMMYFUNCTION("GOOGLETRANSLATE('대전도시공사_청년임대주택 현황_20240630'!E1054,""ko"",""en"")"),"35.683")</f>
        <v>35.683</v>
      </c>
      <c r="F1054" s="1" t="str">
        <f ca="1">IFERROR(__xludf.DUMMYFUNCTION("GOOGLETRANSLATE('대전도시공사_청년임대주택 현황_20240630'!F1054,""ko"",""en"")"),"17.822")</f>
        <v>17.822</v>
      </c>
      <c r="G1054" s="1" t="str">
        <f ca="1">IFERROR(__xludf.DUMMYFUNCTION("GOOGLETRANSLATE('대전도시공사_청년임대주택 현황_20240630'!G1054,""ko"",""en"")"),"17.861")</f>
        <v>17.861</v>
      </c>
      <c r="H1054" s="1" t="str">
        <f ca="1">IFERROR(__xludf.DUMMYFUNCTION("GOOGLETRANSLATE('대전도시공사_청년임대주택 현황_20240630'!H1054,""ko"",""en"")"),"3rd place for youth rental")</f>
        <v>3rd place for youth rental</v>
      </c>
      <c r="I1054" s="1" t="str">
        <f ca="1">IFERROR(__xludf.DUMMYFUNCTION("GOOGLETRANSLATE('대전도시공사_청년임대주택 현황_20240630'!I1054,""ko"",""en"")"),"2000000")</f>
        <v>2000000</v>
      </c>
      <c r="J1054" s="1" t="str">
        <f ca="1">IFERROR(__xludf.DUMMYFUNCTION("GOOGLETRANSLATE('대전도시공사_청년임대주택 현황_20240630'!J1054,""ko"",""en"")"),"244300")</f>
        <v>244300</v>
      </c>
    </row>
    <row r="1055" spans="1:10" ht="12.5" x14ac:dyDescent="0.25">
      <c r="A1055" s="1" t="str">
        <f ca="1">IFERROR(__xludf.DUMMYFUNCTION("GOOGLETRANSLATE('대전도시공사_청년임대주택 현황_20240630'!A1055,""ko"",""en"")"),"Gungdong-ro 71 (City Palace, Youth Rental)")</f>
        <v>Gungdong-ro 71 (City Palace, Youth Rental)</v>
      </c>
      <c r="B1055" s="1" t="str">
        <f ca="1">IFERROR(__xludf.DUMMYFUNCTION("GOOGLETRANSLATE('대전도시공사_청년임대주택 현황_20240630'!B1055,""ko"",""en"")"),"79")</f>
        <v>79</v>
      </c>
      <c r="C1055" s="1" t="str">
        <f ca="1">IFERROR(__xludf.DUMMYFUNCTION("GOOGLETRANSLATE('대전도시공사_청년임대주택 현황_20240630'!C1055,""ko"",""en"")"),"1")</f>
        <v>1</v>
      </c>
      <c r="D1055" s="1" t="str">
        <f ca="1">IFERROR(__xludf.DUMMYFUNCTION("GOOGLETRANSLATE('대전도시공사_청년임대주택 현황_20240630'!D1055,""ko"",""en"")"),"318")</f>
        <v>318</v>
      </c>
      <c r="E1055" s="1" t="str">
        <f ca="1">IFERROR(__xludf.DUMMYFUNCTION("GOOGLETRANSLATE('대전도시공사_청년임대주택 현황_20240630'!E1055,""ko"",""en"")"),"37.305")</f>
        <v>37.305</v>
      </c>
      <c r="F1055" s="1" t="str">
        <f ca="1">IFERROR(__xludf.DUMMYFUNCTION("GOOGLETRANSLATE('대전도시공사_청년임대주택 현황_20240630'!F1055,""ko"",""en"")"),"18.671")</f>
        <v>18.671</v>
      </c>
      <c r="G1055" s="1" t="str">
        <f ca="1">IFERROR(__xludf.DUMMYFUNCTION("GOOGLETRANSLATE('대전도시공사_청년임대주택 현황_20240630'!G1055,""ko"",""en"")"),"18.633")</f>
        <v>18.633</v>
      </c>
      <c r="H1055" s="1" t="str">
        <f ca="1">IFERROR(__xludf.DUMMYFUNCTION("GOOGLETRANSLATE('대전도시공사_청년임대주택 현황_20240630'!H1055,""ko"",""en"")"),"Beneficiary")</f>
        <v>Beneficiary</v>
      </c>
      <c r="I1055" s="1" t="str">
        <f ca="1">IFERROR(__xludf.DUMMYFUNCTION("GOOGLETRANSLATE('대전도시공사_청년임대주택 현황_20240630'!I1055,""ko"",""en"")"),"1000000")</f>
        <v>1000000</v>
      </c>
      <c r="J1055" s="1" t="str">
        <f ca="1">IFERROR(__xludf.DUMMYFUNCTION("GOOGLETRANSLATE('대전도시공사_청년임대주택 현황_20240630'!J1055,""ko"",""en"")"),"210400")</f>
        <v>210400</v>
      </c>
    </row>
    <row r="1056" spans="1:10" ht="12.5" x14ac:dyDescent="0.25">
      <c r="A1056" s="1" t="str">
        <f ca="1">IFERROR(__xludf.DUMMYFUNCTION("GOOGLETRANSLATE('대전도시공사_청년임대주택 현황_20240630'!A1056,""ko"",""en"")"),"Gungdong-ro 71 (City Palace, Youth Rental)")</f>
        <v>Gungdong-ro 71 (City Palace, Youth Rental)</v>
      </c>
      <c r="B1056" s="1" t="str">
        <f ca="1">IFERROR(__xludf.DUMMYFUNCTION("GOOGLETRANSLATE('대전도시공사_청년임대주택 현황_20240630'!B1056,""ko"",""en"")"),"80")</f>
        <v>80</v>
      </c>
      <c r="C1056" s="1" t="str">
        <f ca="1">IFERROR(__xludf.DUMMYFUNCTION("GOOGLETRANSLATE('대전도시공사_청년임대주택 현황_20240630'!C1056,""ko"",""en"")"),"1")</f>
        <v>1</v>
      </c>
      <c r="D1056" s="1" t="str">
        <f ca="1">IFERROR(__xludf.DUMMYFUNCTION("GOOGLETRANSLATE('대전도시공사_청년임대주택 현황_20240630'!D1056,""ko"",""en"")"),"318")</f>
        <v>318</v>
      </c>
      <c r="E1056" s="1" t="str">
        <f ca="1">IFERROR(__xludf.DUMMYFUNCTION("GOOGLETRANSLATE('대전도시공사_청년임대주택 현황_20240630'!E1056,""ko"",""en"")"),"37.305")</f>
        <v>37.305</v>
      </c>
      <c r="F1056" s="1" t="str">
        <f ca="1">IFERROR(__xludf.DUMMYFUNCTION("GOOGLETRANSLATE('대전도시공사_청년임대주택 현황_20240630'!F1056,""ko"",""en"")"),"18.671")</f>
        <v>18.671</v>
      </c>
      <c r="G1056" s="1" t="str">
        <f ca="1">IFERROR(__xludf.DUMMYFUNCTION("GOOGLETRANSLATE('대전도시공사_청년임대주택 현황_20240630'!G1056,""ko"",""en"")"),"18.633")</f>
        <v>18.633</v>
      </c>
      <c r="H1056" s="1" t="str">
        <f ca="1">IFERROR(__xludf.DUMMYFUNCTION("GOOGLETRANSLATE('대전도시공사_청년임대주택 현황_20240630'!H1056,""ko"",""en"")"),"Youth Rental 2nd Place")</f>
        <v>Youth Rental 2nd Place</v>
      </c>
      <c r="I1056" s="1" t="str">
        <f ca="1">IFERROR(__xludf.DUMMYFUNCTION("GOOGLETRANSLATE('대전도시공사_청년임대주택 현황_20240630'!I1056,""ko"",""en"")"),"2000000")</f>
        <v>2000000</v>
      </c>
      <c r="J1056" s="1" t="str">
        <f ca="1">IFERROR(__xludf.DUMMYFUNCTION("GOOGLETRANSLATE('대전도시공사_청년임대주택 현황_20240630'!J1056,""ko"",""en"")"),"258800")</f>
        <v>258800</v>
      </c>
    </row>
    <row r="1057" spans="1:10" ht="12.5" x14ac:dyDescent="0.25">
      <c r="A1057" s="1" t="str">
        <f ca="1">IFERROR(__xludf.DUMMYFUNCTION("GOOGLETRANSLATE('대전도시공사_청년임대주택 현황_20240630'!A1057,""ko"",""en"")"),"Gungdong-ro 71 (City Palace, Youth Rental)")</f>
        <v>Gungdong-ro 71 (City Palace, Youth Rental)</v>
      </c>
      <c r="B1057" s="1" t="str">
        <f ca="1">IFERROR(__xludf.DUMMYFUNCTION("GOOGLETRANSLATE('대전도시공사_청년임대주택 현황_20240630'!B1057,""ko"",""en"")"),"81")</f>
        <v>81</v>
      </c>
      <c r="C1057" s="1" t="str">
        <f ca="1">IFERROR(__xludf.DUMMYFUNCTION("GOOGLETRANSLATE('대전도시공사_청년임대주택 현황_20240630'!C1057,""ko"",""en"")"),"1")</f>
        <v>1</v>
      </c>
      <c r="D1057" s="1" t="str">
        <f ca="1">IFERROR(__xludf.DUMMYFUNCTION("GOOGLETRANSLATE('대전도시공사_청년임대주택 현황_20240630'!D1057,""ko"",""en"")"),"318")</f>
        <v>318</v>
      </c>
      <c r="E1057" s="1" t="str">
        <f ca="1">IFERROR(__xludf.DUMMYFUNCTION("GOOGLETRANSLATE('대전도시공사_청년임대주택 현황_20240630'!E1057,""ko"",""en"")"),"37.305")</f>
        <v>37.305</v>
      </c>
      <c r="F1057" s="1" t="str">
        <f ca="1">IFERROR(__xludf.DUMMYFUNCTION("GOOGLETRANSLATE('대전도시공사_청년임대주택 현황_20240630'!F1057,""ko"",""en"")"),"18.671")</f>
        <v>18.671</v>
      </c>
      <c r="G1057" s="1" t="str">
        <f ca="1">IFERROR(__xludf.DUMMYFUNCTION("GOOGLETRANSLATE('대전도시공사_청년임대주택 현황_20240630'!G1057,""ko"",""en"")"),"18.633")</f>
        <v>18.633</v>
      </c>
      <c r="H1057" s="1" t="str">
        <f ca="1">IFERROR(__xludf.DUMMYFUNCTION("GOOGLETRANSLATE('대전도시공사_청년임대주택 현황_20240630'!H1057,""ko"",""en"")"),"3rd place for youth rental")</f>
        <v>3rd place for youth rental</v>
      </c>
      <c r="I1057" s="1" t="str">
        <f ca="1">IFERROR(__xludf.DUMMYFUNCTION("GOOGLETRANSLATE('대전도시공사_청년임대주택 현황_20240630'!I1057,""ko"",""en"")"),"2000000")</f>
        <v>2000000</v>
      </c>
      <c r="J1057" s="1" t="str">
        <f ca="1">IFERROR(__xludf.DUMMYFUNCTION("GOOGLETRANSLATE('대전도시공사_청년임대주택 현황_20240630'!J1057,""ko"",""en"")"),"258800")</f>
        <v>258800</v>
      </c>
    </row>
    <row r="1058" spans="1:10" ht="12.5" x14ac:dyDescent="0.25">
      <c r="A1058" s="1" t="str">
        <f ca="1">IFERROR(__xludf.DUMMYFUNCTION("GOOGLETRANSLATE('대전도시공사_청년임대주택 현황_20240630'!A1058,""ko"",""en"")"),"Gungdong-ro 71 (City Palace, Youth Rental)")</f>
        <v>Gungdong-ro 71 (City Palace, Youth Rental)</v>
      </c>
      <c r="B1058" s="1" t="str">
        <f ca="1">IFERROR(__xludf.DUMMYFUNCTION("GOOGLETRANSLATE('대전도시공사_청년임대주택 현황_20240630'!B1058,""ko"",""en"")"),"82")</f>
        <v>82</v>
      </c>
      <c r="C1058" s="1" t="str">
        <f ca="1">IFERROR(__xludf.DUMMYFUNCTION("GOOGLETRANSLATE('대전도시공사_청년임대주택 현황_20240630'!C1058,""ko"",""en"")"),"1")</f>
        <v>1</v>
      </c>
      <c r="D1058" s="1" t="str">
        <f ca="1">IFERROR(__xludf.DUMMYFUNCTION("GOOGLETRANSLATE('대전도시공사_청년임대주택 현황_20240630'!D1058,""ko"",""en"")"),"319")</f>
        <v>319</v>
      </c>
      <c r="E1058" s="1" t="str">
        <f ca="1">IFERROR(__xludf.DUMMYFUNCTION("GOOGLETRANSLATE('대전도시공사_청년임대주택 현황_20240630'!E1058,""ko"",""en"")"),"38.716")</f>
        <v>38.716</v>
      </c>
      <c r="F1058" s="1" t="str">
        <f ca="1">IFERROR(__xludf.DUMMYFUNCTION("GOOGLETRANSLATE('대전도시공사_청년임대주택 현황_20240630'!F1058,""ko"",""en"")"),"19.349")</f>
        <v>19.349</v>
      </c>
      <c r="G1058" s="1" t="str">
        <f ca="1">IFERROR(__xludf.DUMMYFUNCTION("GOOGLETRANSLATE('대전도시공사_청년임대주택 현황_20240630'!G1058,""ko"",""en"")"),"19.367")</f>
        <v>19.367</v>
      </c>
      <c r="H1058" s="1" t="str">
        <f ca="1">IFERROR(__xludf.DUMMYFUNCTION("GOOGLETRANSLATE('대전도시공사_청년임대주택 현황_20240630'!H1058,""ko"",""en"")"),"Beneficiary")</f>
        <v>Beneficiary</v>
      </c>
      <c r="I1058" s="1" t="str">
        <f ca="1">IFERROR(__xludf.DUMMYFUNCTION("GOOGLETRANSLATE('대전도시공사_청년임대주택 현황_20240630'!I1058,""ko"",""en"")"),"1000000")</f>
        <v>1000000</v>
      </c>
      <c r="J1058" s="1" t="str">
        <f ca="1">IFERROR(__xludf.DUMMYFUNCTION("GOOGLETRANSLATE('대전도시공사_청년임대주택 현황_20240630'!J1058,""ko"",""en"")"),"218300")</f>
        <v>218300</v>
      </c>
    </row>
    <row r="1059" spans="1:10" ht="12.5" x14ac:dyDescent="0.25">
      <c r="A1059" s="1" t="str">
        <f ca="1">IFERROR(__xludf.DUMMYFUNCTION("GOOGLETRANSLATE('대전도시공사_청년임대주택 현황_20240630'!A1059,""ko"",""en"")"),"Gungdong-ro 71 (City Palace, Youth Rental)")</f>
        <v>Gungdong-ro 71 (City Palace, Youth Rental)</v>
      </c>
      <c r="B1059" s="1" t="str">
        <f ca="1">IFERROR(__xludf.DUMMYFUNCTION("GOOGLETRANSLATE('대전도시공사_청년임대주택 현황_20240630'!B1059,""ko"",""en"")"),"83")</f>
        <v>83</v>
      </c>
      <c r="C1059" s="1" t="str">
        <f ca="1">IFERROR(__xludf.DUMMYFUNCTION("GOOGLETRANSLATE('대전도시공사_청년임대주택 현황_20240630'!C1059,""ko"",""en"")"),"1")</f>
        <v>1</v>
      </c>
      <c r="D1059" s="1" t="str">
        <f ca="1">IFERROR(__xludf.DUMMYFUNCTION("GOOGLETRANSLATE('대전도시공사_청년임대주택 현황_20240630'!D1059,""ko"",""en"")"),"319")</f>
        <v>319</v>
      </c>
      <c r="E1059" s="1" t="str">
        <f ca="1">IFERROR(__xludf.DUMMYFUNCTION("GOOGLETRANSLATE('대전도시공사_청년임대주택 현황_20240630'!E1059,""ko"",""en"")"),"38.716")</f>
        <v>38.716</v>
      </c>
      <c r="F1059" s="1" t="str">
        <f ca="1">IFERROR(__xludf.DUMMYFUNCTION("GOOGLETRANSLATE('대전도시공사_청년임대주택 현황_20240630'!F1059,""ko"",""en"")"),"19.349")</f>
        <v>19.349</v>
      </c>
      <c r="G1059" s="1" t="str">
        <f ca="1">IFERROR(__xludf.DUMMYFUNCTION("GOOGLETRANSLATE('대전도시공사_청년임대주택 현황_20240630'!G1059,""ko"",""en"")"),"19.367")</f>
        <v>19.367</v>
      </c>
      <c r="H1059" s="1" t="str">
        <f ca="1">IFERROR(__xludf.DUMMYFUNCTION("GOOGLETRANSLATE('대전도시공사_청년임대주택 현황_20240630'!H1059,""ko"",""en"")"),"Youth Rental 2nd Place")</f>
        <v>Youth Rental 2nd Place</v>
      </c>
      <c r="I1059" s="1" t="str">
        <f ca="1">IFERROR(__xludf.DUMMYFUNCTION("GOOGLETRANSLATE('대전도시공사_청년임대주택 현황_20240630'!I1059,""ko"",""en"")"),"2000000")</f>
        <v>2000000</v>
      </c>
      <c r="J1059" s="1" t="str">
        <f ca="1">IFERROR(__xludf.DUMMYFUNCTION("GOOGLETRANSLATE('대전도시공사_청년임대주택 현황_20240630'!J1059,""ko"",""en"")"),"268700")</f>
        <v>268700</v>
      </c>
    </row>
    <row r="1060" spans="1:10" ht="12.5" x14ac:dyDescent="0.25">
      <c r="A1060" s="1" t="str">
        <f ca="1">IFERROR(__xludf.DUMMYFUNCTION("GOOGLETRANSLATE('대전도시공사_청년임대주택 현황_20240630'!A1060,""ko"",""en"")"),"Gungdong-ro 71 (City Palace, Youth Rental)")</f>
        <v>Gungdong-ro 71 (City Palace, Youth Rental)</v>
      </c>
      <c r="B1060" s="1" t="str">
        <f ca="1">IFERROR(__xludf.DUMMYFUNCTION("GOOGLETRANSLATE('대전도시공사_청년임대주택 현황_20240630'!B1060,""ko"",""en"")"),"84")</f>
        <v>84</v>
      </c>
      <c r="C1060" s="1" t="str">
        <f ca="1">IFERROR(__xludf.DUMMYFUNCTION("GOOGLETRANSLATE('대전도시공사_청년임대주택 현황_20240630'!C1060,""ko"",""en"")"),"1")</f>
        <v>1</v>
      </c>
      <c r="D1060" s="1" t="str">
        <f ca="1">IFERROR(__xludf.DUMMYFUNCTION("GOOGLETRANSLATE('대전도시공사_청년임대주택 현황_20240630'!D1060,""ko"",""en"")"),"319")</f>
        <v>319</v>
      </c>
      <c r="E1060" s="1" t="str">
        <f ca="1">IFERROR(__xludf.DUMMYFUNCTION("GOOGLETRANSLATE('대전도시공사_청년임대주택 현황_20240630'!E1060,""ko"",""en"")"),"38.716")</f>
        <v>38.716</v>
      </c>
      <c r="F1060" s="1" t="str">
        <f ca="1">IFERROR(__xludf.DUMMYFUNCTION("GOOGLETRANSLATE('대전도시공사_청년임대주택 현황_20240630'!F1060,""ko"",""en"")"),"19.349")</f>
        <v>19.349</v>
      </c>
      <c r="G1060" s="1" t="str">
        <f ca="1">IFERROR(__xludf.DUMMYFUNCTION("GOOGLETRANSLATE('대전도시공사_청년임대주택 현황_20240630'!G1060,""ko"",""en"")"),"19.367")</f>
        <v>19.367</v>
      </c>
      <c r="H1060" s="1" t="str">
        <f ca="1">IFERROR(__xludf.DUMMYFUNCTION("GOOGLETRANSLATE('대전도시공사_청년임대주택 현황_20240630'!H1060,""ko"",""en"")"),"3rd place for youth rental")</f>
        <v>3rd place for youth rental</v>
      </c>
      <c r="I1060" s="1" t="str">
        <f ca="1">IFERROR(__xludf.DUMMYFUNCTION("GOOGLETRANSLATE('대전도시공사_청년임대주택 현황_20240630'!I1060,""ko"",""en"")"),"2000000")</f>
        <v>2000000</v>
      </c>
      <c r="J1060" s="1" t="str">
        <f ca="1">IFERROR(__xludf.DUMMYFUNCTION("GOOGLETRANSLATE('대전도시공사_청년임대주택 현황_20240630'!J1060,""ko"",""en"")"),"268700")</f>
        <v>268700</v>
      </c>
    </row>
    <row r="1061" spans="1:10" ht="12.5" x14ac:dyDescent="0.25">
      <c r="A1061" s="1" t="str">
        <f ca="1">IFERROR(__xludf.DUMMYFUNCTION("GOOGLETRANSLATE('대전도시공사_청년임대주택 현황_20240630'!A1061,""ko"",""en"")"),"Gungdong-ro 71 (City Palace, Youth Rental)")</f>
        <v>Gungdong-ro 71 (City Palace, Youth Rental)</v>
      </c>
      <c r="B1061" s="1" t="str">
        <f ca="1">IFERROR(__xludf.DUMMYFUNCTION("GOOGLETRANSLATE('대전도시공사_청년임대주택 현황_20240630'!B1061,""ko"",""en"")"),"85")</f>
        <v>85</v>
      </c>
      <c r="C1061" s="1" t="str">
        <f ca="1">IFERROR(__xludf.DUMMYFUNCTION("GOOGLETRANSLATE('대전도시공사_청년임대주택 현황_20240630'!C1061,""ko"",""en"")"),"1")</f>
        <v>1</v>
      </c>
      <c r="D1061" s="1" t="str">
        <f ca="1">IFERROR(__xludf.DUMMYFUNCTION("GOOGLETRANSLATE('대전도시공사_청년임대주택 현황_20240630'!D1061,""ko"",""en"")"),"320")</f>
        <v>320</v>
      </c>
      <c r="E1061" s="1" t="str">
        <f ca="1">IFERROR(__xludf.DUMMYFUNCTION("GOOGLETRANSLATE('대전도시공사_청년임대주택 현황_20240630'!E1061,""ko"",""en"")"),"38.716")</f>
        <v>38.716</v>
      </c>
      <c r="F1061" s="1" t="str">
        <f ca="1">IFERROR(__xludf.DUMMYFUNCTION("GOOGLETRANSLATE('대전도시공사_청년임대주택 현황_20240630'!F1061,""ko"",""en"")"),"19.349")</f>
        <v>19.349</v>
      </c>
      <c r="G1061" s="1" t="str">
        <f ca="1">IFERROR(__xludf.DUMMYFUNCTION("GOOGLETRANSLATE('대전도시공사_청년임대주택 현황_20240630'!G1061,""ko"",""en"")"),"19.367")</f>
        <v>19.367</v>
      </c>
      <c r="H1061" s="1" t="str">
        <f ca="1">IFERROR(__xludf.DUMMYFUNCTION("GOOGLETRANSLATE('대전도시공사_청년임대주택 현황_20240630'!H1061,""ko"",""en"")"),"Beneficiary")</f>
        <v>Beneficiary</v>
      </c>
      <c r="I1061" s="1" t="str">
        <f ca="1">IFERROR(__xludf.DUMMYFUNCTION("GOOGLETRANSLATE('대전도시공사_청년임대주택 현황_20240630'!I1061,""ko"",""en"")"),"1000000")</f>
        <v>1000000</v>
      </c>
      <c r="J1061" s="1" t="str">
        <f ca="1">IFERROR(__xludf.DUMMYFUNCTION("GOOGLETRANSLATE('대전도시공사_청년임대주택 현황_20240630'!J1061,""ko"",""en"")"),"218300")</f>
        <v>218300</v>
      </c>
    </row>
    <row r="1062" spans="1:10" ht="12.5" x14ac:dyDescent="0.25">
      <c r="A1062" s="1" t="str">
        <f ca="1">IFERROR(__xludf.DUMMYFUNCTION("GOOGLETRANSLATE('대전도시공사_청년임대주택 현황_20240630'!A1062,""ko"",""en"")"),"Gungdong-ro 71 (City Palace, Youth Rental)")</f>
        <v>Gungdong-ro 71 (City Palace, Youth Rental)</v>
      </c>
      <c r="B1062" s="1" t="str">
        <f ca="1">IFERROR(__xludf.DUMMYFUNCTION("GOOGLETRANSLATE('대전도시공사_청년임대주택 현황_20240630'!B1062,""ko"",""en"")"),"86")</f>
        <v>86</v>
      </c>
      <c r="C1062" s="1" t="str">
        <f ca="1">IFERROR(__xludf.DUMMYFUNCTION("GOOGLETRANSLATE('대전도시공사_청년임대주택 현황_20240630'!C1062,""ko"",""en"")"),"1")</f>
        <v>1</v>
      </c>
      <c r="D1062" s="1" t="str">
        <f ca="1">IFERROR(__xludf.DUMMYFUNCTION("GOOGLETRANSLATE('대전도시공사_청년임대주택 현황_20240630'!D1062,""ko"",""en"")"),"320")</f>
        <v>320</v>
      </c>
      <c r="E1062" s="1" t="str">
        <f ca="1">IFERROR(__xludf.DUMMYFUNCTION("GOOGLETRANSLATE('대전도시공사_청년임대주택 현황_20240630'!E1062,""ko"",""en"")"),"38.716")</f>
        <v>38.716</v>
      </c>
      <c r="F1062" s="1" t="str">
        <f ca="1">IFERROR(__xludf.DUMMYFUNCTION("GOOGLETRANSLATE('대전도시공사_청년임대주택 현황_20240630'!F1062,""ko"",""en"")"),"19.349")</f>
        <v>19.349</v>
      </c>
      <c r="G1062" s="1" t="str">
        <f ca="1">IFERROR(__xludf.DUMMYFUNCTION("GOOGLETRANSLATE('대전도시공사_청년임대주택 현황_20240630'!G1062,""ko"",""en"")"),"19.367")</f>
        <v>19.367</v>
      </c>
      <c r="H1062" s="1" t="str">
        <f ca="1">IFERROR(__xludf.DUMMYFUNCTION("GOOGLETRANSLATE('대전도시공사_청년임대주택 현황_20240630'!H1062,""ko"",""en"")"),"Youth Rental 2nd Place")</f>
        <v>Youth Rental 2nd Place</v>
      </c>
      <c r="I1062" s="1" t="str">
        <f ca="1">IFERROR(__xludf.DUMMYFUNCTION("GOOGLETRANSLATE('대전도시공사_청년임대주택 현황_20240630'!I1062,""ko"",""en"")"),"2000000")</f>
        <v>2000000</v>
      </c>
      <c r="J1062" s="1" t="str">
        <f ca="1">IFERROR(__xludf.DUMMYFUNCTION("GOOGLETRANSLATE('대전도시공사_청년임대주택 현황_20240630'!J1062,""ko"",""en"")"),"268700")</f>
        <v>268700</v>
      </c>
    </row>
    <row r="1063" spans="1:10" ht="12.5" x14ac:dyDescent="0.25">
      <c r="A1063" s="1" t="str">
        <f ca="1">IFERROR(__xludf.DUMMYFUNCTION("GOOGLETRANSLATE('대전도시공사_청년임대주택 현황_20240630'!A1063,""ko"",""en"")"),"Gungdong-ro 71 (City Palace, Youth Rental)")</f>
        <v>Gungdong-ro 71 (City Palace, Youth Rental)</v>
      </c>
      <c r="B1063" s="1" t="str">
        <f ca="1">IFERROR(__xludf.DUMMYFUNCTION("GOOGLETRANSLATE('대전도시공사_청년임대주택 현황_20240630'!B1063,""ko"",""en"")"),"87")</f>
        <v>87</v>
      </c>
      <c r="C1063" s="1" t="str">
        <f ca="1">IFERROR(__xludf.DUMMYFUNCTION("GOOGLETRANSLATE('대전도시공사_청년임대주택 현황_20240630'!C1063,""ko"",""en"")"),"1")</f>
        <v>1</v>
      </c>
      <c r="D1063" s="1" t="str">
        <f ca="1">IFERROR(__xludf.DUMMYFUNCTION("GOOGLETRANSLATE('대전도시공사_청년임대주택 현황_20240630'!D1063,""ko"",""en"")"),"320")</f>
        <v>320</v>
      </c>
      <c r="E1063" s="1" t="str">
        <f ca="1">IFERROR(__xludf.DUMMYFUNCTION("GOOGLETRANSLATE('대전도시공사_청년임대주택 현황_20240630'!E1063,""ko"",""en"")"),"38.716")</f>
        <v>38.716</v>
      </c>
      <c r="F1063" s="1" t="str">
        <f ca="1">IFERROR(__xludf.DUMMYFUNCTION("GOOGLETRANSLATE('대전도시공사_청년임대주택 현황_20240630'!F1063,""ko"",""en"")"),"19.349")</f>
        <v>19.349</v>
      </c>
      <c r="G1063" s="1" t="str">
        <f ca="1">IFERROR(__xludf.DUMMYFUNCTION("GOOGLETRANSLATE('대전도시공사_청년임대주택 현황_20240630'!G1063,""ko"",""en"")"),"19.367")</f>
        <v>19.367</v>
      </c>
      <c r="H1063" s="1" t="str">
        <f ca="1">IFERROR(__xludf.DUMMYFUNCTION("GOOGLETRANSLATE('대전도시공사_청년임대주택 현황_20240630'!H1063,""ko"",""en"")"),"3rd place for youth rental")</f>
        <v>3rd place for youth rental</v>
      </c>
      <c r="I1063" s="1" t="str">
        <f ca="1">IFERROR(__xludf.DUMMYFUNCTION("GOOGLETRANSLATE('대전도시공사_청년임대주택 현황_20240630'!I1063,""ko"",""en"")"),"2000000")</f>
        <v>2000000</v>
      </c>
      <c r="J1063" s="1" t="str">
        <f ca="1">IFERROR(__xludf.DUMMYFUNCTION("GOOGLETRANSLATE('대전도시공사_청년임대주택 현황_20240630'!J1063,""ko"",""en"")"),"268700")</f>
        <v>268700</v>
      </c>
    </row>
    <row r="1064" spans="1:10" ht="12.5" x14ac:dyDescent="0.25">
      <c r="A1064" s="1" t="str">
        <f ca="1">IFERROR(__xludf.DUMMYFUNCTION("GOOGLETRANSLATE('대전도시공사_청년임대주택 현황_20240630'!A1064,""ko"",""en"")"),"Gungdong-ro 71 (City Palace, Youth Rental)")</f>
        <v>Gungdong-ro 71 (City Palace, Youth Rental)</v>
      </c>
      <c r="B1064" s="1" t="str">
        <f ca="1">IFERROR(__xludf.DUMMYFUNCTION("GOOGLETRANSLATE('대전도시공사_청년임대주택 현황_20240630'!B1064,""ko"",""en"")"),"88")</f>
        <v>88</v>
      </c>
      <c r="C1064" s="1" t="str">
        <f ca="1">IFERROR(__xludf.DUMMYFUNCTION("GOOGLETRANSLATE('대전도시공사_청년임대주택 현황_20240630'!C1064,""ko"",""en"")"),"1")</f>
        <v>1</v>
      </c>
      <c r="D1064" s="1" t="str">
        <f ca="1">IFERROR(__xludf.DUMMYFUNCTION("GOOGLETRANSLATE('대전도시공사_청년임대주택 현황_20240630'!D1064,""ko"",""en"")"),"321")</f>
        <v>321</v>
      </c>
      <c r="E1064" s="1" t="str">
        <f ca="1">IFERROR(__xludf.DUMMYFUNCTION("GOOGLETRANSLATE('대전도시공사_청년임대주택 현황_20240630'!E1064,""ko"",""en"")"),"38.716")</f>
        <v>38.716</v>
      </c>
      <c r="F1064" s="1" t="str">
        <f ca="1">IFERROR(__xludf.DUMMYFUNCTION("GOOGLETRANSLATE('대전도시공사_청년임대주택 현황_20240630'!F1064,""ko"",""en"")"),"19.349")</f>
        <v>19.349</v>
      </c>
      <c r="G1064" s="1" t="str">
        <f ca="1">IFERROR(__xludf.DUMMYFUNCTION("GOOGLETRANSLATE('대전도시공사_청년임대주택 현황_20240630'!G1064,""ko"",""en"")"),"19.367")</f>
        <v>19.367</v>
      </c>
      <c r="H1064" s="1" t="str">
        <f ca="1">IFERROR(__xludf.DUMMYFUNCTION("GOOGLETRANSLATE('대전도시공사_청년임대주택 현황_20240630'!H1064,""ko"",""en"")"),"Beneficiary")</f>
        <v>Beneficiary</v>
      </c>
      <c r="I1064" s="1" t="str">
        <f ca="1">IFERROR(__xludf.DUMMYFUNCTION("GOOGLETRANSLATE('대전도시공사_청년임대주택 현황_20240630'!I1064,""ko"",""en"")"),"1000000")</f>
        <v>1000000</v>
      </c>
      <c r="J1064" s="1" t="str">
        <f ca="1">IFERROR(__xludf.DUMMYFUNCTION("GOOGLETRANSLATE('대전도시공사_청년임대주택 현황_20240630'!J1064,""ko"",""en"")"),"218300")</f>
        <v>218300</v>
      </c>
    </row>
    <row r="1065" spans="1:10" ht="12.5" x14ac:dyDescent="0.25">
      <c r="A1065" s="1" t="str">
        <f ca="1">IFERROR(__xludf.DUMMYFUNCTION("GOOGLETRANSLATE('대전도시공사_청년임대주택 현황_20240630'!A1065,""ko"",""en"")"),"Gungdong-ro 71 (City Palace, Youth Rental)")</f>
        <v>Gungdong-ro 71 (City Palace, Youth Rental)</v>
      </c>
      <c r="B1065" s="1" t="str">
        <f ca="1">IFERROR(__xludf.DUMMYFUNCTION("GOOGLETRANSLATE('대전도시공사_청년임대주택 현황_20240630'!B1065,""ko"",""en"")"),"89")</f>
        <v>89</v>
      </c>
      <c r="C1065" s="1" t="str">
        <f ca="1">IFERROR(__xludf.DUMMYFUNCTION("GOOGLETRANSLATE('대전도시공사_청년임대주택 현황_20240630'!C1065,""ko"",""en"")"),"1")</f>
        <v>1</v>
      </c>
      <c r="D1065" s="1" t="str">
        <f ca="1">IFERROR(__xludf.DUMMYFUNCTION("GOOGLETRANSLATE('대전도시공사_청년임대주택 현황_20240630'!D1065,""ko"",""en"")"),"321")</f>
        <v>321</v>
      </c>
      <c r="E1065" s="1" t="str">
        <f ca="1">IFERROR(__xludf.DUMMYFUNCTION("GOOGLETRANSLATE('대전도시공사_청년임대주택 현황_20240630'!E1065,""ko"",""en"")"),"38.716")</f>
        <v>38.716</v>
      </c>
      <c r="F1065" s="1" t="str">
        <f ca="1">IFERROR(__xludf.DUMMYFUNCTION("GOOGLETRANSLATE('대전도시공사_청년임대주택 현황_20240630'!F1065,""ko"",""en"")"),"19.349")</f>
        <v>19.349</v>
      </c>
      <c r="G1065" s="1" t="str">
        <f ca="1">IFERROR(__xludf.DUMMYFUNCTION("GOOGLETRANSLATE('대전도시공사_청년임대주택 현황_20240630'!G1065,""ko"",""en"")"),"19.367")</f>
        <v>19.367</v>
      </c>
      <c r="H1065" s="1" t="str">
        <f ca="1">IFERROR(__xludf.DUMMYFUNCTION("GOOGLETRANSLATE('대전도시공사_청년임대주택 현황_20240630'!H1065,""ko"",""en"")"),"Youth Rental 2nd Place")</f>
        <v>Youth Rental 2nd Place</v>
      </c>
      <c r="I1065" s="1" t="str">
        <f ca="1">IFERROR(__xludf.DUMMYFUNCTION("GOOGLETRANSLATE('대전도시공사_청년임대주택 현황_20240630'!I1065,""ko"",""en"")"),"2000000")</f>
        <v>2000000</v>
      </c>
      <c r="J1065" s="1" t="str">
        <f ca="1">IFERROR(__xludf.DUMMYFUNCTION("GOOGLETRANSLATE('대전도시공사_청년임대주택 현황_20240630'!J1065,""ko"",""en"")"),"268700")</f>
        <v>268700</v>
      </c>
    </row>
    <row r="1066" spans="1:10" ht="12.5" x14ac:dyDescent="0.25">
      <c r="A1066" s="1" t="str">
        <f ca="1">IFERROR(__xludf.DUMMYFUNCTION("GOOGLETRANSLATE('대전도시공사_청년임대주택 현황_20240630'!A1066,""ko"",""en"")"),"Gungdong-ro 71 (City Palace, Youth Rental)")</f>
        <v>Gungdong-ro 71 (City Palace, Youth Rental)</v>
      </c>
      <c r="B1066" s="1" t="str">
        <f ca="1">IFERROR(__xludf.DUMMYFUNCTION("GOOGLETRANSLATE('대전도시공사_청년임대주택 현황_20240630'!B1066,""ko"",""en"")"),"90")</f>
        <v>90</v>
      </c>
      <c r="C1066" s="1" t="str">
        <f ca="1">IFERROR(__xludf.DUMMYFUNCTION("GOOGLETRANSLATE('대전도시공사_청년임대주택 현황_20240630'!C1066,""ko"",""en"")"),"1")</f>
        <v>1</v>
      </c>
      <c r="D1066" s="1" t="str">
        <f ca="1">IFERROR(__xludf.DUMMYFUNCTION("GOOGLETRANSLATE('대전도시공사_청년임대주택 현황_20240630'!D1066,""ko"",""en"")"),"321")</f>
        <v>321</v>
      </c>
      <c r="E1066" s="1" t="str">
        <f ca="1">IFERROR(__xludf.DUMMYFUNCTION("GOOGLETRANSLATE('대전도시공사_청년임대주택 현황_20240630'!E1066,""ko"",""en"")"),"38.716")</f>
        <v>38.716</v>
      </c>
      <c r="F1066" s="1" t="str">
        <f ca="1">IFERROR(__xludf.DUMMYFUNCTION("GOOGLETRANSLATE('대전도시공사_청년임대주택 현황_20240630'!F1066,""ko"",""en"")"),"19.349")</f>
        <v>19.349</v>
      </c>
      <c r="G1066" s="1" t="str">
        <f ca="1">IFERROR(__xludf.DUMMYFUNCTION("GOOGLETRANSLATE('대전도시공사_청년임대주택 현황_20240630'!G1066,""ko"",""en"")"),"19.367")</f>
        <v>19.367</v>
      </c>
      <c r="H1066" s="1" t="str">
        <f ca="1">IFERROR(__xludf.DUMMYFUNCTION("GOOGLETRANSLATE('대전도시공사_청년임대주택 현황_20240630'!H1066,""ko"",""en"")"),"3rd place for youth rental")</f>
        <v>3rd place for youth rental</v>
      </c>
      <c r="I1066" s="1" t="str">
        <f ca="1">IFERROR(__xludf.DUMMYFUNCTION("GOOGLETRANSLATE('대전도시공사_청년임대주택 현황_20240630'!I1066,""ko"",""en"")"),"2000000")</f>
        <v>2000000</v>
      </c>
      <c r="J1066" s="1" t="str">
        <f ca="1">IFERROR(__xludf.DUMMYFUNCTION("GOOGLETRANSLATE('대전도시공사_청년임대주택 현황_20240630'!J1066,""ko"",""en"")"),"268700")</f>
        <v>268700</v>
      </c>
    </row>
    <row r="1067" spans="1:10" ht="12.5" x14ac:dyDescent="0.25">
      <c r="A1067" s="1" t="str">
        <f ca="1">IFERROR(__xludf.DUMMYFUNCTION("GOOGLETRANSLATE('대전도시공사_청년임대주택 현황_20240630'!A1067,""ko"",""en"")"),"Gungdong-ro 71 (City Palace, Youth Rental)")</f>
        <v>Gungdong-ro 71 (City Palace, Youth Rental)</v>
      </c>
      <c r="B1067" s="1" t="str">
        <f ca="1">IFERROR(__xludf.DUMMYFUNCTION("GOOGLETRANSLATE('대전도시공사_청년임대주택 현황_20240630'!B1067,""ko"",""en"")"),"91")</f>
        <v>91</v>
      </c>
      <c r="C1067" s="1" t="str">
        <f ca="1">IFERROR(__xludf.DUMMYFUNCTION("GOOGLETRANSLATE('대전도시공사_청년임대주택 현황_20240630'!C1067,""ko"",""en"")"),"1")</f>
        <v>1</v>
      </c>
      <c r="D1067" s="1" t="str">
        <f ca="1">IFERROR(__xludf.DUMMYFUNCTION("GOOGLETRANSLATE('대전도시공사_청년임대주택 현황_20240630'!D1067,""ko"",""en"")"),"322")</f>
        <v>322</v>
      </c>
      <c r="E1067" s="1" t="str">
        <f ca="1">IFERROR(__xludf.DUMMYFUNCTION("GOOGLETRANSLATE('대전도시공사_청년임대주택 현황_20240630'!E1067,""ko"",""en"")"),"38.716")</f>
        <v>38.716</v>
      </c>
      <c r="F1067" s="1" t="str">
        <f ca="1">IFERROR(__xludf.DUMMYFUNCTION("GOOGLETRANSLATE('대전도시공사_청년임대주택 현황_20240630'!F1067,""ko"",""en"")"),"19.349")</f>
        <v>19.349</v>
      </c>
      <c r="G1067" s="1" t="str">
        <f ca="1">IFERROR(__xludf.DUMMYFUNCTION("GOOGLETRANSLATE('대전도시공사_청년임대주택 현황_20240630'!G1067,""ko"",""en"")"),"19.367")</f>
        <v>19.367</v>
      </c>
      <c r="H1067" s="1" t="str">
        <f ca="1">IFERROR(__xludf.DUMMYFUNCTION("GOOGLETRANSLATE('대전도시공사_청년임대주택 현황_20240630'!H1067,""ko"",""en"")"),"Beneficiary")</f>
        <v>Beneficiary</v>
      </c>
      <c r="I1067" s="1" t="str">
        <f ca="1">IFERROR(__xludf.DUMMYFUNCTION("GOOGLETRANSLATE('대전도시공사_청년임대주택 현황_20240630'!I1067,""ko"",""en"")"),"1000000")</f>
        <v>1000000</v>
      </c>
      <c r="J1067" s="1" t="str">
        <f ca="1">IFERROR(__xludf.DUMMYFUNCTION("GOOGLETRANSLATE('대전도시공사_청년임대주택 현황_20240630'!J1067,""ko"",""en"")"),"218300")</f>
        <v>218300</v>
      </c>
    </row>
    <row r="1068" spans="1:10" ht="12.5" x14ac:dyDescent="0.25">
      <c r="A1068" s="1" t="str">
        <f ca="1">IFERROR(__xludf.DUMMYFUNCTION("GOOGLETRANSLATE('대전도시공사_청년임대주택 현황_20240630'!A1068,""ko"",""en"")"),"Gungdong-ro 71 (City Palace, Youth Rental)")</f>
        <v>Gungdong-ro 71 (City Palace, Youth Rental)</v>
      </c>
      <c r="B1068" s="1" t="str">
        <f ca="1">IFERROR(__xludf.DUMMYFUNCTION("GOOGLETRANSLATE('대전도시공사_청년임대주택 현황_20240630'!B1068,""ko"",""en"")"),"92")</f>
        <v>92</v>
      </c>
      <c r="C1068" s="1" t="str">
        <f ca="1">IFERROR(__xludf.DUMMYFUNCTION("GOOGLETRANSLATE('대전도시공사_청년임대주택 현황_20240630'!C1068,""ko"",""en"")"),"1")</f>
        <v>1</v>
      </c>
      <c r="D1068" s="1" t="str">
        <f ca="1">IFERROR(__xludf.DUMMYFUNCTION("GOOGLETRANSLATE('대전도시공사_청년임대주택 현황_20240630'!D1068,""ko"",""en"")"),"322")</f>
        <v>322</v>
      </c>
      <c r="E1068" s="1" t="str">
        <f ca="1">IFERROR(__xludf.DUMMYFUNCTION("GOOGLETRANSLATE('대전도시공사_청년임대주택 현황_20240630'!E1068,""ko"",""en"")"),"38.716")</f>
        <v>38.716</v>
      </c>
      <c r="F1068" s="1" t="str">
        <f ca="1">IFERROR(__xludf.DUMMYFUNCTION("GOOGLETRANSLATE('대전도시공사_청년임대주택 현황_20240630'!F1068,""ko"",""en"")"),"19.349")</f>
        <v>19.349</v>
      </c>
      <c r="G1068" s="1" t="str">
        <f ca="1">IFERROR(__xludf.DUMMYFUNCTION("GOOGLETRANSLATE('대전도시공사_청년임대주택 현황_20240630'!G1068,""ko"",""en"")"),"19.367")</f>
        <v>19.367</v>
      </c>
      <c r="H1068" s="1" t="str">
        <f ca="1">IFERROR(__xludf.DUMMYFUNCTION("GOOGLETRANSLATE('대전도시공사_청년임대주택 현황_20240630'!H1068,""ko"",""en"")"),"Youth Rental 2nd Place")</f>
        <v>Youth Rental 2nd Place</v>
      </c>
      <c r="I1068" s="1" t="str">
        <f ca="1">IFERROR(__xludf.DUMMYFUNCTION("GOOGLETRANSLATE('대전도시공사_청년임대주택 현황_20240630'!I1068,""ko"",""en"")"),"2000000")</f>
        <v>2000000</v>
      </c>
      <c r="J1068" s="1" t="str">
        <f ca="1">IFERROR(__xludf.DUMMYFUNCTION("GOOGLETRANSLATE('대전도시공사_청년임대주택 현황_20240630'!J1068,""ko"",""en"")"),"268700")</f>
        <v>268700</v>
      </c>
    </row>
    <row r="1069" spans="1:10" ht="12.5" x14ac:dyDescent="0.25">
      <c r="A1069" s="1" t="str">
        <f ca="1">IFERROR(__xludf.DUMMYFUNCTION("GOOGLETRANSLATE('대전도시공사_청년임대주택 현황_20240630'!A1069,""ko"",""en"")"),"Gungdong-ro 71 (City Palace, Youth Rental)")</f>
        <v>Gungdong-ro 71 (City Palace, Youth Rental)</v>
      </c>
      <c r="B1069" s="1" t="str">
        <f ca="1">IFERROR(__xludf.DUMMYFUNCTION("GOOGLETRANSLATE('대전도시공사_청년임대주택 현황_20240630'!B1069,""ko"",""en"")"),"93")</f>
        <v>93</v>
      </c>
      <c r="C1069" s="1" t="str">
        <f ca="1">IFERROR(__xludf.DUMMYFUNCTION("GOOGLETRANSLATE('대전도시공사_청년임대주택 현황_20240630'!C1069,""ko"",""en"")"),"1")</f>
        <v>1</v>
      </c>
      <c r="D1069" s="1" t="str">
        <f ca="1">IFERROR(__xludf.DUMMYFUNCTION("GOOGLETRANSLATE('대전도시공사_청년임대주택 현황_20240630'!D1069,""ko"",""en"")"),"322")</f>
        <v>322</v>
      </c>
      <c r="E1069" s="1" t="str">
        <f ca="1">IFERROR(__xludf.DUMMYFUNCTION("GOOGLETRANSLATE('대전도시공사_청년임대주택 현황_20240630'!E1069,""ko"",""en"")"),"38.716")</f>
        <v>38.716</v>
      </c>
      <c r="F1069" s="1" t="str">
        <f ca="1">IFERROR(__xludf.DUMMYFUNCTION("GOOGLETRANSLATE('대전도시공사_청년임대주택 현황_20240630'!F1069,""ko"",""en"")"),"19.349")</f>
        <v>19.349</v>
      </c>
      <c r="G1069" s="1" t="str">
        <f ca="1">IFERROR(__xludf.DUMMYFUNCTION("GOOGLETRANSLATE('대전도시공사_청년임대주택 현황_20240630'!G1069,""ko"",""en"")"),"19.367")</f>
        <v>19.367</v>
      </c>
      <c r="H1069" s="1" t="str">
        <f ca="1">IFERROR(__xludf.DUMMYFUNCTION("GOOGLETRANSLATE('대전도시공사_청년임대주택 현황_20240630'!H1069,""ko"",""en"")"),"3rd place for youth rental")</f>
        <v>3rd place for youth rental</v>
      </c>
      <c r="I1069" s="1" t="str">
        <f ca="1">IFERROR(__xludf.DUMMYFUNCTION("GOOGLETRANSLATE('대전도시공사_청년임대주택 현황_20240630'!I1069,""ko"",""en"")"),"2000000")</f>
        <v>2000000</v>
      </c>
      <c r="J1069" s="1" t="str">
        <f ca="1">IFERROR(__xludf.DUMMYFUNCTION("GOOGLETRANSLATE('대전도시공사_청년임대주택 현황_20240630'!J1069,""ko"",""en"")"),"268700")</f>
        <v>268700</v>
      </c>
    </row>
    <row r="1070" spans="1:10" ht="12.5" x14ac:dyDescent="0.25">
      <c r="A1070" s="1" t="str">
        <f ca="1">IFERROR(__xludf.DUMMYFUNCTION("GOOGLETRANSLATE('대전도시공사_청년임대주택 현황_20240630'!A1070,""ko"",""en"")"),"Gungdong-ro 71 (City Palace, Youth Rental)")</f>
        <v>Gungdong-ro 71 (City Palace, Youth Rental)</v>
      </c>
      <c r="B1070" s="1" t="str">
        <f ca="1">IFERROR(__xludf.DUMMYFUNCTION("GOOGLETRANSLATE('대전도시공사_청년임대주택 현황_20240630'!B1070,""ko"",""en"")"),"94")</f>
        <v>94</v>
      </c>
      <c r="C1070" s="1" t="str">
        <f ca="1">IFERROR(__xludf.DUMMYFUNCTION("GOOGLETRANSLATE('대전도시공사_청년임대주택 현황_20240630'!C1070,""ko"",""en"")"),"1")</f>
        <v>1</v>
      </c>
      <c r="D1070" s="1" t="str">
        <f ca="1">IFERROR(__xludf.DUMMYFUNCTION("GOOGLETRANSLATE('대전도시공사_청년임대주택 현황_20240630'!D1070,""ko"",""en"")"),"404")</f>
        <v>404</v>
      </c>
      <c r="E1070" s="1" t="str">
        <f ca="1">IFERROR(__xludf.DUMMYFUNCTION("GOOGLETRANSLATE('대전도시공사_청년임대주택 현황_20240630'!E1070,""ko"",""en"")"),"35.683")</f>
        <v>35.683</v>
      </c>
      <c r="F1070" s="1" t="str">
        <f ca="1">IFERROR(__xludf.DUMMYFUNCTION("GOOGLETRANSLATE('대전도시공사_청년임대주택 현황_20240630'!F1070,""ko"",""en"")"),"17.822")</f>
        <v>17.822</v>
      </c>
      <c r="G1070" s="1" t="str">
        <f ca="1">IFERROR(__xludf.DUMMYFUNCTION("GOOGLETRANSLATE('대전도시공사_청년임대주택 현황_20240630'!G1070,""ko"",""en"")"),"17.861")</f>
        <v>17.861</v>
      </c>
      <c r="H1070" s="1" t="str">
        <f ca="1">IFERROR(__xludf.DUMMYFUNCTION("GOOGLETRANSLATE('대전도시공사_청년임대주택 현황_20240630'!H1070,""ko"",""en"")"),"Beneficiary")</f>
        <v>Beneficiary</v>
      </c>
      <c r="I1070" s="1" t="str">
        <f ca="1">IFERROR(__xludf.DUMMYFUNCTION("GOOGLETRANSLATE('대전도시공사_청년임대주택 현황_20240630'!I1070,""ko"",""en"")"),"1000000")</f>
        <v>1000000</v>
      </c>
      <c r="J1070" s="1" t="str">
        <f ca="1">IFERROR(__xludf.DUMMYFUNCTION("GOOGLETRANSLATE('대전도시공사_청년임대주택 현황_20240630'!J1070,""ko"",""en"")"),"200600")</f>
        <v>200600</v>
      </c>
    </row>
    <row r="1071" spans="1:10" ht="12.5" x14ac:dyDescent="0.25">
      <c r="A1071" s="1" t="str">
        <f ca="1">IFERROR(__xludf.DUMMYFUNCTION("GOOGLETRANSLATE('대전도시공사_청년임대주택 현황_20240630'!A1071,""ko"",""en"")"),"Gungdong-ro 71 (City Palace, Youth Rental)")</f>
        <v>Gungdong-ro 71 (City Palace, Youth Rental)</v>
      </c>
      <c r="B1071" s="1" t="str">
        <f ca="1">IFERROR(__xludf.DUMMYFUNCTION("GOOGLETRANSLATE('대전도시공사_청년임대주택 현황_20240630'!B1071,""ko"",""en"")"),"95")</f>
        <v>95</v>
      </c>
      <c r="C1071" s="1" t="str">
        <f ca="1">IFERROR(__xludf.DUMMYFUNCTION("GOOGLETRANSLATE('대전도시공사_청년임대주택 현황_20240630'!C1071,""ko"",""en"")"),"1")</f>
        <v>1</v>
      </c>
      <c r="D1071" s="1" t="str">
        <f ca="1">IFERROR(__xludf.DUMMYFUNCTION("GOOGLETRANSLATE('대전도시공사_청년임대주택 현황_20240630'!D1071,""ko"",""en"")"),"404")</f>
        <v>404</v>
      </c>
      <c r="E1071" s="1" t="str">
        <f ca="1">IFERROR(__xludf.DUMMYFUNCTION("GOOGLETRANSLATE('대전도시공사_청년임대주택 현황_20240630'!E1071,""ko"",""en"")"),"35.683")</f>
        <v>35.683</v>
      </c>
      <c r="F1071" s="1" t="str">
        <f ca="1">IFERROR(__xludf.DUMMYFUNCTION("GOOGLETRANSLATE('대전도시공사_청년임대주택 현황_20240630'!F1071,""ko"",""en"")"),"17.822")</f>
        <v>17.822</v>
      </c>
      <c r="G1071" s="1" t="str">
        <f ca="1">IFERROR(__xludf.DUMMYFUNCTION("GOOGLETRANSLATE('대전도시공사_청년임대주택 현황_20240630'!G1071,""ko"",""en"")"),"17.861")</f>
        <v>17.861</v>
      </c>
      <c r="H1071" s="1" t="str">
        <f ca="1">IFERROR(__xludf.DUMMYFUNCTION("GOOGLETRANSLATE('대전도시공사_청년임대주택 현황_20240630'!H1071,""ko"",""en"")"),"Youth Rental 2nd Place")</f>
        <v>Youth Rental 2nd Place</v>
      </c>
      <c r="I1071" s="1" t="str">
        <f ca="1">IFERROR(__xludf.DUMMYFUNCTION("GOOGLETRANSLATE('대전도시공사_청년임대주택 현황_20240630'!I1071,""ko"",""en"")"),"2000000")</f>
        <v>2000000</v>
      </c>
      <c r="J1071" s="1" t="str">
        <f ca="1">IFERROR(__xludf.DUMMYFUNCTION("GOOGLETRANSLATE('대전도시공사_청년임대주택 현황_20240630'!J1071,""ko"",""en"")"),"246600")</f>
        <v>246600</v>
      </c>
    </row>
    <row r="1072" spans="1:10" ht="12.5" x14ac:dyDescent="0.25">
      <c r="A1072" s="1" t="str">
        <f ca="1">IFERROR(__xludf.DUMMYFUNCTION("GOOGLETRANSLATE('대전도시공사_청년임대주택 현황_20240630'!A1072,""ko"",""en"")"),"Gungdong-ro 71 (City Palace, Youth Rental)")</f>
        <v>Gungdong-ro 71 (City Palace, Youth Rental)</v>
      </c>
      <c r="B1072" s="1" t="str">
        <f ca="1">IFERROR(__xludf.DUMMYFUNCTION("GOOGLETRANSLATE('대전도시공사_청년임대주택 현황_20240630'!B1072,""ko"",""en"")"),"96")</f>
        <v>96</v>
      </c>
      <c r="C1072" s="1" t="str">
        <f ca="1">IFERROR(__xludf.DUMMYFUNCTION("GOOGLETRANSLATE('대전도시공사_청년임대주택 현황_20240630'!C1072,""ko"",""en"")"),"1")</f>
        <v>1</v>
      </c>
      <c r="D1072" s="1" t="str">
        <f ca="1">IFERROR(__xludf.DUMMYFUNCTION("GOOGLETRANSLATE('대전도시공사_청년임대주택 현황_20240630'!D1072,""ko"",""en"")"),"404")</f>
        <v>404</v>
      </c>
      <c r="E1072" s="1" t="str">
        <f ca="1">IFERROR(__xludf.DUMMYFUNCTION("GOOGLETRANSLATE('대전도시공사_청년임대주택 현황_20240630'!E1072,""ko"",""en"")"),"35.683")</f>
        <v>35.683</v>
      </c>
      <c r="F1072" s="1" t="str">
        <f ca="1">IFERROR(__xludf.DUMMYFUNCTION("GOOGLETRANSLATE('대전도시공사_청년임대주택 현황_20240630'!F1072,""ko"",""en"")"),"17.822")</f>
        <v>17.822</v>
      </c>
      <c r="G1072" s="1" t="str">
        <f ca="1">IFERROR(__xludf.DUMMYFUNCTION("GOOGLETRANSLATE('대전도시공사_청년임대주택 현황_20240630'!G1072,""ko"",""en"")"),"17.861")</f>
        <v>17.861</v>
      </c>
      <c r="H1072" s="1" t="str">
        <f ca="1">IFERROR(__xludf.DUMMYFUNCTION("GOOGLETRANSLATE('대전도시공사_청년임대주택 현황_20240630'!H1072,""ko"",""en"")"),"3rd place for youth rental")</f>
        <v>3rd place for youth rental</v>
      </c>
      <c r="I1072" s="1" t="str">
        <f ca="1">IFERROR(__xludf.DUMMYFUNCTION("GOOGLETRANSLATE('대전도시공사_청년임대주택 현황_20240630'!I1072,""ko"",""en"")"),"2000000")</f>
        <v>2000000</v>
      </c>
      <c r="J1072" s="1" t="str">
        <f ca="1">IFERROR(__xludf.DUMMYFUNCTION("GOOGLETRANSLATE('대전도시공사_청년임대주택 현황_20240630'!J1072,""ko"",""en"")"),"246600")</f>
        <v>246600</v>
      </c>
    </row>
    <row r="1073" spans="1:10" ht="12.5" x14ac:dyDescent="0.25">
      <c r="A1073" s="1" t="str">
        <f ca="1">IFERROR(__xludf.DUMMYFUNCTION("GOOGLETRANSLATE('대전도시공사_청년임대주택 현황_20240630'!A1073,""ko"",""en"")"),"Gungdong-ro 71 (City Palace, Youth Rental)")</f>
        <v>Gungdong-ro 71 (City Palace, Youth Rental)</v>
      </c>
      <c r="B1073" s="1" t="str">
        <f ca="1">IFERROR(__xludf.DUMMYFUNCTION("GOOGLETRANSLATE('대전도시공사_청년임대주택 현황_20240630'!B1073,""ko"",""en"")"),"97")</f>
        <v>97</v>
      </c>
      <c r="C1073" s="1" t="str">
        <f ca="1">IFERROR(__xludf.DUMMYFUNCTION("GOOGLETRANSLATE('대전도시공사_청년임대주택 현황_20240630'!C1073,""ko"",""en"")"),"1")</f>
        <v>1</v>
      </c>
      <c r="D1073" s="1" t="str">
        <f ca="1">IFERROR(__xludf.DUMMYFUNCTION("GOOGLETRANSLATE('대전도시공사_청년임대주택 현황_20240630'!D1073,""ko"",""en"")"),"405")</f>
        <v>405</v>
      </c>
      <c r="E1073" s="1" t="str">
        <f ca="1">IFERROR(__xludf.DUMMYFUNCTION("GOOGLETRANSLATE('대전도시공사_청년임대주택 현황_20240630'!E1073,""ko"",""en"")"),"35.683")</f>
        <v>35.683</v>
      </c>
      <c r="F1073" s="1" t="str">
        <f ca="1">IFERROR(__xludf.DUMMYFUNCTION("GOOGLETRANSLATE('대전도시공사_청년임대주택 현황_20240630'!F1073,""ko"",""en"")"),"17.822")</f>
        <v>17.822</v>
      </c>
      <c r="G1073" s="1" t="str">
        <f ca="1">IFERROR(__xludf.DUMMYFUNCTION("GOOGLETRANSLATE('대전도시공사_청년임대주택 현황_20240630'!G1073,""ko"",""en"")"),"17.861")</f>
        <v>17.861</v>
      </c>
      <c r="H1073" s="1" t="str">
        <f ca="1">IFERROR(__xludf.DUMMYFUNCTION("GOOGLETRANSLATE('대전도시공사_청년임대주택 현황_20240630'!H1073,""ko"",""en"")"),"Beneficiary")</f>
        <v>Beneficiary</v>
      </c>
      <c r="I1073" s="1" t="str">
        <f ca="1">IFERROR(__xludf.DUMMYFUNCTION("GOOGLETRANSLATE('대전도시공사_청년임대주택 현황_20240630'!I1073,""ko"",""en"")"),"1000000")</f>
        <v>1000000</v>
      </c>
      <c r="J1073" s="1" t="str">
        <f ca="1">IFERROR(__xludf.DUMMYFUNCTION("GOOGLETRANSLATE('대전도시공사_청년임대주택 현황_20240630'!J1073,""ko"",""en"")"),"200600")</f>
        <v>200600</v>
      </c>
    </row>
    <row r="1074" spans="1:10" ht="12.5" x14ac:dyDescent="0.25">
      <c r="A1074" s="1" t="str">
        <f ca="1">IFERROR(__xludf.DUMMYFUNCTION("GOOGLETRANSLATE('대전도시공사_청년임대주택 현황_20240630'!A1074,""ko"",""en"")"),"Gungdong-ro 71 (City Palace, Youth Rental)")</f>
        <v>Gungdong-ro 71 (City Palace, Youth Rental)</v>
      </c>
      <c r="B1074" s="1" t="str">
        <f ca="1">IFERROR(__xludf.DUMMYFUNCTION("GOOGLETRANSLATE('대전도시공사_청년임대주택 현황_20240630'!B1074,""ko"",""en"")"),"98")</f>
        <v>98</v>
      </c>
      <c r="C1074" s="1" t="str">
        <f ca="1">IFERROR(__xludf.DUMMYFUNCTION("GOOGLETRANSLATE('대전도시공사_청년임대주택 현황_20240630'!C1074,""ko"",""en"")"),"1")</f>
        <v>1</v>
      </c>
      <c r="D1074" s="1" t="str">
        <f ca="1">IFERROR(__xludf.DUMMYFUNCTION("GOOGLETRANSLATE('대전도시공사_청년임대주택 현황_20240630'!D1074,""ko"",""en"")"),"405")</f>
        <v>405</v>
      </c>
      <c r="E1074" s="1" t="str">
        <f ca="1">IFERROR(__xludf.DUMMYFUNCTION("GOOGLETRANSLATE('대전도시공사_청년임대주택 현황_20240630'!E1074,""ko"",""en"")"),"35.683")</f>
        <v>35.683</v>
      </c>
      <c r="F1074" s="1" t="str">
        <f ca="1">IFERROR(__xludf.DUMMYFUNCTION("GOOGLETRANSLATE('대전도시공사_청년임대주택 현황_20240630'!F1074,""ko"",""en"")"),"17.822")</f>
        <v>17.822</v>
      </c>
      <c r="G1074" s="1" t="str">
        <f ca="1">IFERROR(__xludf.DUMMYFUNCTION("GOOGLETRANSLATE('대전도시공사_청년임대주택 현황_20240630'!G1074,""ko"",""en"")"),"17.861")</f>
        <v>17.861</v>
      </c>
      <c r="H1074" s="1" t="str">
        <f ca="1">IFERROR(__xludf.DUMMYFUNCTION("GOOGLETRANSLATE('대전도시공사_청년임대주택 현황_20240630'!H1074,""ko"",""en"")"),"Youth Rental 2nd Place")</f>
        <v>Youth Rental 2nd Place</v>
      </c>
      <c r="I1074" s="1" t="str">
        <f ca="1">IFERROR(__xludf.DUMMYFUNCTION("GOOGLETRANSLATE('대전도시공사_청년임대주택 현황_20240630'!I1074,""ko"",""en"")"),"2000000")</f>
        <v>2000000</v>
      </c>
      <c r="J1074" s="1" t="str">
        <f ca="1">IFERROR(__xludf.DUMMYFUNCTION("GOOGLETRANSLATE('대전도시공사_청년임대주택 현황_20240630'!J1074,""ko"",""en"")"),"246600")</f>
        <v>246600</v>
      </c>
    </row>
    <row r="1075" spans="1:10" ht="12.5" x14ac:dyDescent="0.25">
      <c r="A1075" s="1" t="str">
        <f ca="1">IFERROR(__xludf.DUMMYFUNCTION("GOOGLETRANSLATE('대전도시공사_청년임대주택 현황_20240630'!A1075,""ko"",""en"")"),"Gungdong-ro 71 (City Palace, Youth Rental)")</f>
        <v>Gungdong-ro 71 (City Palace, Youth Rental)</v>
      </c>
      <c r="B1075" s="1" t="str">
        <f ca="1">IFERROR(__xludf.DUMMYFUNCTION("GOOGLETRANSLATE('대전도시공사_청년임대주택 현황_20240630'!B1075,""ko"",""en"")"),"99")</f>
        <v>99</v>
      </c>
      <c r="C1075" s="1" t="str">
        <f ca="1">IFERROR(__xludf.DUMMYFUNCTION("GOOGLETRANSLATE('대전도시공사_청년임대주택 현황_20240630'!C1075,""ko"",""en"")"),"1")</f>
        <v>1</v>
      </c>
      <c r="D1075" s="1" t="str">
        <f ca="1">IFERROR(__xludf.DUMMYFUNCTION("GOOGLETRANSLATE('대전도시공사_청년임대주택 현황_20240630'!D1075,""ko"",""en"")"),"405")</f>
        <v>405</v>
      </c>
      <c r="E1075" s="1" t="str">
        <f ca="1">IFERROR(__xludf.DUMMYFUNCTION("GOOGLETRANSLATE('대전도시공사_청년임대주택 현황_20240630'!E1075,""ko"",""en"")"),"35.683")</f>
        <v>35.683</v>
      </c>
      <c r="F1075" s="1" t="str">
        <f ca="1">IFERROR(__xludf.DUMMYFUNCTION("GOOGLETRANSLATE('대전도시공사_청년임대주택 현황_20240630'!F1075,""ko"",""en"")"),"17.822")</f>
        <v>17.822</v>
      </c>
      <c r="G1075" s="1" t="str">
        <f ca="1">IFERROR(__xludf.DUMMYFUNCTION("GOOGLETRANSLATE('대전도시공사_청년임대주택 현황_20240630'!G1075,""ko"",""en"")"),"17.861")</f>
        <v>17.861</v>
      </c>
      <c r="H1075" s="1" t="str">
        <f ca="1">IFERROR(__xludf.DUMMYFUNCTION("GOOGLETRANSLATE('대전도시공사_청년임대주택 현황_20240630'!H1075,""ko"",""en"")"),"3rd place for youth rental")</f>
        <v>3rd place for youth rental</v>
      </c>
      <c r="I1075" s="1" t="str">
        <f ca="1">IFERROR(__xludf.DUMMYFUNCTION("GOOGLETRANSLATE('대전도시공사_청년임대주택 현황_20240630'!I1075,""ko"",""en"")"),"2000000")</f>
        <v>2000000</v>
      </c>
      <c r="J1075" s="1" t="str">
        <f ca="1">IFERROR(__xludf.DUMMYFUNCTION("GOOGLETRANSLATE('대전도시공사_청년임대주택 현황_20240630'!J1075,""ko"",""en"")"),"246600")</f>
        <v>246600</v>
      </c>
    </row>
    <row r="1076" spans="1:10" ht="12.5" x14ac:dyDescent="0.25">
      <c r="A1076" s="1" t="str">
        <f ca="1">IFERROR(__xludf.DUMMYFUNCTION("GOOGLETRANSLATE('대전도시공사_청년임대주택 현황_20240630'!A1076,""ko"",""en"")"),"Gungdong-ro 71 (City Palace, Youth Rental)")</f>
        <v>Gungdong-ro 71 (City Palace, Youth Rental)</v>
      </c>
      <c r="B1076" s="1" t="str">
        <f ca="1">IFERROR(__xludf.DUMMYFUNCTION("GOOGLETRANSLATE('대전도시공사_청년임대주택 현황_20240630'!B1076,""ko"",""en"")"),"100")</f>
        <v>100</v>
      </c>
      <c r="C1076" s="1" t="str">
        <f ca="1">IFERROR(__xludf.DUMMYFUNCTION("GOOGLETRANSLATE('대전도시공사_청년임대주택 현황_20240630'!C1076,""ko"",""en"")"),"1")</f>
        <v>1</v>
      </c>
      <c r="D1076" s="1" t="str">
        <f ca="1">IFERROR(__xludf.DUMMYFUNCTION("GOOGLETRANSLATE('대전도시공사_청년임대주택 현황_20240630'!D1076,""ko"",""en"")"),"406")</f>
        <v>406</v>
      </c>
      <c r="E1076" s="1" t="str">
        <f ca="1">IFERROR(__xludf.DUMMYFUNCTION("GOOGLETRANSLATE('대전도시공사_청년임대주택 현황_20240630'!E1076,""ko"",""en"")"),"35.683")</f>
        <v>35.683</v>
      </c>
      <c r="F1076" s="1" t="str">
        <f ca="1">IFERROR(__xludf.DUMMYFUNCTION("GOOGLETRANSLATE('대전도시공사_청년임대주택 현황_20240630'!F1076,""ko"",""en"")"),"17.822")</f>
        <v>17.822</v>
      </c>
      <c r="G1076" s="1" t="str">
        <f ca="1">IFERROR(__xludf.DUMMYFUNCTION("GOOGLETRANSLATE('대전도시공사_청년임대주택 현황_20240630'!G1076,""ko"",""en"")"),"17.861")</f>
        <v>17.861</v>
      </c>
      <c r="H1076" s="1" t="str">
        <f ca="1">IFERROR(__xludf.DUMMYFUNCTION("GOOGLETRANSLATE('대전도시공사_청년임대주택 현황_20240630'!H1076,""ko"",""en"")"),"Beneficiary")</f>
        <v>Beneficiary</v>
      </c>
      <c r="I1076" s="1" t="str">
        <f ca="1">IFERROR(__xludf.DUMMYFUNCTION("GOOGLETRANSLATE('대전도시공사_청년임대주택 현황_20240630'!I1076,""ko"",""en"")"),"1000000")</f>
        <v>1000000</v>
      </c>
      <c r="J1076" s="1" t="str">
        <f ca="1">IFERROR(__xludf.DUMMYFUNCTION("GOOGLETRANSLATE('대전도시공사_청년임대주택 현황_20240630'!J1076,""ko"",""en"")"),"200600")</f>
        <v>200600</v>
      </c>
    </row>
    <row r="1077" spans="1:10" ht="12.5" x14ac:dyDescent="0.25">
      <c r="A1077" s="1" t="str">
        <f ca="1">IFERROR(__xludf.DUMMYFUNCTION("GOOGLETRANSLATE('대전도시공사_청년임대주택 현황_20240630'!A1077,""ko"",""en"")"),"Gungdong-ro 71 (City Palace, Youth Rental)")</f>
        <v>Gungdong-ro 71 (City Palace, Youth Rental)</v>
      </c>
      <c r="B1077" s="1" t="str">
        <f ca="1">IFERROR(__xludf.DUMMYFUNCTION("GOOGLETRANSLATE('대전도시공사_청년임대주택 현황_20240630'!B1077,""ko"",""en"")"),"101")</f>
        <v>101</v>
      </c>
      <c r="C1077" s="1" t="str">
        <f ca="1">IFERROR(__xludf.DUMMYFUNCTION("GOOGLETRANSLATE('대전도시공사_청년임대주택 현황_20240630'!C1077,""ko"",""en"")"),"1")</f>
        <v>1</v>
      </c>
      <c r="D1077" s="1" t="str">
        <f ca="1">IFERROR(__xludf.DUMMYFUNCTION("GOOGLETRANSLATE('대전도시공사_청년임대주택 현황_20240630'!D1077,""ko"",""en"")"),"406")</f>
        <v>406</v>
      </c>
      <c r="E1077" s="1" t="str">
        <f ca="1">IFERROR(__xludf.DUMMYFUNCTION("GOOGLETRANSLATE('대전도시공사_청년임대주택 현황_20240630'!E1077,""ko"",""en"")"),"35.683")</f>
        <v>35.683</v>
      </c>
      <c r="F1077" s="1" t="str">
        <f ca="1">IFERROR(__xludf.DUMMYFUNCTION("GOOGLETRANSLATE('대전도시공사_청년임대주택 현황_20240630'!F1077,""ko"",""en"")"),"17.822")</f>
        <v>17.822</v>
      </c>
      <c r="G1077" s="1" t="str">
        <f ca="1">IFERROR(__xludf.DUMMYFUNCTION("GOOGLETRANSLATE('대전도시공사_청년임대주택 현황_20240630'!G1077,""ko"",""en"")"),"17.861")</f>
        <v>17.861</v>
      </c>
      <c r="H1077" s="1" t="str">
        <f ca="1">IFERROR(__xludf.DUMMYFUNCTION("GOOGLETRANSLATE('대전도시공사_청년임대주택 현황_20240630'!H1077,""ko"",""en"")"),"Youth Rental 2nd Place")</f>
        <v>Youth Rental 2nd Place</v>
      </c>
      <c r="I1077" s="1" t="str">
        <f ca="1">IFERROR(__xludf.DUMMYFUNCTION("GOOGLETRANSLATE('대전도시공사_청년임대주택 현황_20240630'!I1077,""ko"",""en"")"),"2000000")</f>
        <v>2000000</v>
      </c>
      <c r="J1077" s="1" t="str">
        <f ca="1">IFERROR(__xludf.DUMMYFUNCTION("GOOGLETRANSLATE('대전도시공사_청년임대주택 현황_20240630'!J1077,""ko"",""en"")"),"246600")</f>
        <v>246600</v>
      </c>
    </row>
    <row r="1078" spans="1:10" ht="12.5" x14ac:dyDescent="0.25">
      <c r="A1078" s="1" t="str">
        <f ca="1">IFERROR(__xludf.DUMMYFUNCTION("GOOGLETRANSLATE('대전도시공사_청년임대주택 현황_20240630'!A1078,""ko"",""en"")"),"Gungdong-ro 71 (City Palace, Youth Rental)")</f>
        <v>Gungdong-ro 71 (City Palace, Youth Rental)</v>
      </c>
      <c r="B1078" s="1" t="str">
        <f ca="1">IFERROR(__xludf.DUMMYFUNCTION("GOOGLETRANSLATE('대전도시공사_청년임대주택 현황_20240630'!B1078,""ko"",""en"")"),"102")</f>
        <v>102</v>
      </c>
      <c r="C1078" s="1" t="str">
        <f ca="1">IFERROR(__xludf.DUMMYFUNCTION("GOOGLETRANSLATE('대전도시공사_청년임대주택 현황_20240630'!C1078,""ko"",""en"")"),"1")</f>
        <v>1</v>
      </c>
      <c r="D1078" s="1" t="str">
        <f ca="1">IFERROR(__xludf.DUMMYFUNCTION("GOOGLETRANSLATE('대전도시공사_청년임대주택 현황_20240630'!D1078,""ko"",""en"")"),"406")</f>
        <v>406</v>
      </c>
      <c r="E1078" s="1" t="str">
        <f ca="1">IFERROR(__xludf.DUMMYFUNCTION("GOOGLETRANSLATE('대전도시공사_청년임대주택 현황_20240630'!E1078,""ko"",""en"")"),"35.683")</f>
        <v>35.683</v>
      </c>
      <c r="F1078" s="1" t="str">
        <f ca="1">IFERROR(__xludf.DUMMYFUNCTION("GOOGLETRANSLATE('대전도시공사_청년임대주택 현황_20240630'!F1078,""ko"",""en"")"),"17.822")</f>
        <v>17.822</v>
      </c>
      <c r="G1078" s="1" t="str">
        <f ca="1">IFERROR(__xludf.DUMMYFUNCTION("GOOGLETRANSLATE('대전도시공사_청년임대주택 현황_20240630'!G1078,""ko"",""en"")"),"17.861")</f>
        <v>17.861</v>
      </c>
      <c r="H1078" s="1" t="str">
        <f ca="1">IFERROR(__xludf.DUMMYFUNCTION("GOOGLETRANSLATE('대전도시공사_청년임대주택 현황_20240630'!H1078,""ko"",""en"")"),"3rd place for youth rental")</f>
        <v>3rd place for youth rental</v>
      </c>
      <c r="I1078" s="1" t="str">
        <f ca="1">IFERROR(__xludf.DUMMYFUNCTION("GOOGLETRANSLATE('대전도시공사_청년임대주택 현황_20240630'!I1078,""ko"",""en"")"),"2000000")</f>
        <v>2000000</v>
      </c>
      <c r="J1078" s="1" t="str">
        <f ca="1">IFERROR(__xludf.DUMMYFUNCTION("GOOGLETRANSLATE('대전도시공사_청년임대주택 현황_20240630'!J1078,""ko"",""en"")"),"246600")</f>
        <v>246600</v>
      </c>
    </row>
    <row r="1079" spans="1:10" ht="12.5" x14ac:dyDescent="0.25">
      <c r="A1079" s="1" t="str">
        <f ca="1">IFERROR(__xludf.DUMMYFUNCTION("GOOGLETRANSLATE('대전도시공사_청년임대주택 현황_20240630'!A1079,""ko"",""en"")"),"Gungdong-ro 71 (City Palace, Youth Rental)")</f>
        <v>Gungdong-ro 71 (City Palace, Youth Rental)</v>
      </c>
      <c r="B1079" s="1" t="str">
        <f ca="1">IFERROR(__xludf.DUMMYFUNCTION("GOOGLETRANSLATE('대전도시공사_청년임대주택 현황_20240630'!B1079,""ko"",""en"")"),"103")</f>
        <v>103</v>
      </c>
      <c r="C1079" s="1" t="str">
        <f ca="1">IFERROR(__xludf.DUMMYFUNCTION("GOOGLETRANSLATE('대전도시공사_청년임대주택 현황_20240630'!C1079,""ko"",""en"")"),"1")</f>
        <v>1</v>
      </c>
      <c r="D1079" s="1" t="str">
        <f ca="1">IFERROR(__xludf.DUMMYFUNCTION("GOOGLETRANSLATE('대전도시공사_청년임대주택 현황_20240630'!D1079,""ko"",""en"")"),"407")</f>
        <v>407</v>
      </c>
      <c r="E1079" s="1" t="str">
        <f ca="1">IFERROR(__xludf.DUMMYFUNCTION("GOOGLETRANSLATE('대전도시공사_청년임대주택 현황_20240630'!E1079,""ko"",""en"")"),"35.683")</f>
        <v>35.683</v>
      </c>
      <c r="F1079" s="1" t="str">
        <f ca="1">IFERROR(__xludf.DUMMYFUNCTION("GOOGLETRANSLATE('대전도시공사_청년임대주택 현황_20240630'!F1079,""ko"",""en"")"),"17.822")</f>
        <v>17.822</v>
      </c>
      <c r="G1079" s="1" t="str">
        <f ca="1">IFERROR(__xludf.DUMMYFUNCTION("GOOGLETRANSLATE('대전도시공사_청년임대주택 현황_20240630'!G1079,""ko"",""en"")"),"17.861")</f>
        <v>17.861</v>
      </c>
      <c r="H1079" s="1" t="str">
        <f ca="1">IFERROR(__xludf.DUMMYFUNCTION("GOOGLETRANSLATE('대전도시공사_청년임대주택 현황_20240630'!H1079,""ko"",""en"")"),"Beneficiary")</f>
        <v>Beneficiary</v>
      </c>
      <c r="I1079" s="1" t="str">
        <f ca="1">IFERROR(__xludf.DUMMYFUNCTION("GOOGLETRANSLATE('대전도시공사_청년임대주택 현황_20240630'!I1079,""ko"",""en"")"),"1000000")</f>
        <v>1000000</v>
      </c>
      <c r="J1079" s="1" t="str">
        <f ca="1">IFERROR(__xludf.DUMMYFUNCTION("GOOGLETRANSLATE('대전도시공사_청년임대주택 현황_20240630'!J1079,""ko"",""en"")"),"200600")</f>
        <v>200600</v>
      </c>
    </row>
    <row r="1080" spans="1:10" ht="12.5" x14ac:dyDescent="0.25">
      <c r="A1080" s="1" t="str">
        <f ca="1">IFERROR(__xludf.DUMMYFUNCTION("GOOGLETRANSLATE('대전도시공사_청년임대주택 현황_20240630'!A1080,""ko"",""en"")"),"Gungdong-ro 71 (City Palace, Youth Rental)")</f>
        <v>Gungdong-ro 71 (City Palace, Youth Rental)</v>
      </c>
      <c r="B1080" s="1" t="str">
        <f ca="1">IFERROR(__xludf.DUMMYFUNCTION("GOOGLETRANSLATE('대전도시공사_청년임대주택 현황_20240630'!B1080,""ko"",""en"")"),"104")</f>
        <v>104</v>
      </c>
      <c r="C1080" s="1" t="str">
        <f ca="1">IFERROR(__xludf.DUMMYFUNCTION("GOOGLETRANSLATE('대전도시공사_청년임대주택 현황_20240630'!C1080,""ko"",""en"")"),"1")</f>
        <v>1</v>
      </c>
      <c r="D1080" s="1" t="str">
        <f ca="1">IFERROR(__xludf.DUMMYFUNCTION("GOOGLETRANSLATE('대전도시공사_청년임대주택 현황_20240630'!D1080,""ko"",""en"")"),"407")</f>
        <v>407</v>
      </c>
      <c r="E1080" s="1" t="str">
        <f ca="1">IFERROR(__xludf.DUMMYFUNCTION("GOOGLETRANSLATE('대전도시공사_청년임대주택 현황_20240630'!E1080,""ko"",""en"")"),"35.683")</f>
        <v>35.683</v>
      </c>
      <c r="F1080" s="1" t="str">
        <f ca="1">IFERROR(__xludf.DUMMYFUNCTION("GOOGLETRANSLATE('대전도시공사_청년임대주택 현황_20240630'!F1080,""ko"",""en"")"),"17.822")</f>
        <v>17.822</v>
      </c>
      <c r="G1080" s="1" t="str">
        <f ca="1">IFERROR(__xludf.DUMMYFUNCTION("GOOGLETRANSLATE('대전도시공사_청년임대주택 현황_20240630'!G1080,""ko"",""en"")"),"17.861")</f>
        <v>17.861</v>
      </c>
      <c r="H1080" s="1" t="str">
        <f ca="1">IFERROR(__xludf.DUMMYFUNCTION("GOOGLETRANSLATE('대전도시공사_청년임대주택 현황_20240630'!H1080,""ko"",""en"")"),"Youth Rental 2nd Place")</f>
        <v>Youth Rental 2nd Place</v>
      </c>
      <c r="I1080" s="1" t="str">
        <f ca="1">IFERROR(__xludf.DUMMYFUNCTION("GOOGLETRANSLATE('대전도시공사_청년임대주택 현황_20240630'!I1080,""ko"",""en"")"),"2000000")</f>
        <v>2000000</v>
      </c>
      <c r="J1080" s="1" t="str">
        <f ca="1">IFERROR(__xludf.DUMMYFUNCTION("GOOGLETRANSLATE('대전도시공사_청년임대주택 현황_20240630'!J1080,""ko"",""en"")"),"246600")</f>
        <v>246600</v>
      </c>
    </row>
    <row r="1081" spans="1:10" ht="12.5" x14ac:dyDescent="0.25">
      <c r="A1081" s="1" t="str">
        <f ca="1">IFERROR(__xludf.DUMMYFUNCTION("GOOGLETRANSLATE('대전도시공사_청년임대주택 현황_20240630'!A1081,""ko"",""en"")"),"Gungdong-ro 71 (City Palace, Youth Rental)")</f>
        <v>Gungdong-ro 71 (City Palace, Youth Rental)</v>
      </c>
      <c r="B1081" s="1" t="str">
        <f ca="1">IFERROR(__xludf.DUMMYFUNCTION("GOOGLETRANSLATE('대전도시공사_청년임대주택 현황_20240630'!B1081,""ko"",""en"")"),"105")</f>
        <v>105</v>
      </c>
      <c r="C1081" s="1" t="str">
        <f ca="1">IFERROR(__xludf.DUMMYFUNCTION("GOOGLETRANSLATE('대전도시공사_청년임대주택 현황_20240630'!C1081,""ko"",""en"")"),"1")</f>
        <v>1</v>
      </c>
      <c r="D1081" s="1" t="str">
        <f ca="1">IFERROR(__xludf.DUMMYFUNCTION("GOOGLETRANSLATE('대전도시공사_청년임대주택 현황_20240630'!D1081,""ko"",""en"")"),"407")</f>
        <v>407</v>
      </c>
      <c r="E1081" s="1" t="str">
        <f ca="1">IFERROR(__xludf.DUMMYFUNCTION("GOOGLETRANSLATE('대전도시공사_청년임대주택 현황_20240630'!E1081,""ko"",""en"")"),"35.683")</f>
        <v>35.683</v>
      </c>
      <c r="F1081" s="1" t="str">
        <f ca="1">IFERROR(__xludf.DUMMYFUNCTION("GOOGLETRANSLATE('대전도시공사_청년임대주택 현황_20240630'!F1081,""ko"",""en"")"),"17.822")</f>
        <v>17.822</v>
      </c>
      <c r="G1081" s="1" t="str">
        <f ca="1">IFERROR(__xludf.DUMMYFUNCTION("GOOGLETRANSLATE('대전도시공사_청년임대주택 현황_20240630'!G1081,""ko"",""en"")"),"17.861")</f>
        <v>17.861</v>
      </c>
      <c r="H1081" s="1" t="str">
        <f ca="1">IFERROR(__xludf.DUMMYFUNCTION("GOOGLETRANSLATE('대전도시공사_청년임대주택 현황_20240630'!H1081,""ko"",""en"")"),"3rd place for youth rental")</f>
        <v>3rd place for youth rental</v>
      </c>
      <c r="I1081" s="1" t="str">
        <f ca="1">IFERROR(__xludf.DUMMYFUNCTION("GOOGLETRANSLATE('대전도시공사_청년임대주택 현황_20240630'!I1081,""ko"",""en"")"),"2000000")</f>
        <v>2000000</v>
      </c>
      <c r="J1081" s="1" t="str">
        <f ca="1">IFERROR(__xludf.DUMMYFUNCTION("GOOGLETRANSLATE('대전도시공사_청년임대주택 현황_20240630'!J1081,""ko"",""en"")"),"246600")</f>
        <v>246600</v>
      </c>
    </row>
    <row r="1082" spans="1:10" ht="12.5" x14ac:dyDescent="0.25">
      <c r="A1082" s="1" t="str">
        <f ca="1">IFERROR(__xludf.DUMMYFUNCTION("GOOGLETRANSLATE('대전도시공사_청년임대주택 현황_20240630'!A1082,""ko"",""en"")"),"Gungdong-ro 71 (City Palace, Youth Rental)")</f>
        <v>Gungdong-ro 71 (City Palace, Youth Rental)</v>
      </c>
      <c r="B1082" s="1" t="str">
        <f ca="1">IFERROR(__xludf.DUMMYFUNCTION("GOOGLETRANSLATE('대전도시공사_청년임대주택 현황_20240630'!B1082,""ko"",""en"")"),"106")</f>
        <v>106</v>
      </c>
      <c r="C1082" s="1" t="str">
        <f ca="1">IFERROR(__xludf.DUMMYFUNCTION("GOOGLETRANSLATE('대전도시공사_청년임대주택 현황_20240630'!C1082,""ko"",""en"")"),"1")</f>
        <v>1</v>
      </c>
      <c r="D1082" s="1" t="str">
        <f ca="1">IFERROR(__xludf.DUMMYFUNCTION("GOOGLETRANSLATE('대전도시공사_청년임대주택 현황_20240630'!D1082,""ko"",""en"")"),"408")</f>
        <v>408</v>
      </c>
      <c r="E1082" s="1" t="str">
        <f ca="1">IFERROR(__xludf.DUMMYFUNCTION("GOOGLETRANSLATE('대전도시공사_청년임대주택 현황_20240630'!E1082,""ko"",""en"")"),"35.683")</f>
        <v>35.683</v>
      </c>
      <c r="F1082" s="1" t="str">
        <f ca="1">IFERROR(__xludf.DUMMYFUNCTION("GOOGLETRANSLATE('대전도시공사_청년임대주택 현황_20240630'!F1082,""ko"",""en"")"),"17.822")</f>
        <v>17.822</v>
      </c>
      <c r="G1082" s="1" t="str">
        <f ca="1">IFERROR(__xludf.DUMMYFUNCTION("GOOGLETRANSLATE('대전도시공사_청년임대주택 현황_20240630'!G1082,""ko"",""en"")"),"17.861")</f>
        <v>17.861</v>
      </c>
      <c r="H1082" s="1" t="str">
        <f ca="1">IFERROR(__xludf.DUMMYFUNCTION("GOOGLETRANSLATE('대전도시공사_청년임대주택 현황_20240630'!H1082,""ko"",""en"")"),"Beneficiary")</f>
        <v>Beneficiary</v>
      </c>
      <c r="I1082" s="1" t="str">
        <f ca="1">IFERROR(__xludf.DUMMYFUNCTION("GOOGLETRANSLATE('대전도시공사_청년임대주택 현황_20240630'!I1082,""ko"",""en"")"),"1000000")</f>
        <v>1000000</v>
      </c>
      <c r="J1082" s="1" t="str">
        <f ca="1">IFERROR(__xludf.DUMMYFUNCTION("GOOGLETRANSLATE('대전도시공사_청년임대주택 현황_20240630'!J1082,""ko"",""en"")"),"200600")</f>
        <v>200600</v>
      </c>
    </row>
    <row r="1083" spans="1:10" ht="12.5" x14ac:dyDescent="0.25">
      <c r="A1083" s="1" t="str">
        <f ca="1">IFERROR(__xludf.DUMMYFUNCTION("GOOGLETRANSLATE('대전도시공사_청년임대주택 현황_20240630'!A1083,""ko"",""en"")"),"Gungdong-ro 71 (City Palace, Youth Rental)")</f>
        <v>Gungdong-ro 71 (City Palace, Youth Rental)</v>
      </c>
      <c r="B1083" s="1" t="str">
        <f ca="1">IFERROR(__xludf.DUMMYFUNCTION("GOOGLETRANSLATE('대전도시공사_청년임대주택 현황_20240630'!B1083,""ko"",""en"")"),"107")</f>
        <v>107</v>
      </c>
      <c r="C1083" s="1" t="str">
        <f ca="1">IFERROR(__xludf.DUMMYFUNCTION("GOOGLETRANSLATE('대전도시공사_청년임대주택 현황_20240630'!C1083,""ko"",""en"")"),"1")</f>
        <v>1</v>
      </c>
      <c r="D1083" s="1" t="str">
        <f ca="1">IFERROR(__xludf.DUMMYFUNCTION("GOOGLETRANSLATE('대전도시공사_청년임대주택 현황_20240630'!D1083,""ko"",""en"")"),"408")</f>
        <v>408</v>
      </c>
      <c r="E1083" s="1" t="str">
        <f ca="1">IFERROR(__xludf.DUMMYFUNCTION("GOOGLETRANSLATE('대전도시공사_청년임대주택 현황_20240630'!E1083,""ko"",""en"")"),"35.683")</f>
        <v>35.683</v>
      </c>
      <c r="F1083" s="1" t="str">
        <f ca="1">IFERROR(__xludf.DUMMYFUNCTION("GOOGLETRANSLATE('대전도시공사_청년임대주택 현황_20240630'!F1083,""ko"",""en"")"),"17.822")</f>
        <v>17.822</v>
      </c>
      <c r="G1083" s="1" t="str">
        <f ca="1">IFERROR(__xludf.DUMMYFUNCTION("GOOGLETRANSLATE('대전도시공사_청년임대주택 현황_20240630'!G1083,""ko"",""en"")"),"17.861")</f>
        <v>17.861</v>
      </c>
      <c r="H1083" s="1" t="str">
        <f ca="1">IFERROR(__xludf.DUMMYFUNCTION("GOOGLETRANSLATE('대전도시공사_청년임대주택 현황_20240630'!H1083,""ko"",""en"")"),"Youth Rental 2nd Place")</f>
        <v>Youth Rental 2nd Place</v>
      </c>
      <c r="I1083" s="1" t="str">
        <f ca="1">IFERROR(__xludf.DUMMYFUNCTION("GOOGLETRANSLATE('대전도시공사_청년임대주택 현황_20240630'!I1083,""ko"",""en"")"),"2000000")</f>
        <v>2000000</v>
      </c>
      <c r="J1083" s="1" t="str">
        <f ca="1">IFERROR(__xludf.DUMMYFUNCTION("GOOGLETRANSLATE('대전도시공사_청년임대주택 현황_20240630'!J1083,""ko"",""en"")"),"246600")</f>
        <v>246600</v>
      </c>
    </row>
    <row r="1084" spans="1:10" ht="12.5" x14ac:dyDescent="0.25">
      <c r="A1084" s="1" t="str">
        <f ca="1">IFERROR(__xludf.DUMMYFUNCTION("GOOGLETRANSLATE('대전도시공사_청년임대주택 현황_20240630'!A1084,""ko"",""en"")"),"Gungdong-ro 71 (City Palace, Youth Rental)")</f>
        <v>Gungdong-ro 71 (City Palace, Youth Rental)</v>
      </c>
      <c r="B1084" s="1" t="str">
        <f ca="1">IFERROR(__xludf.DUMMYFUNCTION("GOOGLETRANSLATE('대전도시공사_청년임대주택 현황_20240630'!B1084,""ko"",""en"")"),"108")</f>
        <v>108</v>
      </c>
      <c r="C1084" s="1" t="str">
        <f ca="1">IFERROR(__xludf.DUMMYFUNCTION("GOOGLETRANSLATE('대전도시공사_청년임대주택 현황_20240630'!C1084,""ko"",""en"")"),"1")</f>
        <v>1</v>
      </c>
      <c r="D1084" s="1" t="str">
        <f ca="1">IFERROR(__xludf.DUMMYFUNCTION("GOOGLETRANSLATE('대전도시공사_청년임대주택 현황_20240630'!D1084,""ko"",""en"")"),"408")</f>
        <v>408</v>
      </c>
      <c r="E1084" s="1" t="str">
        <f ca="1">IFERROR(__xludf.DUMMYFUNCTION("GOOGLETRANSLATE('대전도시공사_청년임대주택 현황_20240630'!E1084,""ko"",""en"")"),"35.683")</f>
        <v>35.683</v>
      </c>
      <c r="F1084" s="1" t="str">
        <f ca="1">IFERROR(__xludf.DUMMYFUNCTION("GOOGLETRANSLATE('대전도시공사_청년임대주택 현황_20240630'!F1084,""ko"",""en"")"),"17.822")</f>
        <v>17.822</v>
      </c>
      <c r="G1084" s="1" t="str">
        <f ca="1">IFERROR(__xludf.DUMMYFUNCTION("GOOGLETRANSLATE('대전도시공사_청년임대주택 현황_20240630'!G1084,""ko"",""en"")"),"17.861")</f>
        <v>17.861</v>
      </c>
      <c r="H1084" s="1" t="str">
        <f ca="1">IFERROR(__xludf.DUMMYFUNCTION("GOOGLETRANSLATE('대전도시공사_청년임대주택 현황_20240630'!H1084,""ko"",""en"")"),"3rd place for youth rental")</f>
        <v>3rd place for youth rental</v>
      </c>
      <c r="I1084" s="1" t="str">
        <f ca="1">IFERROR(__xludf.DUMMYFUNCTION("GOOGLETRANSLATE('대전도시공사_청년임대주택 현황_20240630'!I1084,""ko"",""en"")"),"2000000")</f>
        <v>2000000</v>
      </c>
      <c r="J1084" s="1" t="str">
        <f ca="1">IFERROR(__xludf.DUMMYFUNCTION("GOOGLETRANSLATE('대전도시공사_청년임대주택 현황_20240630'!J1084,""ko"",""en"")"),"246600")</f>
        <v>246600</v>
      </c>
    </row>
    <row r="1085" spans="1:10" ht="12.5" x14ac:dyDescent="0.25">
      <c r="A1085" s="1" t="str">
        <f ca="1">IFERROR(__xludf.DUMMYFUNCTION("GOOGLETRANSLATE('대전도시공사_청년임대주택 현황_20240630'!A1085,""ko"",""en"")"),"Gungdong-ro 71 (City Palace, Youth Rental)")</f>
        <v>Gungdong-ro 71 (City Palace, Youth Rental)</v>
      </c>
      <c r="B1085" s="1" t="str">
        <f ca="1">IFERROR(__xludf.DUMMYFUNCTION("GOOGLETRANSLATE('대전도시공사_청년임대주택 현황_20240630'!B1085,""ko"",""en"")"),"109")</f>
        <v>109</v>
      </c>
      <c r="C1085" s="1" t="str">
        <f ca="1">IFERROR(__xludf.DUMMYFUNCTION("GOOGLETRANSLATE('대전도시공사_청년임대주택 현황_20240630'!C1085,""ko"",""en"")"),"1")</f>
        <v>1</v>
      </c>
      <c r="D1085" s="1" t="str">
        <f ca="1">IFERROR(__xludf.DUMMYFUNCTION("GOOGLETRANSLATE('대전도시공사_청년임대주택 현황_20240630'!D1085,""ko"",""en"")"),"409")</f>
        <v>409</v>
      </c>
      <c r="E1085" s="1" t="str">
        <f ca="1">IFERROR(__xludf.DUMMYFUNCTION("GOOGLETRANSLATE('대전도시공사_청년임대주택 현황_20240630'!E1085,""ko"",""en"")"),"35.683")</f>
        <v>35.683</v>
      </c>
      <c r="F1085" s="1" t="str">
        <f ca="1">IFERROR(__xludf.DUMMYFUNCTION("GOOGLETRANSLATE('대전도시공사_청년임대주택 현황_20240630'!F1085,""ko"",""en"")"),"17.822")</f>
        <v>17.822</v>
      </c>
      <c r="G1085" s="1" t="str">
        <f ca="1">IFERROR(__xludf.DUMMYFUNCTION("GOOGLETRANSLATE('대전도시공사_청년임대주택 현황_20240630'!G1085,""ko"",""en"")"),"17.861")</f>
        <v>17.861</v>
      </c>
      <c r="H1085" s="1" t="str">
        <f ca="1">IFERROR(__xludf.DUMMYFUNCTION("GOOGLETRANSLATE('대전도시공사_청년임대주택 현황_20240630'!H1085,""ko"",""en"")"),"Beneficiary")</f>
        <v>Beneficiary</v>
      </c>
      <c r="I1085" s="1" t="str">
        <f ca="1">IFERROR(__xludf.DUMMYFUNCTION("GOOGLETRANSLATE('대전도시공사_청년임대주택 현황_20240630'!I1085,""ko"",""en"")"),"1000000")</f>
        <v>1000000</v>
      </c>
      <c r="J1085" s="1" t="str">
        <f ca="1">IFERROR(__xludf.DUMMYFUNCTION("GOOGLETRANSLATE('대전도시공사_청년임대주택 현황_20240630'!J1085,""ko"",""en"")"),"200600")</f>
        <v>200600</v>
      </c>
    </row>
    <row r="1086" spans="1:10" ht="12.5" x14ac:dyDescent="0.25">
      <c r="A1086" s="1" t="str">
        <f ca="1">IFERROR(__xludf.DUMMYFUNCTION("GOOGLETRANSLATE('대전도시공사_청년임대주택 현황_20240630'!A1086,""ko"",""en"")"),"Gungdong-ro 71 (City Palace, Youth Rental)")</f>
        <v>Gungdong-ro 71 (City Palace, Youth Rental)</v>
      </c>
      <c r="B1086" s="1" t="str">
        <f ca="1">IFERROR(__xludf.DUMMYFUNCTION("GOOGLETRANSLATE('대전도시공사_청년임대주택 현황_20240630'!B1086,""ko"",""en"")"),"110")</f>
        <v>110</v>
      </c>
      <c r="C1086" s="1" t="str">
        <f ca="1">IFERROR(__xludf.DUMMYFUNCTION("GOOGLETRANSLATE('대전도시공사_청년임대주택 현황_20240630'!C1086,""ko"",""en"")"),"1")</f>
        <v>1</v>
      </c>
      <c r="D1086" s="1" t="str">
        <f ca="1">IFERROR(__xludf.DUMMYFUNCTION("GOOGLETRANSLATE('대전도시공사_청년임대주택 현황_20240630'!D1086,""ko"",""en"")"),"409")</f>
        <v>409</v>
      </c>
      <c r="E1086" s="1" t="str">
        <f ca="1">IFERROR(__xludf.DUMMYFUNCTION("GOOGLETRANSLATE('대전도시공사_청년임대주택 현황_20240630'!E1086,""ko"",""en"")"),"35.683")</f>
        <v>35.683</v>
      </c>
      <c r="F1086" s="1" t="str">
        <f ca="1">IFERROR(__xludf.DUMMYFUNCTION("GOOGLETRANSLATE('대전도시공사_청년임대주택 현황_20240630'!F1086,""ko"",""en"")"),"17.822")</f>
        <v>17.822</v>
      </c>
      <c r="G1086" s="1" t="str">
        <f ca="1">IFERROR(__xludf.DUMMYFUNCTION("GOOGLETRANSLATE('대전도시공사_청년임대주택 현황_20240630'!G1086,""ko"",""en"")"),"17.861")</f>
        <v>17.861</v>
      </c>
      <c r="H1086" s="1" t="str">
        <f ca="1">IFERROR(__xludf.DUMMYFUNCTION("GOOGLETRANSLATE('대전도시공사_청년임대주택 현황_20240630'!H1086,""ko"",""en"")"),"Youth Rental 2nd Place")</f>
        <v>Youth Rental 2nd Place</v>
      </c>
      <c r="I1086" s="1" t="str">
        <f ca="1">IFERROR(__xludf.DUMMYFUNCTION("GOOGLETRANSLATE('대전도시공사_청년임대주택 현황_20240630'!I1086,""ko"",""en"")"),"2000000")</f>
        <v>2000000</v>
      </c>
      <c r="J1086" s="1" t="str">
        <f ca="1">IFERROR(__xludf.DUMMYFUNCTION("GOOGLETRANSLATE('대전도시공사_청년임대주택 현황_20240630'!J1086,""ko"",""en"")"),"246600")</f>
        <v>246600</v>
      </c>
    </row>
    <row r="1087" spans="1:10" ht="12.5" x14ac:dyDescent="0.25">
      <c r="A1087" s="1" t="str">
        <f ca="1">IFERROR(__xludf.DUMMYFUNCTION("GOOGLETRANSLATE('대전도시공사_청년임대주택 현황_20240630'!A1087,""ko"",""en"")"),"Gungdong-ro 71 (City Palace, Youth Rental)")</f>
        <v>Gungdong-ro 71 (City Palace, Youth Rental)</v>
      </c>
      <c r="B1087" s="1" t="str">
        <f ca="1">IFERROR(__xludf.DUMMYFUNCTION("GOOGLETRANSLATE('대전도시공사_청년임대주택 현황_20240630'!B1087,""ko"",""en"")"),"111")</f>
        <v>111</v>
      </c>
      <c r="C1087" s="1" t="str">
        <f ca="1">IFERROR(__xludf.DUMMYFUNCTION("GOOGLETRANSLATE('대전도시공사_청년임대주택 현황_20240630'!C1087,""ko"",""en"")"),"1")</f>
        <v>1</v>
      </c>
      <c r="D1087" s="1" t="str">
        <f ca="1">IFERROR(__xludf.DUMMYFUNCTION("GOOGLETRANSLATE('대전도시공사_청년임대주택 현황_20240630'!D1087,""ko"",""en"")"),"409")</f>
        <v>409</v>
      </c>
      <c r="E1087" s="1" t="str">
        <f ca="1">IFERROR(__xludf.DUMMYFUNCTION("GOOGLETRANSLATE('대전도시공사_청년임대주택 현황_20240630'!E1087,""ko"",""en"")"),"35.683")</f>
        <v>35.683</v>
      </c>
      <c r="F1087" s="1" t="str">
        <f ca="1">IFERROR(__xludf.DUMMYFUNCTION("GOOGLETRANSLATE('대전도시공사_청년임대주택 현황_20240630'!F1087,""ko"",""en"")"),"17.822")</f>
        <v>17.822</v>
      </c>
      <c r="G1087" s="1" t="str">
        <f ca="1">IFERROR(__xludf.DUMMYFUNCTION("GOOGLETRANSLATE('대전도시공사_청년임대주택 현황_20240630'!G1087,""ko"",""en"")"),"17.861")</f>
        <v>17.861</v>
      </c>
      <c r="H1087" s="1" t="str">
        <f ca="1">IFERROR(__xludf.DUMMYFUNCTION("GOOGLETRANSLATE('대전도시공사_청년임대주택 현황_20240630'!H1087,""ko"",""en"")"),"3rd place for youth rental")</f>
        <v>3rd place for youth rental</v>
      </c>
      <c r="I1087" s="1" t="str">
        <f ca="1">IFERROR(__xludf.DUMMYFUNCTION("GOOGLETRANSLATE('대전도시공사_청년임대주택 현황_20240630'!I1087,""ko"",""en"")"),"2000000")</f>
        <v>2000000</v>
      </c>
      <c r="J1087" s="1" t="str">
        <f ca="1">IFERROR(__xludf.DUMMYFUNCTION("GOOGLETRANSLATE('대전도시공사_청년임대주택 현황_20240630'!J1087,""ko"",""en"")"),"246600")</f>
        <v>246600</v>
      </c>
    </row>
    <row r="1088" spans="1:10" ht="12.5" x14ac:dyDescent="0.25">
      <c r="A1088" s="1" t="str">
        <f ca="1">IFERROR(__xludf.DUMMYFUNCTION("GOOGLETRANSLATE('대전도시공사_청년임대주택 현황_20240630'!A1088,""ko"",""en"")"),"Gungdong-ro 71 (City Palace, Youth Rental)")</f>
        <v>Gungdong-ro 71 (City Palace, Youth Rental)</v>
      </c>
      <c r="B1088" s="1" t="str">
        <f ca="1">IFERROR(__xludf.DUMMYFUNCTION("GOOGLETRANSLATE('대전도시공사_청년임대주택 현황_20240630'!B1088,""ko"",""en"")"),"112")</f>
        <v>112</v>
      </c>
      <c r="C1088" s="1" t="str">
        <f ca="1">IFERROR(__xludf.DUMMYFUNCTION("GOOGLETRANSLATE('대전도시공사_청년임대주택 현황_20240630'!C1088,""ko"",""en"")"),"1")</f>
        <v>1</v>
      </c>
      <c r="D1088" s="1" t="str">
        <f ca="1">IFERROR(__xludf.DUMMYFUNCTION("GOOGLETRANSLATE('대전도시공사_청년임대주택 현황_20240630'!D1088,""ko"",""en"")"),"410")</f>
        <v>410</v>
      </c>
      <c r="E1088" s="1" t="str">
        <f ca="1">IFERROR(__xludf.DUMMYFUNCTION("GOOGLETRANSLATE('대전도시공사_청년임대주택 현황_20240630'!E1088,""ko"",""en"")"),"35.683")</f>
        <v>35.683</v>
      </c>
      <c r="F1088" s="1" t="str">
        <f ca="1">IFERROR(__xludf.DUMMYFUNCTION("GOOGLETRANSLATE('대전도시공사_청년임대주택 현황_20240630'!F1088,""ko"",""en"")"),"17.822")</f>
        <v>17.822</v>
      </c>
      <c r="G1088" s="1" t="str">
        <f ca="1">IFERROR(__xludf.DUMMYFUNCTION("GOOGLETRANSLATE('대전도시공사_청년임대주택 현황_20240630'!G1088,""ko"",""en"")"),"17.861")</f>
        <v>17.861</v>
      </c>
      <c r="H1088" s="1" t="str">
        <f ca="1">IFERROR(__xludf.DUMMYFUNCTION("GOOGLETRANSLATE('대전도시공사_청년임대주택 현황_20240630'!H1088,""ko"",""en"")"),"Beneficiary")</f>
        <v>Beneficiary</v>
      </c>
      <c r="I1088" s="1" t="str">
        <f ca="1">IFERROR(__xludf.DUMMYFUNCTION("GOOGLETRANSLATE('대전도시공사_청년임대주택 현황_20240630'!I1088,""ko"",""en"")"),"1000000")</f>
        <v>1000000</v>
      </c>
      <c r="J1088" s="1" t="str">
        <f ca="1">IFERROR(__xludf.DUMMYFUNCTION("GOOGLETRANSLATE('대전도시공사_청년임대주택 현황_20240630'!J1088,""ko"",""en"")"),"200600")</f>
        <v>200600</v>
      </c>
    </row>
    <row r="1089" spans="1:10" ht="12.5" x14ac:dyDescent="0.25">
      <c r="A1089" s="1" t="str">
        <f ca="1">IFERROR(__xludf.DUMMYFUNCTION("GOOGLETRANSLATE('대전도시공사_청년임대주택 현황_20240630'!A1089,""ko"",""en"")"),"Gungdong-ro 71 (City Palace, Youth Rental)")</f>
        <v>Gungdong-ro 71 (City Palace, Youth Rental)</v>
      </c>
      <c r="B1089" s="1" t="str">
        <f ca="1">IFERROR(__xludf.DUMMYFUNCTION("GOOGLETRANSLATE('대전도시공사_청년임대주택 현황_20240630'!B1089,""ko"",""en"")"),"113")</f>
        <v>113</v>
      </c>
      <c r="C1089" s="1" t="str">
        <f ca="1">IFERROR(__xludf.DUMMYFUNCTION("GOOGLETRANSLATE('대전도시공사_청년임대주택 현황_20240630'!C1089,""ko"",""en"")"),"1")</f>
        <v>1</v>
      </c>
      <c r="D1089" s="1" t="str">
        <f ca="1">IFERROR(__xludf.DUMMYFUNCTION("GOOGLETRANSLATE('대전도시공사_청년임대주택 현황_20240630'!D1089,""ko"",""en"")"),"410")</f>
        <v>410</v>
      </c>
      <c r="E1089" s="1" t="str">
        <f ca="1">IFERROR(__xludf.DUMMYFUNCTION("GOOGLETRANSLATE('대전도시공사_청년임대주택 현황_20240630'!E1089,""ko"",""en"")"),"35.683")</f>
        <v>35.683</v>
      </c>
      <c r="F1089" s="1" t="str">
        <f ca="1">IFERROR(__xludf.DUMMYFUNCTION("GOOGLETRANSLATE('대전도시공사_청년임대주택 현황_20240630'!F1089,""ko"",""en"")"),"17.822")</f>
        <v>17.822</v>
      </c>
      <c r="G1089" s="1" t="str">
        <f ca="1">IFERROR(__xludf.DUMMYFUNCTION("GOOGLETRANSLATE('대전도시공사_청년임대주택 현황_20240630'!G1089,""ko"",""en"")"),"17.861")</f>
        <v>17.861</v>
      </c>
      <c r="H1089" s="1" t="str">
        <f ca="1">IFERROR(__xludf.DUMMYFUNCTION("GOOGLETRANSLATE('대전도시공사_청년임대주택 현황_20240630'!H1089,""ko"",""en"")"),"Youth Rental 2nd Place")</f>
        <v>Youth Rental 2nd Place</v>
      </c>
      <c r="I1089" s="1" t="str">
        <f ca="1">IFERROR(__xludf.DUMMYFUNCTION("GOOGLETRANSLATE('대전도시공사_청년임대주택 현황_20240630'!I1089,""ko"",""en"")"),"2000000")</f>
        <v>2000000</v>
      </c>
      <c r="J1089" s="1" t="str">
        <f ca="1">IFERROR(__xludf.DUMMYFUNCTION("GOOGLETRANSLATE('대전도시공사_청년임대주택 현황_20240630'!J1089,""ko"",""en"")"),"246600")</f>
        <v>246600</v>
      </c>
    </row>
    <row r="1090" spans="1:10" ht="12.5" x14ac:dyDescent="0.25">
      <c r="A1090" s="1" t="str">
        <f ca="1">IFERROR(__xludf.DUMMYFUNCTION("GOOGLETRANSLATE('대전도시공사_청년임대주택 현황_20240630'!A1090,""ko"",""en"")"),"Gungdong-ro 71 (City Palace, Youth Rental)")</f>
        <v>Gungdong-ro 71 (City Palace, Youth Rental)</v>
      </c>
      <c r="B1090" s="1" t="str">
        <f ca="1">IFERROR(__xludf.DUMMYFUNCTION("GOOGLETRANSLATE('대전도시공사_청년임대주택 현황_20240630'!B1090,""ko"",""en"")"),"114")</f>
        <v>114</v>
      </c>
      <c r="C1090" s="1" t="str">
        <f ca="1">IFERROR(__xludf.DUMMYFUNCTION("GOOGLETRANSLATE('대전도시공사_청년임대주택 현황_20240630'!C1090,""ko"",""en"")"),"1")</f>
        <v>1</v>
      </c>
      <c r="D1090" s="1" t="str">
        <f ca="1">IFERROR(__xludf.DUMMYFUNCTION("GOOGLETRANSLATE('대전도시공사_청년임대주택 현황_20240630'!D1090,""ko"",""en"")"),"410")</f>
        <v>410</v>
      </c>
      <c r="E1090" s="1" t="str">
        <f ca="1">IFERROR(__xludf.DUMMYFUNCTION("GOOGLETRANSLATE('대전도시공사_청년임대주택 현황_20240630'!E1090,""ko"",""en"")"),"35.683")</f>
        <v>35.683</v>
      </c>
      <c r="F1090" s="1" t="str">
        <f ca="1">IFERROR(__xludf.DUMMYFUNCTION("GOOGLETRANSLATE('대전도시공사_청년임대주택 현황_20240630'!F1090,""ko"",""en"")"),"17.822")</f>
        <v>17.822</v>
      </c>
      <c r="G1090" s="1" t="str">
        <f ca="1">IFERROR(__xludf.DUMMYFUNCTION("GOOGLETRANSLATE('대전도시공사_청년임대주택 현황_20240630'!G1090,""ko"",""en"")"),"17.861")</f>
        <v>17.861</v>
      </c>
      <c r="H1090" s="1" t="str">
        <f ca="1">IFERROR(__xludf.DUMMYFUNCTION("GOOGLETRANSLATE('대전도시공사_청년임대주택 현황_20240630'!H1090,""ko"",""en"")"),"3rd place for youth rental")</f>
        <v>3rd place for youth rental</v>
      </c>
      <c r="I1090" s="1" t="str">
        <f ca="1">IFERROR(__xludf.DUMMYFUNCTION("GOOGLETRANSLATE('대전도시공사_청년임대주택 현황_20240630'!I1090,""ko"",""en"")"),"2000000")</f>
        <v>2000000</v>
      </c>
      <c r="J1090" s="1" t="str">
        <f ca="1">IFERROR(__xludf.DUMMYFUNCTION("GOOGLETRANSLATE('대전도시공사_청년임대주택 현황_20240630'!J1090,""ko"",""en"")"),"246600")</f>
        <v>246600</v>
      </c>
    </row>
    <row r="1091" spans="1:10" ht="12.5" x14ac:dyDescent="0.25">
      <c r="A1091" s="1" t="str">
        <f ca="1">IFERROR(__xludf.DUMMYFUNCTION("GOOGLETRANSLATE('대전도시공사_청년임대주택 현황_20240630'!A1091,""ko"",""en"")"),"Gungdong-ro 71 (City Palace, Youth Rental)")</f>
        <v>Gungdong-ro 71 (City Palace, Youth Rental)</v>
      </c>
      <c r="B1091" s="1" t="str">
        <f ca="1">IFERROR(__xludf.DUMMYFUNCTION("GOOGLETRANSLATE('대전도시공사_청년임대주택 현황_20240630'!B1091,""ko"",""en"")"),"115")</f>
        <v>115</v>
      </c>
      <c r="C1091" s="1" t="str">
        <f ca="1">IFERROR(__xludf.DUMMYFUNCTION("GOOGLETRANSLATE('대전도시공사_청년임대주택 현황_20240630'!C1091,""ko"",""en"")"),"1")</f>
        <v>1</v>
      </c>
      <c r="D1091" s="1" t="str">
        <f ca="1">IFERROR(__xludf.DUMMYFUNCTION("GOOGLETRANSLATE('대전도시공사_청년임대주택 현황_20240630'!D1091,""ko"",""en"")"),"411")</f>
        <v>411</v>
      </c>
      <c r="E1091" s="1" t="str">
        <f ca="1">IFERROR(__xludf.DUMMYFUNCTION("GOOGLETRANSLATE('대전도시공사_청년임대주택 현황_20240630'!E1091,""ko"",""en"")"),"35.683")</f>
        <v>35.683</v>
      </c>
      <c r="F1091" s="1" t="str">
        <f ca="1">IFERROR(__xludf.DUMMYFUNCTION("GOOGLETRANSLATE('대전도시공사_청년임대주택 현황_20240630'!F1091,""ko"",""en"")"),"17.822")</f>
        <v>17.822</v>
      </c>
      <c r="G1091" s="1" t="str">
        <f ca="1">IFERROR(__xludf.DUMMYFUNCTION("GOOGLETRANSLATE('대전도시공사_청년임대주택 현황_20240630'!G1091,""ko"",""en"")"),"17.861")</f>
        <v>17.861</v>
      </c>
      <c r="H1091" s="1" t="str">
        <f ca="1">IFERROR(__xludf.DUMMYFUNCTION("GOOGLETRANSLATE('대전도시공사_청년임대주택 현황_20240630'!H1091,""ko"",""en"")"),"Beneficiary")</f>
        <v>Beneficiary</v>
      </c>
      <c r="I1091" s="1" t="str">
        <f ca="1">IFERROR(__xludf.DUMMYFUNCTION("GOOGLETRANSLATE('대전도시공사_청년임대주택 현황_20240630'!I1091,""ko"",""en"")"),"1000000")</f>
        <v>1000000</v>
      </c>
      <c r="J1091" s="1" t="str">
        <f ca="1">IFERROR(__xludf.DUMMYFUNCTION("GOOGLETRANSLATE('대전도시공사_청년임대주택 현황_20240630'!J1091,""ko"",""en"")"),"200600")</f>
        <v>200600</v>
      </c>
    </row>
    <row r="1092" spans="1:10" ht="12.5" x14ac:dyDescent="0.25">
      <c r="A1092" s="1" t="str">
        <f ca="1">IFERROR(__xludf.DUMMYFUNCTION("GOOGLETRANSLATE('대전도시공사_청년임대주택 현황_20240630'!A1092,""ko"",""en"")"),"Gungdong-ro 71 (City Palace, Youth Rental)")</f>
        <v>Gungdong-ro 71 (City Palace, Youth Rental)</v>
      </c>
      <c r="B1092" s="1" t="str">
        <f ca="1">IFERROR(__xludf.DUMMYFUNCTION("GOOGLETRANSLATE('대전도시공사_청년임대주택 현황_20240630'!B1092,""ko"",""en"")"),"116")</f>
        <v>116</v>
      </c>
      <c r="C1092" s="1" t="str">
        <f ca="1">IFERROR(__xludf.DUMMYFUNCTION("GOOGLETRANSLATE('대전도시공사_청년임대주택 현황_20240630'!C1092,""ko"",""en"")"),"1")</f>
        <v>1</v>
      </c>
      <c r="D1092" s="1" t="str">
        <f ca="1">IFERROR(__xludf.DUMMYFUNCTION("GOOGLETRANSLATE('대전도시공사_청년임대주택 현황_20240630'!D1092,""ko"",""en"")"),"411")</f>
        <v>411</v>
      </c>
      <c r="E1092" s="1" t="str">
        <f ca="1">IFERROR(__xludf.DUMMYFUNCTION("GOOGLETRANSLATE('대전도시공사_청년임대주택 현황_20240630'!E1092,""ko"",""en"")"),"35.683")</f>
        <v>35.683</v>
      </c>
      <c r="F1092" s="1" t="str">
        <f ca="1">IFERROR(__xludf.DUMMYFUNCTION("GOOGLETRANSLATE('대전도시공사_청년임대주택 현황_20240630'!F1092,""ko"",""en"")"),"17.822")</f>
        <v>17.822</v>
      </c>
      <c r="G1092" s="1" t="str">
        <f ca="1">IFERROR(__xludf.DUMMYFUNCTION("GOOGLETRANSLATE('대전도시공사_청년임대주택 현황_20240630'!G1092,""ko"",""en"")"),"17.861")</f>
        <v>17.861</v>
      </c>
      <c r="H1092" s="1" t="str">
        <f ca="1">IFERROR(__xludf.DUMMYFUNCTION("GOOGLETRANSLATE('대전도시공사_청년임대주택 현황_20240630'!H1092,""ko"",""en"")"),"Youth Rental 2nd Place")</f>
        <v>Youth Rental 2nd Place</v>
      </c>
      <c r="I1092" s="1" t="str">
        <f ca="1">IFERROR(__xludf.DUMMYFUNCTION("GOOGLETRANSLATE('대전도시공사_청년임대주택 현황_20240630'!I1092,""ko"",""en"")"),"2000000")</f>
        <v>2000000</v>
      </c>
      <c r="J1092" s="1" t="str">
        <f ca="1">IFERROR(__xludf.DUMMYFUNCTION("GOOGLETRANSLATE('대전도시공사_청년임대주택 현황_20240630'!J1092,""ko"",""en"")"),"246600")</f>
        <v>246600</v>
      </c>
    </row>
    <row r="1093" spans="1:10" ht="12.5" x14ac:dyDescent="0.25">
      <c r="A1093" s="1" t="str">
        <f ca="1">IFERROR(__xludf.DUMMYFUNCTION("GOOGLETRANSLATE('대전도시공사_청년임대주택 현황_20240630'!A1093,""ko"",""en"")"),"Gungdong-ro 71 (City Palace, Youth Rental)")</f>
        <v>Gungdong-ro 71 (City Palace, Youth Rental)</v>
      </c>
      <c r="B1093" s="1" t="str">
        <f ca="1">IFERROR(__xludf.DUMMYFUNCTION("GOOGLETRANSLATE('대전도시공사_청년임대주택 현황_20240630'!B1093,""ko"",""en"")"),"117")</f>
        <v>117</v>
      </c>
      <c r="C1093" s="1" t="str">
        <f ca="1">IFERROR(__xludf.DUMMYFUNCTION("GOOGLETRANSLATE('대전도시공사_청년임대주택 현황_20240630'!C1093,""ko"",""en"")"),"1")</f>
        <v>1</v>
      </c>
      <c r="D1093" s="1" t="str">
        <f ca="1">IFERROR(__xludf.DUMMYFUNCTION("GOOGLETRANSLATE('대전도시공사_청년임대주택 현황_20240630'!D1093,""ko"",""en"")"),"411")</f>
        <v>411</v>
      </c>
      <c r="E1093" s="1" t="str">
        <f ca="1">IFERROR(__xludf.DUMMYFUNCTION("GOOGLETRANSLATE('대전도시공사_청년임대주택 현황_20240630'!E1093,""ko"",""en"")"),"35.683")</f>
        <v>35.683</v>
      </c>
      <c r="F1093" s="1" t="str">
        <f ca="1">IFERROR(__xludf.DUMMYFUNCTION("GOOGLETRANSLATE('대전도시공사_청년임대주택 현황_20240630'!F1093,""ko"",""en"")"),"17.822")</f>
        <v>17.822</v>
      </c>
      <c r="G1093" s="1" t="str">
        <f ca="1">IFERROR(__xludf.DUMMYFUNCTION("GOOGLETRANSLATE('대전도시공사_청년임대주택 현황_20240630'!G1093,""ko"",""en"")"),"17.861")</f>
        <v>17.861</v>
      </c>
      <c r="H1093" s="1" t="str">
        <f ca="1">IFERROR(__xludf.DUMMYFUNCTION("GOOGLETRANSLATE('대전도시공사_청년임대주택 현황_20240630'!H1093,""ko"",""en"")"),"3rd place for youth rental")</f>
        <v>3rd place for youth rental</v>
      </c>
      <c r="I1093" s="1" t="str">
        <f ca="1">IFERROR(__xludf.DUMMYFUNCTION("GOOGLETRANSLATE('대전도시공사_청년임대주택 현황_20240630'!I1093,""ko"",""en"")"),"2000000")</f>
        <v>2000000</v>
      </c>
      <c r="J1093" s="1" t="str">
        <f ca="1">IFERROR(__xludf.DUMMYFUNCTION("GOOGLETRANSLATE('대전도시공사_청년임대주택 현황_20240630'!J1093,""ko"",""en"")"),"246600")</f>
        <v>246600</v>
      </c>
    </row>
    <row r="1094" spans="1:10" ht="12.5" x14ac:dyDescent="0.25">
      <c r="A1094" s="1" t="str">
        <f ca="1">IFERROR(__xludf.DUMMYFUNCTION("GOOGLETRANSLATE('대전도시공사_청년임대주택 현황_20240630'!A1094,""ko"",""en"")"),"Gungdong-ro 71 (City Palace, Youth Rental)")</f>
        <v>Gungdong-ro 71 (City Palace, Youth Rental)</v>
      </c>
      <c r="B1094" s="1" t="str">
        <f ca="1">IFERROR(__xludf.DUMMYFUNCTION("GOOGLETRANSLATE('대전도시공사_청년임대주택 현황_20240630'!B1094,""ko"",""en"")"),"118")</f>
        <v>118</v>
      </c>
      <c r="C1094" s="1" t="str">
        <f ca="1">IFERROR(__xludf.DUMMYFUNCTION("GOOGLETRANSLATE('대전도시공사_청년임대주택 현황_20240630'!C1094,""ko"",""en"")"),"1")</f>
        <v>1</v>
      </c>
      <c r="D1094" s="1" t="str">
        <f ca="1">IFERROR(__xludf.DUMMYFUNCTION("GOOGLETRANSLATE('대전도시공사_청년임대주택 현황_20240630'!D1094,""ko"",""en"")"),"412")</f>
        <v>412</v>
      </c>
      <c r="E1094" s="1" t="str">
        <f ca="1">IFERROR(__xludf.DUMMYFUNCTION("GOOGLETRANSLATE('대전도시공사_청년임대주택 현황_20240630'!E1094,""ko"",""en"")"),"35.683")</f>
        <v>35.683</v>
      </c>
      <c r="F1094" s="1" t="str">
        <f ca="1">IFERROR(__xludf.DUMMYFUNCTION("GOOGLETRANSLATE('대전도시공사_청년임대주택 현황_20240630'!F1094,""ko"",""en"")"),"17.822")</f>
        <v>17.822</v>
      </c>
      <c r="G1094" s="1" t="str">
        <f ca="1">IFERROR(__xludf.DUMMYFUNCTION("GOOGLETRANSLATE('대전도시공사_청년임대주택 현황_20240630'!G1094,""ko"",""en"")"),"17.861")</f>
        <v>17.861</v>
      </c>
      <c r="H1094" s="1" t="str">
        <f ca="1">IFERROR(__xludf.DUMMYFUNCTION("GOOGLETRANSLATE('대전도시공사_청년임대주택 현황_20240630'!H1094,""ko"",""en"")"),"Beneficiary")</f>
        <v>Beneficiary</v>
      </c>
      <c r="I1094" s="1" t="str">
        <f ca="1">IFERROR(__xludf.DUMMYFUNCTION("GOOGLETRANSLATE('대전도시공사_청년임대주택 현황_20240630'!I1094,""ko"",""en"")"),"1000000")</f>
        <v>1000000</v>
      </c>
      <c r="J1094" s="1" t="str">
        <f ca="1">IFERROR(__xludf.DUMMYFUNCTION("GOOGLETRANSLATE('대전도시공사_청년임대주택 현황_20240630'!J1094,""ko"",""en"")"),"200600")</f>
        <v>200600</v>
      </c>
    </row>
    <row r="1095" spans="1:10" ht="12.5" x14ac:dyDescent="0.25">
      <c r="A1095" s="1" t="str">
        <f ca="1">IFERROR(__xludf.DUMMYFUNCTION("GOOGLETRANSLATE('대전도시공사_청년임대주택 현황_20240630'!A1095,""ko"",""en"")"),"Gungdong-ro 71 (City Palace, Youth Rental)")</f>
        <v>Gungdong-ro 71 (City Palace, Youth Rental)</v>
      </c>
      <c r="B1095" s="1" t="str">
        <f ca="1">IFERROR(__xludf.DUMMYFUNCTION("GOOGLETRANSLATE('대전도시공사_청년임대주택 현황_20240630'!B1095,""ko"",""en"")"),"119")</f>
        <v>119</v>
      </c>
      <c r="C1095" s="1" t="str">
        <f ca="1">IFERROR(__xludf.DUMMYFUNCTION("GOOGLETRANSLATE('대전도시공사_청년임대주택 현황_20240630'!C1095,""ko"",""en"")"),"1")</f>
        <v>1</v>
      </c>
      <c r="D1095" s="1" t="str">
        <f ca="1">IFERROR(__xludf.DUMMYFUNCTION("GOOGLETRANSLATE('대전도시공사_청년임대주택 현황_20240630'!D1095,""ko"",""en"")"),"412")</f>
        <v>412</v>
      </c>
      <c r="E1095" s="1" t="str">
        <f ca="1">IFERROR(__xludf.DUMMYFUNCTION("GOOGLETRANSLATE('대전도시공사_청년임대주택 현황_20240630'!E1095,""ko"",""en"")"),"35.683")</f>
        <v>35.683</v>
      </c>
      <c r="F1095" s="1" t="str">
        <f ca="1">IFERROR(__xludf.DUMMYFUNCTION("GOOGLETRANSLATE('대전도시공사_청년임대주택 현황_20240630'!F1095,""ko"",""en"")"),"17.822")</f>
        <v>17.822</v>
      </c>
      <c r="G1095" s="1" t="str">
        <f ca="1">IFERROR(__xludf.DUMMYFUNCTION("GOOGLETRANSLATE('대전도시공사_청년임대주택 현황_20240630'!G1095,""ko"",""en"")"),"17.861")</f>
        <v>17.861</v>
      </c>
      <c r="H1095" s="1" t="str">
        <f ca="1">IFERROR(__xludf.DUMMYFUNCTION("GOOGLETRANSLATE('대전도시공사_청년임대주택 현황_20240630'!H1095,""ko"",""en"")"),"Youth Rental 2nd Place")</f>
        <v>Youth Rental 2nd Place</v>
      </c>
      <c r="I1095" s="1" t="str">
        <f ca="1">IFERROR(__xludf.DUMMYFUNCTION("GOOGLETRANSLATE('대전도시공사_청년임대주택 현황_20240630'!I1095,""ko"",""en"")"),"2000000")</f>
        <v>2000000</v>
      </c>
      <c r="J1095" s="1" t="str">
        <f ca="1">IFERROR(__xludf.DUMMYFUNCTION("GOOGLETRANSLATE('대전도시공사_청년임대주택 현황_20240630'!J1095,""ko"",""en"")"),"246600")</f>
        <v>246600</v>
      </c>
    </row>
    <row r="1096" spans="1:10" ht="12.5" x14ac:dyDescent="0.25">
      <c r="A1096" s="1" t="str">
        <f ca="1">IFERROR(__xludf.DUMMYFUNCTION("GOOGLETRANSLATE('대전도시공사_청년임대주택 현황_20240630'!A1096,""ko"",""en"")"),"Gungdong-ro 71 (City Palace, Youth Rental)")</f>
        <v>Gungdong-ro 71 (City Palace, Youth Rental)</v>
      </c>
      <c r="B1096" s="1" t="str">
        <f ca="1">IFERROR(__xludf.DUMMYFUNCTION("GOOGLETRANSLATE('대전도시공사_청년임대주택 현황_20240630'!B1096,""ko"",""en"")"),"120")</f>
        <v>120</v>
      </c>
      <c r="C1096" s="1" t="str">
        <f ca="1">IFERROR(__xludf.DUMMYFUNCTION("GOOGLETRANSLATE('대전도시공사_청년임대주택 현황_20240630'!C1096,""ko"",""en"")"),"1")</f>
        <v>1</v>
      </c>
      <c r="D1096" s="1" t="str">
        <f ca="1">IFERROR(__xludf.DUMMYFUNCTION("GOOGLETRANSLATE('대전도시공사_청년임대주택 현황_20240630'!D1096,""ko"",""en"")"),"412")</f>
        <v>412</v>
      </c>
      <c r="E1096" s="1" t="str">
        <f ca="1">IFERROR(__xludf.DUMMYFUNCTION("GOOGLETRANSLATE('대전도시공사_청년임대주택 현황_20240630'!E1096,""ko"",""en"")"),"35.683")</f>
        <v>35.683</v>
      </c>
      <c r="F1096" s="1" t="str">
        <f ca="1">IFERROR(__xludf.DUMMYFUNCTION("GOOGLETRANSLATE('대전도시공사_청년임대주택 현황_20240630'!F1096,""ko"",""en"")"),"17.822")</f>
        <v>17.822</v>
      </c>
      <c r="G1096" s="1" t="str">
        <f ca="1">IFERROR(__xludf.DUMMYFUNCTION("GOOGLETRANSLATE('대전도시공사_청년임대주택 현황_20240630'!G1096,""ko"",""en"")"),"17.861")</f>
        <v>17.861</v>
      </c>
      <c r="H1096" s="1" t="str">
        <f ca="1">IFERROR(__xludf.DUMMYFUNCTION("GOOGLETRANSLATE('대전도시공사_청년임대주택 현황_20240630'!H1096,""ko"",""en"")"),"3rd place for youth rental")</f>
        <v>3rd place for youth rental</v>
      </c>
      <c r="I1096" s="1" t="str">
        <f ca="1">IFERROR(__xludf.DUMMYFUNCTION("GOOGLETRANSLATE('대전도시공사_청년임대주택 현황_20240630'!I1096,""ko"",""en"")"),"2000000")</f>
        <v>2000000</v>
      </c>
      <c r="J1096" s="1" t="str">
        <f ca="1">IFERROR(__xludf.DUMMYFUNCTION("GOOGLETRANSLATE('대전도시공사_청년임대주택 현황_20240630'!J1096,""ko"",""en"")"),"246600")</f>
        <v>246600</v>
      </c>
    </row>
    <row r="1097" spans="1:10" ht="12.5" x14ac:dyDescent="0.25">
      <c r="A1097" s="1" t="str">
        <f ca="1">IFERROR(__xludf.DUMMYFUNCTION("GOOGLETRANSLATE('대전도시공사_청년임대주택 현황_20240630'!A1097,""ko"",""en"")"),"Gungdong-ro 71 (City Palace, Youth Rental)")</f>
        <v>Gungdong-ro 71 (City Palace, Youth Rental)</v>
      </c>
      <c r="B1097" s="1" t="str">
        <f ca="1">IFERROR(__xludf.DUMMYFUNCTION("GOOGLETRANSLATE('대전도시공사_청년임대주택 현황_20240630'!B1097,""ko"",""en"")"),"121")</f>
        <v>121</v>
      </c>
      <c r="C1097" s="1" t="str">
        <f ca="1">IFERROR(__xludf.DUMMYFUNCTION("GOOGLETRANSLATE('대전도시공사_청년임대주택 현황_20240630'!C1097,""ko"",""en"")"),"1")</f>
        <v>1</v>
      </c>
      <c r="D1097" s="1" t="str">
        <f ca="1">IFERROR(__xludf.DUMMYFUNCTION("GOOGLETRANSLATE('대전도시공사_청년임대주택 현황_20240630'!D1097,""ko"",""en"")"),"413")</f>
        <v>413</v>
      </c>
      <c r="E1097" s="1" t="str">
        <f ca="1">IFERROR(__xludf.DUMMYFUNCTION("GOOGLETRANSLATE('대전도시공사_청년임대주택 현황_20240630'!E1097,""ko"",""en"")"),"35.683")</f>
        <v>35.683</v>
      </c>
      <c r="F1097" s="1" t="str">
        <f ca="1">IFERROR(__xludf.DUMMYFUNCTION("GOOGLETRANSLATE('대전도시공사_청년임대주택 현황_20240630'!F1097,""ko"",""en"")"),"17.822")</f>
        <v>17.822</v>
      </c>
      <c r="G1097" s="1" t="str">
        <f ca="1">IFERROR(__xludf.DUMMYFUNCTION("GOOGLETRANSLATE('대전도시공사_청년임대주택 현황_20240630'!G1097,""ko"",""en"")"),"17.861")</f>
        <v>17.861</v>
      </c>
      <c r="H1097" s="1" t="str">
        <f ca="1">IFERROR(__xludf.DUMMYFUNCTION("GOOGLETRANSLATE('대전도시공사_청년임대주택 현황_20240630'!H1097,""ko"",""en"")"),"Beneficiary")</f>
        <v>Beneficiary</v>
      </c>
      <c r="I1097" s="1" t="str">
        <f ca="1">IFERROR(__xludf.DUMMYFUNCTION("GOOGLETRANSLATE('대전도시공사_청년임대주택 현황_20240630'!I1097,""ko"",""en"")"),"1000000")</f>
        <v>1000000</v>
      </c>
      <c r="J1097" s="1" t="str">
        <f ca="1">IFERROR(__xludf.DUMMYFUNCTION("GOOGLETRANSLATE('대전도시공사_청년임대주택 현황_20240630'!J1097,""ko"",""en"")"),"200600")</f>
        <v>200600</v>
      </c>
    </row>
    <row r="1098" spans="1:10" ht="12.5" x14ac:dyDescent="0.25">
      <c r="A1098" s="1" t="str">
        <f ca="1">IFERROR(__xludf.DUMMYFUNCTION("GOOGLETRANSLATE('대전도시공사_청년임대주택 현황_20240630'!A1098,""ko"",""en"")"),"Gungdong-ro 71 (City Palace, Youth Rental)")</f>
        <v>Gungdong-ro 71 (City Palace, Youth Rental)</v>
      </c>
      <c r="B1098" s="1" t="str">
        <f ca="1">IFERROR(__xludf.DUMMYFUNCTION("GOOGLETRANSLATE('대전도시공사_청년임대주택 현황_20240630'!B1098,""ko"",""en"")"),"122")</f>
        <v>122</v>
      </c>
      <c r="C1098" s="1" t="str">
        <f ca="1">IFERROR(__xludf.DUMMYFUNCTION("GOOGLETRANSLATE('대전도시공사_청년임대주택 현황_20240630'!C1098,""ko"",""en"")"),"1")</f>
        <v>1</v>
      </c>
      <c r="D1098" s="1" t="str">
        <f ca="1">IFERROR(__xludf.DUMMYFUNCTION("GOOGLETRANSLATE('대전도시공사_청년임대주택 현황_20240630'!D1098,""ko"",""en"")"),"413")</f>
        <v>413</v>
      </c>
      <c r="E1098" s="1" t="str">
        <f ca="1">IFERROR(__xludf.DUMMYFUNCTION("GOOGLETRANSLATE('대전도시공사_청년임대주택 현황_20240630'!E1098,""ko"",""en"")"),"35.683")</f>
        <v>35.683</v>
      </c>
      <c r="F1098" s="1" t="str">
        <f ca="1">IFERROR(__xludf.DUMMYFUNCTION("GOOGLETRANSLATE('대전도시공사_청년임대주택 현황_20240630'!F1098,""ko"",""en"")"),"17.822")</f>
        <v>17.822</v>
      </c>
      <c r="G1098" s="1" t="str">
        <f ca="1">IFERROR(__xludf.DUMMYFUNCTION("GOOGLETRANSLATE('대전도시공사_청년임대주택 현황_20240630'!G1098,""ko"",""en"")"),"17.861")</f>
        <v>17.861</v>
      </c>
      <c r="H1098" s="1" t="str">
        <f ca="1">IFERROR(__xludf.DUMMYFUNCTION("GOOGLETRANSLATE('대전도시공사_청년임대주택 현황_20240630'!H1098,""ko"",""en"")"),"Youth Rental 2nd Place")</f>
        <v>Youth Rental 2nd Place</v>
      </c>
      <c r="I1098" s="1" t="str">
        <f ca="1">IFERROR(__xludf.DUMMYFUNCTION("GOOGLETRANSLATE('대전도시공사_청년임대주택 현황_20240630'!I1098,""ko"",""en"")"),"2000000")</f>
        <v>2000000</v>
      </c>
      <c r="J1098" s="1" t="str">
        <f ca="1">IFERROR(__xludf.DUMMYFUNCTION("GOOGLETRANSLATE('대전도시공사_청년임대주택 현황_20240630'!J1098,""ko"",""en"")"),"246600")</f>
        <v>246600</v>
      </c>
    </row>
    <row r="1099" spans="1:10" ht="12.5" x14ac:dyDescent="0.25">
      <c r="A1099" s="1" t="str">
        <f ca="1">IFERROR(__xludf.DUMMYFUNCTION("GOOGLETRANSLATE('대전도시공사_청년임대주택 현황_20240630'!A1099,""ko"",""en"")"),"Gungdong-ro 71 (City Palace, Youth Rental)")</f>
        <v>Gungdong-ro 71 (City Palace, Youth Rental)</v>
      </c>
      <c r="B1099" s="1" t="str">
        <f ca="1">IFERROR(__xludf.DUMMYFUNCTION("GOOGLETRANSLATE('대전도시공사_청년임대주택 현황_20240630'!B1099,""ko"",""en"")"),"123")</f>
        <v>123</v>
      </c>
      <c r="C1099" s="1" t="str">
        <f ca="1">IFERROR(__xludf.DUMMYFUNCTION("GOOGLETRANSLATE('대전도시공사_청년임대주택 현황_20240630'!C1099,""ko"",""en"")"),"1")</f>
        <v>1</v>
      </c>
      <c r="D1099" s="1" t="str">
        <f ca="1">IFERROR(__xludf.DUMMYFUNCTION("GOOGLETRANSLATE('대전도시공사_청년임대주택 현황_20240630'!D1099,""ko"",""en"")"),"413")</f>
        <v>413</v>
      </c>
      <c r="E1099" s="1" t="str">
        <f ca="1">IFERROR(__xludf.DUMMYFUNCTION("GOOGLETRANSLATE('대전도시공사_청년임대주택 현황_20240630'!E1099,""ko"",""en"")"),"35.683")</f>
        <v>35.683</v>
      </c>
      <c r="F1099" s="1" t="str">
        <f ca="1">IFERROR(__xludf.DUMMYFUNCTION("GOOGLETRANSLATE('대전도시공사_청년임대주택 현황_20240630'!F1099,""ko"",""en"")"),"17.822")</f>
        <v>17.822</v>
      </c>
      <c r="G1099" s="1" t="str">
        <f ca="1">IFERROR(__xludf.DUMMYFUNCTION("GOOGLETRANSLATE('대전도시공사_청년임대주택 현황_20240630'!G1099,""ko"",""en"")"),"17.861")</f>
        <v>17.861</v>
      </c>
      <c r="H1099" s="1" t="str">
        <f ca="1">IFERROR(__xludf.DUMMYFUNCTION("GOOGLETRANSLATE('대전도시공사_청년임대주택 현황_20240630'!H1099,""ko"",""en"")"),"3rd place for youth rental")</f>
        <v>3rd place for youth rental</v>
      </c>
      <c r="I1099" s="1" t="str">
        <f ca="1">IFERROR(__xludf.DUMMYFUNCTION("GOOGLETRANSLATE('대전도시공사_청년임대주택 현황_20240630'!I1099,""ko"",""en"")"),"2000000")</f>
        <v>2000000</v>
      </c>
      <c r="J1099" s="1" t="str">
        <f ca="1">IFERROR(__xludf.DUMMYFUNCTION("GOOGLETRANSLATE('대전도시공사_청년임대주택 현황_20240630'!J1099,""ko"",""en"")"),"246600")</f>
        <v>246600</v>
      </c>
    </row>
    <row r="1100" spans="1:10" ht="12.5" x14ac:dyDescent="0.25">
      <c r="A1100" s="1" t="str">
        <f ca="1">IFERROR(__xludf.DUMMYFUNCTION("GOOGLETRANSLATE('대전도시공사_청년임대주택 현황_20240630'!A1100,""ko"",""en"")"),"Gungdong-ro 71 (City Palace, Youth Rental)")</f>
        <v>Gungdong-ro 71 (City Palace, Youth Rental)</v>
      </c>
      <c r="B1100" s="1" t="str">
        <f ca="1">IFERROR(__xludf.DUMMYFUNCTION("GOOGLETRANSLATE('대전도시공사_청년임대주택 현황_20240630'!B1100,""ko"",""en"")"),"124")</f>
        <v>124</v>
      </c>
      <c r="C1100" s="1" t="str">
        <f ca="1">IFERROR(__xludf.DUMMYFUNCTION("GOOGLETRANSLATE('대전도시공사_청년임대주택 현황_20240630'!C1100,""ko"",""en"")"),"1")</f>
        <v>1</v>
      </c>
      <c r="D1100" s="1" t="str">
        <f ca="1">IFERROR(__xludf.DUMMYFUNCTION("GOOGLETRANSLATE('대전도시공사_청년임대주택 현황_20240630'!D1100,""ko"",""en"")"),"414")</f>
        <v>414</v>
      </c>
      <c r="E1100" s="1" t="str">
        <f ca="1">IFERROR(__xludf.DUMMYFUNCTION("GOOGLETRANSLATE('대전도시공사_청년임대주택 현황_20240630'!E1100,""ko"",""en"")"),"35.683")</f>
        <v>35.683</v>
      </c>
      <c r="F1100" s="1" t="str">
        <f ca="1">IFERROR(__xludf.DUMMYFUNCTION("GOOGLETRANSLATE('대전도시공사_청년임대주택 현황_20240630'!F1100,""ko"",""en"")"),"17.822")</f>
        <v>17.822</v>
      </c>
      <c r="G1100" s="1" t="str">
        <f ca="1">IFERROR(__xludf.DUMMYFUNCTION("GOOGLETRANSLATE('대전도시공사_청년임대주택 현황_20240630'!G1100,""ko"",""en"")"),"17.861")</f>
        <v>17.861</v>
      </c>
      <c r="H1100" s="1" t="str">
        <f ca="1">IFERROR(__xludf.DUMMYFUNCTION("GOOGLETRANSLATE('대전도시공사_청년임대주택 현황_20240630'!H1100,""ko"",""en"")"),"Beneficiary")</f>
        <v>Beneficiary</v>
      </c>
      <c r="I1100" s="1" t="str">
        <f ca="1">IFERROR(__xludf.DUMMYFUNCTION("GOOGLETRANSLATE('대전도시공사_청년임대주택 현황_20240630'!I1100,""ko"",""en"")"),"1000000")</f>
        <v>1000000</v>
      </c>
      <c r="J1100" s="1" t="str">
        <f ca="1">IFERROR(__xludf.DUMMYFUNCTION("GOOGLETRANSLATE('대전도시공사_청년임대주택 현황_20240630'!J1100,""ko"",""en"")"),"200600")</f>
        <v>200600</v>
      </c>
    </row>
    <row r="1101" spans="1:10" ht="12.5" x14ac:dyDescent="0.25">
      <c r="A1101" s="1" t="str">
        <f ca="1">IFERROR(__xludf.DUMMYFUNCTION("GOOGLETRANSLATE('대전도시공사_청년임대주택 현황_20240630'!A1101,""ko"",""en"")"),"Gungdong-ro 71 (City Palace, Youth Rental)")</f>
        <v>Gungdong-ro 71 (City Palace, Youth Rental)</v>
      </c>
      <c r="B1101" s="1" t="str">
        <f ca="1">IFERROR(__xludf.DUMMYFUNCTION("GOOGLETRANSLATE('대전도시공사_청년임대주택 현황_20240630'!B1101,""ko"",""en"")"),"125")</f>
        <v>125</v>
      </c>
      <c r="C1101" s="1" t="str">
        <f ca="1">IFERROR(__xludf.DUMMYFUNCTION("GOOGLETRANSLATE('대전도시공사_청년임대주택 현황_20240630'!C1101,""ko"",""en"")"),"1")</f>
        <v>1</v>
      </c>
      <c r="D1101" s="1" t="str">
        <f ca="1">IFERROR(__xludf.DUMMYFUNCTION("GOOGLETRANSLATE('대전도시공사_청년임대주택 현황_20240630'!D1101,""ko"",""en"")"),"414")</f>
        <v>414</v>
      </c>
      <c r="E1101" s="1" t="str">
        <f ca="1">IFERROR(__xludf.DUMMYFUNCTION("GOOGLETRANSLATE('대전도시공사_청년임대주택 현황_20240630'!E1101,""ko"",""en"")"),"35.683")</f>
        <v>35.683</v>
      </c>
      <c r="F1101" s="1" t="str">
        <f ca="1">IFERROR(__xludf.DUMMYFUNCTION("GOOGLETRANSLATE('대전도시공사_청년임대주택 현황_20240630'!F1101,""ko"",""en"")"),"17.822")</f>
        <v>17.822</v>
      </c>
      <c r="G1101" s="1" t="str">
        <f ca="1">IFERROR(__xludf.DUMMYFUNCTION("GOOGLETRANSLATE('대전도시공사_청년임대주택 현황_20240630'!G1101,""ko"",""en"")"),"17.861")</f>
        <v>17.861</v>
      </c>
      <c r="H1101" s="1" t="str">
        <f ca="1">IFERROR(__xludf.DUMMYFUNCTION("GOOGLETRANSLATE('대전도시공사_청년임대주택 현황_20240630'!H1101,""ko"",""en"")"),"Youth Rental 2nd Place")</f>
        <v>Youth Rental 2nd Place</v>
      </c>
      <c r="I1101" s="1" t="str">
        <f ca="1">IFERROR(__xludf.DUMMYFUNCTION("GOOGLETRANSLATE('대전도시공사_청년임대주택 현황_20240630'!I1101,""ko"",""en"")"),"2000000")</f>
        <v>2000000</v>
      </c>
      <c r="J1101" s="1" t="str">
        <f ca="1">IFERROR(__xludf.DUMMYFUNCTION("GOOGLETRANSLATE('대전도시공사_청년임대주택 현황_20240630'!J1101,""ko"",""en"")"),"246600")</f>
        <v>246600</v>
      </c>
    </row>
    <row r="1102" spans="1:10" ht="12.5" x14ac:dyDescent="0.25">
      <c r="A1102" s="1" t="str">
        <f ca="1">IFERROR(__xludf.DUMMYFUNCTION("GOOGLETRANSLATE('대전도시공사_청년임대주택 현황_20240630'!A1102,""ko"",""en"")"),"Gungdong-ro 71 (City Palace, Youth Rental)")</f>
        <v>Gungdong-ro 71 (City Palace, Youth Rental)</v>
      </c>
      <c r="B1102" s="1" t="str">
        <f ca="1">IFERROR(__xludf.DUMMYFUNCTION("GOOGLETRANSLATE('대전도시공사_청년임대주택 현황_20240630'!B1102,""ko"",""en"")"),"126")</f>
        <v>126</v>
      </c>
      <c r="C1102" s="1" t="str">
        <f ca="1">IFERROR(__xludf.DUMMYFUNCTION("GOOGLETRANSLATE('대전도시공사_청년임대주택 현황_20240630'!C1102,""ko"",""en"")"),"1")</f>
        <v>1</v>
      </c>
      <c r="D1102" s="1" t="str">
        <f ca="1">IFERROR(__xludf.DUMMYFUNCTION("GOOGLETRANSLATE('대전도시공사_청년임대주택 현황_20240630'!D1102,""ko"",""en"")"),"414")</f>
        <v>414</v>
      </c>
      <c r="E1102" s="1" t="str">
        <f ca="1">IFERROR(__xludf.DUMMYFUNCTION("GOOGLETRANSLATE('대전도시공사_청년임대주택 현황_20240630'!E1102,""ko"",""en"")"),"35.683")</f>
        <v>35.683</v>
      </c>
      <c r="F1102" s="1" t="str">
        <f ca="1">IFERROR(__xludf.DUMMYFUNCTION("GOOGLETRANSLATE('대전도시공사_청년임대주택 현황_20240630'!F1102,""ko"",""en"")"),"17.822")</f>
        <v>17.822</v>
      </c>
      <c r="G1102" s="1" t="str">
        <f ca="1">IFERROR(__xludf.DUMMYFUNCTION("GOOGLETRANSLATE('대전도시공사_청년임대주택 현황_20240630'!G1102,""ko"",""en"")"),"17.861")</f>
        <v>17.861</v>
      </c>
      <c r="H1102" s="1" t="str">
        <f ca="1">IFERROR(__xludf.DUMMYFUNCTION("GOOGLETRANSLATE('대전도시공사_청년임대주택 현황_20240630'!H1102,""ko"",""en"")"),"3rd place for youth rental")</f>
        <v>3rd place for youth rental</v>
      </c>
      <c r="I1102" s="1" t="str">
        <f ca="1">IFERROR(__xludf.DUMMYFUNCTION("GOOGLETRANSLATE('대전도시공사_청년임대주택 현황_20240630'!I1102,""ko"",""en"")"),"2000000")</f>
        <v>2000000</v>
      </c>
      <c r="J1102" s="1" t="str">
        <f ca="1">IFERROR(__xludf.DUMMYFUNCTION("GOOGLETRANSLATE('대전도시공사_청년임대주택 현황_20240630'!J1102,""ko"",""en"")"),"246600")</f>
        <v>246600</v>
      </c>
    </row>
    <row r="1103" spans="1:10" ht="12.5" x14ac:dyDescent="0.25">
      <c r="A1103" s="1" t="str">
        <f ca="1">IFERROR(__xludf.DUMMYFUNCTION("GOOGLETRANSLATE('대전도시공사_청년임대주택 현황_20240630'!A1103,""ko"",""en"")"),"Gungdong-ro 71 (City Palace, Youth Rental)")</f>
        <v>Gungdong-ro 71 (City Palace, Youth Rental)</v>
      </c>
      <c r="B1103" s="1" t="str">
        <f ca="1">IFERROR(__xludf.DUMMYFUNCTION("GOOGLETRANSLATE('대전도시공사_청년임대주택 현황_20240630'!B1103,""ko"",""en"")"),"127")</f>
        <v>127</v>
      </c>
      <c r="C1103" s="1" t="str">
        <f ca="1">IFERROR(__xludf.DUMMYFUNCTION("GOOGLETRANSLATE('대전도시공사_청년임대주택 현황_20240630'!C1103,""ko"",""en"")"),"1")</f>
        <v>1</v>
      </c>
      <c r="D1103" s="1" t="str">
        <f ca="1">IFERROR(__xludf.DUMMYFUNCTION("GOOGLETRANSLATE('대전도시공사_청년임대주택 현황_20240630'!D1103,""ko"",""en"")"),"415")</f>
        <v>415</v>
      </c>
      <c r="E1103" s="1" t="str">
        <f ca="1">IFERROR(__xludf.DUMMYFUNCTION("GOOGLETRANSLATE('대전도시공사_청년임대주택 현황_20240630'!E1103,""ko"",""en"")"),"35.683")</f>
        <v>35.683</v>
      </c>
      <c r="F1103" s="1" t="str">
        <f ca="1">IFERROR(__xludf.DUMMYFUNCTION("GOOGLETRANSLATE('대전도시공사_청년임대주택 현황_20240630'!F1103,""ko"",""en"")"),"17.822")</f>
        <v>17.822</v>
      </c>
      <c r="G1103" s="1" t="str">
        <f ca="1">IFERROR(__xludf.DUMMYFUNCTION("GOOGLETRANSLATE('대전도시공사_청년임대주택 현황_20240630'!G1103,""ko"",""en"")"),"17.861")</f>
        <v>17.861</v>
      </c>
      <c r="H1103" s="1" t="str">
        <f ca="1">IFERROR(__xludf.DUMMYFUNCTION("GOOGLETRANSLATE('대전도시공사_청년임대주택 현황_20240630'!H1103,""ko"",""en"")"),"Beneficiary")</f>
        <v>Beneficiary</v>
      </c>
      <c r="I1103" s="1" t="str">
        <f ca="1">IFERROR(__xludf.DUMMYFUNCTION("GOOGLETRANSLATE('대전도시공사_청년임대주택 현황_20240630'!I1103,""ko"",""en"")"),"1000000")</f>
        <v>1000000</v>
      </c>
      <c r="J1103" s="1" t="str">
        <f ca="1">IFERROR(__xludf.DUMMYFUNCTION("GOOGLETRANSLATE('대전도시공사_청년임대주택 현황_20240630'!J1103,""ko"",""en"")"),"200600")</f>
        <v>200600</v>
      </c>
    </row>
    <row r="1104" spans="1:10" ht="12.5" x14ac:dyDescent="0.25">
      <c r="A1104" s="1" t="str">
        <f ca="1">IFERROR(__xludf.DUMMYFUNCTION("GOOGLETRANSLATE('대전도시공사_청년임대주택 현황_20240630'!A1104,""ko"",""en"")"),"Gungdong-ro 71 (City Palace, Youth Rental)")</f>
        <v>Gungdong-ro 71 (City Palace, Youth Rental)</v>
      </c>
      <c r="B1104" s="1" t="str">
        <f ca="1">IFERROR(__xludf.DUMMYFUNCTION("GOOGLETRANSLATE('대전도시공사_청년임대주택 현황_20240630'!B1104,""ko"",""en"")"),"128")</f>
        <v>128</v>
      </c>
      <c r="C1104" s="1" t="str">
        <f ca="1">IFERROR(__xludf.DUMMYFUNCTION("GOOGLETRANSLATE('대전도시공사_청년임대주택 현황_20240630'!C1104,""ko"",""en"")"),"1")</f>
        <v>1</v>
      </c>
      <c r="D1104" s="1" t="str">
        <f ca="1">IFERROR(__xludf.DUMMYFUNCTION("GOOGLETRANSLATE('대전도시공사_청년임대주택 현황_20240630'!D1104,""ko"",""en"")"),"415")</f>
        <v>415</v>
      </c>
      <c r="E1104" s="1" t="str">
        <f ca="1">IFERROR(__xludf.DUMMYFUNCTION("GOOGLETRANSLATE('대전도시공사_청년임대주택 현황_20240630'!E1104,""ko"",""en"")"),"35.683")</f>
        <v>35.683</v>
      </c>
      <c r="F1104" s="1" t="str">
        <f ca="1">IFERROR(__xludf.DUMMYFUNCTION("GOOGLETRANSLATE('대전도시공사_청년임대주택 현황_20240630'!F1104,""ko"",""en"")"),"17.822")</f>
        <v>17.822</v>
      </c>
      <c r="G1104" s="1" t="str">
        <f ca="1">IFERROR(__xludf.DUMMYFUNCTION("GOOGLETRANSLATE('대전도시공사_청년임대주택 현황_20240630'!G1104,""ko"",""en"")"),"17.861")</f>
        <v>17.861</v>
      </c>
      <c r="H1104" s="1" t="str">
        <f ca="1">IFERROR(__xludf.DUMMYFUNCTION("GOOGLETRANSLATE('대전도시공사_청년임대주택 현황_20240630'!H1104,""ko"",""en"")"),"Youth Rental 2nd Place")</f>
        <v>Youth Rental 2nd Place</v>
      </c>
      <c r="I1104" s="1" t="str">
        <f ca="1">IFERROR(__xludf.DUMMYFUNCTION("GOOGLETRANSLATE('대전도시공사_청년임대주택 현황_20240630'!I1104,""ko"",""en"")"),"2000000")</f>
        <v>2000000</v>
      </c>
      <c r="J1104" s="1" t="str">
        <f ca="1">IFERROR(__xludf.DUMMYFUNCTION("GOOGLETRANSLATE('대전도시공사_청년임대주택 현황_20240630'!J1104,""ko"",""en"")"),"246600")</f>
        <v>246600</v>
      </c>
    </row>
    <row r="1105" spans="1:10" ht="12.5" x14ac:dyDescent="0.25">
      <c r="A1105" s="1" t="str">
        <f ca="1">IFERROR(__xludf.DUMMYFUNCTION("GOOGLETRANSLATE('대전도시공사_청년임대주택 현황_20240630'!A1105,""ko"",""en"")"),"Gungdong-ro 71 (City Palace, Youth Rental)")</f>
        <v>Gungdong-ro 71 (City Palace, Youth Rental)</v>
      </c>
      <c r="B1105" s="1" t="str">
        <f ca="1">IFERROR(__xludf.DUMMYFUNCTION("GOOGLETRANSLATE('대전도시공사_청년임대주택 현황_20240630'!B1105,""ko"",""en"")"),"129")</f>
        <v>129</v>
      </c>
      <c r="C1105" s="1" t="str">
        <f ca="1">IFERROR(__xludf.DUMMYFUNCTION("GOOGLETRANSLATE('대전도시공사_청년임대주택 현황_20240630'!C1105,""ko"",""en"")"),"1")</f>
        <v>1</v>
      </c>
      <c r="D1105" s="1" t="str">
        <f ca="1">IFERROR(__xludf.DUMMYFUNCTION("GOOGLETRANSLATE('대전도시공사_청년임대주택 현황_20240630'!D1105,""ko"",""en"")"),"415")</f>
        <v>415</v>
      </c>
      <c r="E1105" s="1" t="str">
        <f ca="1">IFERROR(__xludf.DUMMYFUNCTION("GOOGLETRANSLATE('대전도시공사_청년임대주택 현황_20240630'!E1105,""ko"",""en"")"),"35.683")</f>
        <v>35.683</v>
      </c>
      <c r="F1105" s="1" t="str">
        <f ca="1">IFERROR(__xludf.DUMMYFUNCTION("GOOGLETRANSLATE('대전도시공사_청년임대주택 현황_20240630'!F1105,""ko"",""en"")"),"17.822")</f>
        <v>17.822</v>
      </c>
      <c r="G1105" s="1" t="str">
        <f ca="1">IFERROR(__xludf.DUMMYFUNCTION("GOOGLETRANSLATE('대전도시공사_청년임대주택 현황_20240630'!G1105,""ko"",""en"")"),"17.861")</f>
        <v>17.861</v>
      </c>
      <c r="H1105" s="1" t="str">
        <f ca="1">IFERROR(__xludf.DUMMYFUNCTION("GOOGLETRANSLATE('대전도시공사_청년임대주택 현황_20240630'!H1105,""ko"",""en"")"),"3rd place for youth rental")</f>
        <v>3rd place for youth rental</v>
      </c>
      <c r="I1105" s="1" t="str">
        <f ca="1">IFERROR(__xludf.DUMMYFUNCTION("GOOGLETRANSLATE('대전도시공사_청년임대주택 현황_20240630'!I1105,""ko"",""en"")"),"2000000")</f>
        <v>2000000</v>
      </c>
      <c r="J1105" s="1" t="str">
        <f ca="1">IFERROR(__xludf.DUMMYFUNCTION("GOOGLETRANSLATE('대전도시공사_청년임대주택 현황_20240630'!J1105,""ko"",""en"")"),"246600")</f>
        <v>246600</v>
      </c>
    </row>
    <row r="1106" spans="1:10" ht="12.5" x14ac:dyDescent="0.25">
      <c r="A1106" s="1" t="str">
        <f ca="1">IFERROR(__xludf.DUMMYFUNCTION("GOOGLETRANSLATE('대전도시공사_청년임대주택 현황_20240630'!A1106,""ko"",""en"")"),"Gungdong-ro 71 (City Palace, Youth Rental)")</f>
        <v>Gungdong-ro 71 (City Palace, Youth Rental)</v>
      </c>
      <c r="B1106" s="1" t="str">
        <f ca="1">IFERROR(__xludf.DUMMYFUNCTION("GOOGLETRANSLATE('대전도시공사_청년임대주택 현황_20240630'!B1106,""ko"",""en"")"),"130")</f>
        <v>130</v>
      </c>
      <c r="C1106" s="1" t="str">
        <f ca="1">IFERROR(__xludf.DUMMYFUNCTION("GOOGLETRANSLATE('대전도시공사_청년임대주택 현황_20240630'!C1106,""ko"",""en"")"),"1")</f>
        <v>1</v>
      </c>
      <c r="D1106" s="1" t="str">
        <f ca="1">IFERROR(__xludf.DUMMYFUNCTION("GOOGLETRANSLATE('대전도시공사_청년임대주택 현황_20240630'!D1106,""ko"",""en"")"),"416")</f>
        <v>416</v>
      </c>
      <c r="E1106" s="1" t="str">
        <f ca="1">IFERROR(__xludf.DUMMYFUNCTION("GOOGLETRANSLATE('대전도시공사_청년임대주택 현황_20240630'!E1106,""ko"",""en"")"),"35.683")</f>
        <v>35.683</v>
      </c>
      <c r="F1106" s="1" t="str">
        <f ca="1">IFERROR(__xludf.DUMMYFUNCTION("GOOGLETRANSLATE('대전도시공사_청년임대주택 현황_20240630'!F1106,""ko"",""en"")"),"17.822")</f>
        <v>17.822</v>
      </c>
      <c r="G1106" s="1" t="str">
        <f ca="1">IFERROR(__xludf.DUMMYFUNCTION("GOOGLETRANSLATE('대전도시공사_청년임대주택 현황_20240630'!G1106,""ko"",""en"")"),"17.861")</f>
        <v>17.861</v>
      </c>
      <c r="H1106" s="1" t="str">
        <f ca="1">IFERROR(__xludf.DUMMYFUNCTION("GOOGLETRANSLATE('대전도시공사_청년임대주택 현황_20240630'!H1106,""ko"",""en"")"),"Beneficiary")</f>
        <v>Beneficiary</v>
      </c>
      <c r="I1106" s="1" t="str">
        <f ca="1">IFERROR(__xludf.DUMMYFUNCTION("GOOGLETRANSLATE('대전도시공사_청년임대주택 현황_20240630'!I1106,""ko"",""en"")"),"1000000")</f>
        <v>1000000</v>
      </c>
      <c r="J1106" s="1" t="str">
        <f ca="1">IFERROR(__xludf.DUMMYFUNCTION("GOOGLETRANSLATE('대전도시공사_청년임대주택 현황_20240630'!J1106,""ko"",""en"")"),"200600")</f>
        <v>200600</v>
      </c>
    </row>
    <row r="1107" spans="1:10" ht="12.5" x14ac:dyDescent="0.25">
      <c r="A1107" s="1" t="str">
        <f ca="1">IFERROR(__xludf.DUMMYFUNCTION("GOOGLETRANSLATE('대전도시공사_청년임대주택 현황_20240630'!A1107,""ko"",""en"")"),"Gungdong-ro 71 (City Palace, Youth Rental)")</f>
        <v>Gungdong-ro 71 (City Palace, Youth Rental)</v>
      </c>
      <c r="B1107" s="1" t="str">
        <f ca="1">IFERROR(__xludf.DUMMYFUNCTION("GOOGLETRANSLATE('대전도시공사_청년임대주택 현황_20240630'!B1107,""ko"",""en"")"),"131")</f>
        <v>131</v>
      </c>
      <c r="C1107" s="1" t="str">
        <f ca="1">IFERROR(__xludf.DUMMYFUNCTION("GOOGLETRANSLATE('대전도시공사_청년임대주택 현황_20240630'!C1107,""ko"",""en"")"),"1")</f>
        <v>1</v>
      </c>
      <c r="D1107" s="1" t="str">
        <f ca="1">IFERROR(__xludf.DUMMYFUNCTION("GOOGLETRANSLATE('대전도시공사_청년임대주택 현황_20240630'!D1107,""ko"",""en"")"),"416")</f>
        <v>416</v>
      </c>
      <c r="E1107" s="1" t="str">
        <f ca="1">IFERROR(__xludf.DUMMYFUNCTION("GOOGLETRANSLATE('대전도시공사_청년임대주택 현황_20240630'!E1107,""ko"",""en"")"),"35.683")</f>
        <v>35.683</v>
      </c>
      <c r="F1107" s="1" t="str">
        <f ca="1">IFERROR(__xludf.DUMMYFUNCTION("GOOGLETRANSLATE('대전도시공사_청년임대주택 현황_20240630'!F1107,""ko"",""en"")"),"17.822")</f>
        <v>17.822</v>
      </c>
      <c r="G1107" s="1" t="str">
        <f ca="1">IFERROR(__xludf.DUMMYFUNCTION("GOOGLETRANSLATE('대전도시공사_청년임대주택 현황_20240630'!G1107,""ko"",""en"")"),"17.861")</f>
        <v>17.861</v>
      </c>
      <c r="H1107" s="1" t="str">
        <f ca="1">IFERROR(__xludf.DUMMYFUNCTION("GOOGLETRANSLATE('대전도시공사_청년임대주택 현황_20240630'!H1107,""ko"",""en"")"),"Youth Rental 2nd Place")</f>
        <v>Youth Rental 2nd Place</v>
      </c>
      <c r="I1107" s="1" t="str">
        <f ca="1">IFERROR(__xludf.DUMMYFUNCTION("GOOGLETRANSLATE('대전도시공사_청년임대주택 현황_20240630'!I1107,""ko"",""en"")"),"2000000")</f>
        <v>2000000</v>
      </c>
      <c r="J1107" s="1" t="str">
        <f ca="1">IFERROR(__xludf.DUMMYFUNCTION("GOOGLETRANSLATE('대전도시공사_청년임대주택 현황_20240630'!J1107,""ko"",""en"")"),"246600")</f>
        <v>246600</v>
      </c>
    </row>
    <row r="1108" spans="1:10" ht="12.5" x14ac:dyDescent="0.25">
      <c r="A1108" s="1" t="str">
        <f ca="1">IFERROR(__xludf.DUMMYFUNCTION("GOOGLETRANSLATE('대전도시공사_청년임대주택 현황_20240630'!A1108,""ko"",""en"")"),"Gungdong-ro 71 (City Palace, Youth Rental)")</f>
        <v>Gungdong-ro 71 (City Palace, Youth Rental)</v>
      </c>
      <c r="B1108" s="1" t="str">
        <f ca="1">IFERROR(__xludf.DUMMYFUNCTION("GOOGLETRANSLATE('대전도시공사_청년임대주택 현황_20240630'!B1108,""ko"",""en"")"),"132")</f>
        <v>132</v>
      </c>
      <c r="C1108" s="1" t="str">
        <f ca="1">IFERROR(__xludf.DUMMYFUNCTION("GOOGLETRANSLATE('대전도시공사_청년임대주택 현황_20240630'!C1108,""ko"",""en"")"),"1")</f>
        <v>1</v>
      </c>
      <c r="D1108" s="1" t="str">
        <f ca="1">IFERROR(__xludf.DUMMYFUNCTION("GOOGLETRANSLATE('대전도시공사_청년임대주택 현황_20240630'!D1108,""ko"",""en"")"),"416")</f>
        <v>416</v>
      </c>
      <c r="E1108" s="1" t="str">
        <f ca="1">IFERROR(__xludf.DUMMYFUNCTION("GOOGLETRANSLATE('대전도시공사_청년임대주택 현황_20240630'!E1108,""ko"",""en"")"),"35.683")</f>
        <v>35.683</v>
      </c>
      <c r="F1108" s="1" t="str">
        <f ca="1">IFERROR(__xludf.DUMMYFUNCTION("GOOGLETRANSLATE('대전도시공사_청년임대주택 현황_20240630'!F1108,""ko"",""en"")"),"17.822")</f>
        <v>17.822</v>
      </c>
      <c r="G1108" s="1" t="str">
        <f ca="1">IFERROR(__xludf.DUMMYFUNCTION("GOOGLETRANSLATE('대전도시공사_청년임대주택 현황_20240630'!G1108,""ko"",""en"")"),"17.861")</f>
        <v>17.861</v>
      </c>
      <c r="H1108" s="1" t="str">
        <f ca="1">IFERROR(__xludf.DUMMYFUNCTION("GOOGLETRANSLATE('대전도시공사_청년임대주택 현황_20240630'!H1108,""ko"",""en"")"),"3rd place for youth rental")</f>
        <v>3rd place for youth rental</v>
      </c>
      <c r="I1108" s="1" t="str">
        <f ca="1">IFERROR(__xludf.DUMMYFUNCTION("GOOGLETRANSLATE('대전도시공사_청년임대주택 현황_20240630'!I1108,""ko"",""en"")"),"2000000")</f>
        <v>2000000</v>
      </c>
      <c r="J1108" s="1" t="str">
        <f ca="1">IFERROR(__xludf.DUMMYFUNCTION("GOOGLETRANSLATE('대전도시공사_청년임대주택 현황_20240630'!J1108,""ko"",""en"")"),"246600")</f>
        <v>246600</v>
      </c>
    </row>
    <row r="1109" spans="1:10" ht="12.5" x14ac:dyDescent="0.25">
      <c r="A1109" s="1" t="str">
        <f ca="1">IFERROR(__xludf.DUMMYFUNCTION("GOOGLETRANSLATE('대전도시공사_청년임대주택 현황_20240630'!A1109,""ko"",""en"")"),"Gungdong-ro 71 (City Palace, Youth Rental)")</f>
        <v>Gungdong-ro 71 (City Palace, Youth Rental)</v>
      </c>
      <c r="B1109" s="1" t="str">
        <f ca="1">IFERROR(__xludf.DUMMYFUNCTION("GOOGLETRANSLATE('대전도시공사_청년임대주택 현황_20240630'!B1109,""ko"",""en"")"),"133")</f>
        <v>133</v>
      </c>
      <c r="C1109" s="1" t="str">
        <f ca="1">IFERROR(__xludf.DUMMYFUNCTION("GOOGLETRANSLATE('대전도시공사_청년임대주택 현황_20240630'!C1109,""ko"",""en"")"),"1")</f>
        <v>1</v>
      </c>
      <c r="D1109" s="1" t="str">
        <f ca="1">IFERROR(__xludf.DUMMYFUNCTION("GOOGLETRANSLATE('대전도시공사_청년임대주택 현황_20240630'!D1109,""ko"",""en"")"),"417")</f>
        <v>417</v>
      </c>
      <c r="E1109" s="1" t="str">
        <f ca="1">IFERROR(__xludf.DUMMYFUNCTION("GOOGLETRANSLATE('대전도시공사_청년임대주택 현황_20240630'!E1109,""ko"",""en"")"),"35.683")</f>
        <v>35.683</v>
      </c>
      <c r="F1109" s="1" t="str">
        <f ca="1">IFERROR(__xludf.DUMMYFUNCTION("GOOGLETRANSLATE('대전도시공사_청년임대주택 현황_20240630'!F1109,""ko"",""en"")"),"17.822")</f>
        <v>17.822</v>
      </c>
      <c r="G1109" s="1" t="str">
        <f ca="1">IFERROR(__xludf.DUMMYFUNCTION("GOOGLETRANSLATE('대전도시공사_청년임대주택 현황_20240630'!G1109,""ko"",""en"")"),"17.861")</f>
        <v>17.861</v>
      </c>
      <c r="H1109" s="1" t="str">
        <f ca="1">IFERROR(__xludf.DUMMYFUNCTION("GOOGLETRANSLATE('대전도시공사_청년임대주택 현황_20240630'!H1109,""ko"",""en"")"),"Beneficiary")</f>
        <v>Beneficiary</v>
      </c>
      <c r="I1109" s="1" t="str">
        <f ca="1">IFERROR(__xludf.DUMMYFUNCTION("GOOGLETRANSLATE('대전도시공사_청년임대주택 현황_20240630'!I1109,""ko"",""en"")"),"1000000")</f>
        <v>1000000</v>
      </c>
      <c r="J1109" s="1" t="str">
        <f ca="1">IFERROR(__xludf.DUMMYFUNCTION("GOOGLETRANSLATE('대전도시공사_청년임대주택 현황_20240630'!J1109,""ko"",""en"")"),"200600")</f>
        <v>200600</v>
      </c>
    </row>
    <row r="1110" spans="1:10" ht="12.5" x14ac:dyDescent="0.25">
      <c r="A1110" s="1" t="str">
        <f ca="1">IFERROR(__xludf.DUMMYFUNCTION("GOOGLETRANSLATE('대전도시공사_청년임대주택 현황_20240630'!A1110,""ko"",""en"")"),"Gungdong-ro 71 (City Palace, Youth Rental)")</f>
        <v>Gungdong-ro 71 (City Palace, Youth Rental)</v>
      </c>
      <c r="B1110" s="1" t="str">
        <f ca="1">IFERROR(__xludf.DUMMYFUNCTION("GOOGLETRANSLATE('대전도시공사_청년임대주택 현황_20240630'!B1110,""ko"",""en"")"),"134")</f>
        <v>134</v>
      </c>
      <c r="C1110" s="1" t="str">
        <f ca="1">IFERROR(__xludf.DUMMYFUNCTION("GOOGLETRANSLATE('대전도시공사_청년임대주택 현황_20240630'!C1110,""ko"",""en"")"),"1")</f>
        <v>1</v>
      </c>
      <c r="D1110" s="1" t="str">
        <f ca="1">IFERROR(__xludf.DUMMYFUNCTION("GOOGLETRANSLATE('대전도시공사_청년임대주택 현황_20240630'!D1110,""ko"",""en"")"),"417")</f>
        <v>417</v>
      </c>
      <c r="E1110" s="1" t="str">
        <f ca="1">IFERROR(__xludf.DUMMYFUNCTION("GOOGLETRANSLATE('대전도시공사_청년임대주택 현황_20240630'!E1110,""ko"",""en"")"),"35.683")</f>
        <v>35.683</v>
      </c>
      <c r="F1110" s="1" t="str">
        <f ca="1">IFERROR(__xludf.DUMMYFUNCTION("GOOGLETRANSLATE('대전도시공사_청년임대주택 현황_20240630'!F1110,""ko"",""en"")"),"17.822")</f>
        <v>17.822</v>
      </c>
      <c r="G1110" s="1" t="str">
        <f ca="1">IFERROR(__xludf.DUMMYFUNCTION("GOOGLETRANSLATE('대전도시공사_청년임대주택 현황_20240630'!G1110,""ko"",""en"")"),"17.861")</f>
        <v>17.861</v>
      </c>
      <c r="H1110" s="1" t="str">
        <f ca="1">IFERROR(__xludf.DUMMYFUNCTION("GOOGLETRANSLATE('대전도시공사_청년임대주택 현황_20240630'!H1110,""ko"",""en"")"),"Youth Rental 2nd Place")</f>
        <v>Youth Rental 2nd Place</v>
      </c>
      <c r="I1110" s="1" t="str">
        <f ca="1">IFERROR(__xludf.DUMMYFUNCTION("GOOGLETRANSLATE('대전도시공사_청년임대주택 현황_20240630'!I1110,""ko"",""en"")"),"2000000")</f>
        <v>2000000</v>
      </c>
      <c r="J1110" s="1" t="str">
        <f ca="1">IFERROR(__xludf.DUMMYFUNCTION("GOOGLETRANSLATE('대전도시공사_청년임대주택 현황_20240630'!J1110,""ko"",""en"")"),"246600")</f>
        <v>246600</v>
      </c>
    </row>
    <row r="1111" spans="1:10" ht="12.5" x14ac:dyDescent="0.25">
      <c r="A1111" s="1" t="str">
        <f ca="1">IFERROR(__xludf.DUMMYFUNCTION("GOOGLETRANSLATE('대전도시공사_청년임대주택 현황_20240630'!A1111,""ko"",""en"")"),"Gungdong-ro 71 (City Palace, Youth Rental)")</f>
        <v>Gungdong-ro 71 (City Palace, Youth Rental)</v>
      </c>
      <c r="B1111" s="1" t="str">
        <f ca="1">IFERROR(__xludf.DUMMYFUNCTION("GOOGLETRANSLATE('대전도시공사_청년임대주택 현황_20240630'!B1111,""ko"",""en"")"),"135")</f>
        <v>135</v>
      </c>
      <c r="C1111" s="1" t="str">
        <f ca="1">IFERROR(__xludf.DUMMYFUNCTION("GOOGLETRANSLATE('대전도시공사_청년임대주택 현황_20240630'!C1111,""ko"",""en"")"),"1")</f>
        <v>1</v>
      </c>
      <c r="D1111" s="1" t="str">
        <f ca="1">IFERROR(__xludf.DUMMYFUNCTION("GOOGLETRANSLATE('대전도시공사_청년임대주택 현황_20240630'!D1111,""ko"",""en"")"),"417")</f>
        <v>417</v>
      </c>
      <c r="E1111" s="1" t="str">
        <f ca="1">IFERROR(__xludf.DUMMYFUNCTION("GOOGLETRANSLATE('대전도시공사_청년임대주택 현황_20240630'!E1111,""ko"",""en"")"),"35.683")</f>
        <v>35.683</v>
      </c>
      <c r="F1111" s="1" t="str">
        <f ca="1">IFERROR(__xludf.DUMMYFUNCTION("GOOGLETRANSLATE('대전도시공사_청년임대주택 현황_20240630'!F1111,""ko"",""en"")"),"17.822")</f>
        <v>17.822</v>
      </c>
      <c r="G1111" s="1" t="str">
        <f ca="1">IFERROR(__xludf.DUMMYFUNCTION("GOOGLETRANSLATE('대전도시공사_청년임대주택 현황_20240630'!G1111,""ko"",""en"")"),"17.861")</f>
        <v>17.861</v>
      </c>
      <c r="H1111" s="1" t="str">
        <f ca="1">IFERROR(__xludf.DUMMYFUNCTION("GOOGLETRANSLATE('대전도시공사_청년임대주택 현황_20240630'!H1111,""ko"",""en"")"),"3rd place for youth rental")</f>
        <v>3rd place for youth rental</v>
      </c>
      <c r="I1111" s="1" t="str">
        <f ca="1">IFERROR(__xludf.DUMMYFUNCTION("GOOGLETRANSLATE('대전도시공사_청년임대주택 현황_20240630'!I1111,""ko"",""en"")"),"2000000")</f>
        <v>2000000</v>
      </c>
      <c r="J1111" s="1" t="str">
        <f ca="1">IFERROR(__xludf.DUMMYFUNCTION("GOOGLETRANSLATE('대전도시공사_청년임대주택 현황_20240630'!J1111,""ko"",""en"")"),"246600")</f>
        <v>246600</v>
      </c>
    </row>
    <row r="1112" spans="1:10" ht="12.5" x14ac:dyDescent="0.25">
      <c r="A1112" s="1" t="str">
        <f ca="1">IFERROR(__xludf.DUMMYFUNCTION("GOOGLETRANSLATE('대전도시공사_청년임대주택 현황_20240630'!A1112,""ko"",""en"")"),"Gungdong-ro 71 (City Palace, Youth Rental)")</f>
        <v>Gungdong-ro 71 (City Palace, Youth Rental)</v>
      </c>
      <c r="B1112" s="1" t="str">
        <f ca="1">IFERROR(__xludf.DUMMYFUNCTION("GOOGLETRANSLATE('대전도시공사_청년임대주택 현황_20240630'!B1112,""ko"",""en"")"),"136")</f>
        <v>136</v>
      </c>
      <c r="C1112" s="1" t="str">
        <f ca="1">IFERROR(__xludf.DUMMYFUNCTION("GOOGLETRANSLATE('대전도시공사_청년임대주택 현황_20240630'!C1112,""ko"",""en"")"),"1")</f>
        <v>1</v>
      </c>
      <c r="D1112" s="1" t="str">
        <f ca="1">IFERROR(__xludf.DUMMYFUNCTION("GOOGLETRANSLATE('대전도시공사_청년임대주택 현황_20240630'!D1112,""ko"",""en"")"),"418")</f>
        <v>418</v>
      </c>
      <c r="E1112" s="1" t="str">
        <f ca="1">IFERROR(__xludf.DUMMYFUNCTION("GOOGLETRANSLATE('대전도시공사_청년임대주택 현황_20240630'!E1112,""ko"",""en"")"),"37.502")</f>
        <v>37.502</v>
      </c>
      <c r="F1112" s="1" t="str">
        <f ca="1">IFERROR(__xludf.DUMMYFUNCTION("GOOGLETRANSLATE('대전도시공사_청년임대주택 현황_20240630'!F1112,""ko"",""en"")"),"18.671")</f>
        <v>18.671</v>
      </c>
      <c r="G1112" s="1" t="str">
        <f ca="1">IFERROR(__xludf.DUMMYFUNCTION("GOOGLETRANSLATE('대전도시공사_청년임대주택 현황_20240630'!G1112,""ko"",""en"")"),"18.633")</f>
        <v>18.633</v>
      </c>
      <c r="H1112" s="1" t="str">
        <f ca="1">IFERROR(__xludf.DUMMYFUNCTION("GOOGLETRANSLATE('대전도시공사_청년임대주택 현황_20240630'!H1112,""ko"",""en"")"),"Beneficiary")</f>
        <v>Beneficiary</v>
      </c>
      <c r="I1112" s="1" t="str">
        <f ca="1">IFERROR(__xludf.DUMMYFUNCTION("GOOGLETRANSLATE('대전도시공사_청년임대주택 현황_20240630'!I1112,""ko"",""en"")"),"1000000")</f>
        <v>1000000</v>
      </c>
      <c r="J1112" s="1" t="str">
        <f ca="1">IFERROR(__xludf.DUMMYFUNCTION("GOOGLETRANSLATE('대전도시공사_청년임대주택 현황_20240630'!J1112,""ko"",""en"")"),"212700")</f>
        <v>212700</v>
      </c>
    </row>
    <row r="1113" spans="1:10" ht="12.5" x14ac:dyDescent="0.25">
      <c r="A1113" s="1" t="str">
        <f ca="1">IFERROR(__xludf.DUMMYFUNCTION("GOOGLETRANSLATE('대전도시공사_청년임대주택 현황_20240630'!A1113,""ko"",""en"")"),"Gungdong-ro 71 (City Palace, Youth Rental)")</f>
        <v>Gungdong-ro 71 (City Palace, Youth Rental)</v>
      </c>
      <c r="B1113" s="1" t="str">
        <f ca="1">IFERROR(__xludf.DUMMYFUNCTION("GOOGLETRANSLATE('대전도시공사_청년임대주택 현황_20240630'!B1113,""ko"",""en"")"),"137")</f>
        <v>137</v>
      </c>
      <c r="C1113" s="1" t="str">
        <f ca="1">IFERROR(__xludf.DUMMYFUNCTION("GOOGLETRANSLATE('대전도시공사_청년임대주택 현황_20240630'!C1113,""ko"",""en"")"),"1")</f>
        <v>1</v>
      </c>
      <c r="D1113" s="1" t="str">
        <f ca="1">IFERROR(__xludf.DUMMYFUNCTION("GOOGLETRANSLATE('대전도시공사_청년임대주택 현황_20240630'!D1113,""ko"",""en"")"),"418")</f>
        <v>418</v>
      </c>
      <c r="E1113" s="1" t="str">
        <f ca="1">IFERROR(__xludf.DUMMYFUNCTION("GOOGLETRANSLATE('대전도시공사_청년임대주택 현황_20240630'!E1113,""ko"",""en"")"),"37.502")</f>
        <v>37.502</v>
      </c>
      <c r="F1113" s="1" t="str">
        <f ca="1">IFERROR(__xludf.DUMMYFUNCTION("GOOGLETRANSLATE('대전도시공사_청년임대주택 현황_20240630'!F1113,""ko"",""en"")"),"18.671")</f>
        <v>18.671</v>
      </c>
      <c r="G1113" s="1" t="str">
        <f ca="1">IFERROR(__xludf.DUMMYFUNCTION("GOOGLETRANSLATE('대전도시공사_청년임대주택 현황_20240630'!G1113,""ko"",""en"")"),"18.633")</f>
        <v>18.633</v>
      </c>
      <c r="H1113" s="1" t="str">
        <f ca="1">IFERROR(__xludf.DUMMYFUNCTION("GOOGLETRANSLATE('대전도시공사_청년임대주택 현황_20240630'!H1113,""ko"",""en"")"),"Youth Rental 2nd Place")</f>
        <v>Youth Rental 2nd Place</v>
      </c>
      <c r="I1113" s="1" t="str">
        <f ca="1">IFERROR(__xludf.DUMMYFUNCTION("GOOGLETRANSLATE('대전도시공사_청년임대주택 현황_20240630'!I1113,""ko"",""en"")"),"2000000")</f>
        <v>2000000</v>
      </c>
      <c r="J1113" s="1" t="str">
        <f ca="1">IFERROR(__xludf.DUMMYFUNCTION("GOOGLETRANSLATE('대전도시공사_청년임대주택 현황_20240630'!J1113,""ko"",""en"")"),"261800")</f>
        <v>261800</v>
      </c>
    </row>
    <row r="1114" spans="1:10" ht="12.5" x14ac:dyDescent="0.25">
      <c r="A1114" s="1" t="str">
        <f ca="1">IFERROR(__xludf.DUMMYFUNCTION("GOOGLETRANSLATE('대전도시공사_청년임대주택 현황_20240630'!A1114,""ko"",""en"")"),"Gungdong-ro 71 (City Palace, Youth Rental)")</f>
        <v>Gungdong-ro 71 (City Palace, Youth Rental)</v>
      </c>
      <c r="B1114" s="1" t="str">
        <f ca="1">IFERROR(__xludf.DUMMYFUNCTION("GOOGLETRANSLATE('대전도시공사_청년임대주택 현황_20240630'!B1114,""ko"",""en"")"),"138")</f>
        <v>138</v>
      </c>
      <c r="C1114" s="1" t="str">
        <f ca="1">IFERROR(__xludf.DUMMYFUNCTION("GOOGLETRANSLATE('대전도시공사_청년임대주택 현황_20240630'!C1114,""ko"",""en"")"),"1")</f>
        <v>1</v>
      </c>
      <c r="D1114" s="1" t="str">
        <f ca="1">IFERROR(__xludf.DUMMYFUNCTION("GOOGLETRANSLATE('대전도시공사_청년임대주택 현황_20240630'!D1114,""ko"",""en"")"),"418")</f>
        <v>418</v>
      </c>
      <c r="E1114" s="1" t="str">
        <f ca="1">IFERROR(__xludf.DUMMYFUNCTION("GOOGLETRANSLATE('대전도시공사_청년임대주택 현황_20240630'!E1114,""ko"",""en"")"),"37.502")</f>
        <v>37.502</v>
      </c>
      <c r="F1114" s="1" t="str">
        <f ca="1">IFERROR(__xludf.DUMMYFUNCTION("GOOGLETRANSLATE('대전도시공사_청년임대주택 현황_20240630'!F1114,""ko"",""en"")"),"18.671")</f>
        <v>18.671</v>
      </c>
      <c r="G1114" s="1" t="str">
        <f ca="1">IFERROR(__xludf.DUMMYFUNCTION("GOOGLETRANSLATE('대전도시공사_청년임대주택 현황_20240630'!G1114,""ko"",""en"")"),"18.633")</f>
        <v>18.633</v>
      </c>
      <c r="H1114" s="1" t="str">
        <f ca="1">IFERROR(__xludf.DUMMYFUNCTION("GOOGLETRANSLATE('대전도시공사_청년임대주택 현황_20240630'!H1114,""ko"",""en"")"),"3rd place for youth rental")</f>
        <v>3rd place for youth rental</v>
      </c>
      <c r="I1114" s="1" t="str">
        <f ca="1">IFERROR(__xludf.DUMMYFUNCTION("GOOGLETRANSLATE('대전도시공사_청년임대주택 현황_20240630'!I1114,""ko"",""en"")"),"2000000")</f>
        <v>2000000</v>
      </c>
      <c r="J1114" s="1" t="str">
        <f ca="1">IFERROR(__xludf.DUMMYFUNCTION("GOOGLETRANSLATE('대전도시공사_청년임대주택 현황_20240630'!J1114,""ko"",""en"")"),"261800")</f>
        <v>261800</v>
      </c>
    </row>
    <row r="1115" spans="1:10" ht="12.5" x14ac:dyDescent="0.25">
      <c r="A1115" s="1" t="str">
        <f ca="1">IFERROR(__xludf.DUMMYFUNCTION("GOOGLETRANSLATE('대전도시공사_청년임대주택 현황_20240630'!A1115,""ko"",""en"")"),"Gungdong-ro 71 (City Palace, Youth Rental)")</f>
        <v>Gungdong-ro 71 (City Palace, Youth Rental)</v>
      </c>
      <c r="B1115" s="1" t="str">
        <f ca="1">IFERROR(__xludf.DUMMYFUNCTION("GOOGLETRANSLATE('대전도시공사_청년임대주택 현황_20240630'!B1115,""ko"",""en"")"),"139")</f>
        <v>139</v>
      </c>
      <c r="C1115" s="1" t="str">
        <f ca="1">IFERROR(__xludf.DUMMYFUNCTION("GOOGLETRANSLATE('대전도시공사_청년임대주택 현황_20240630'!C1115,""ko"",""en"")"),"1")</f>
        <v>1</v>
      </c>
      <c r="D1115" s="1" t="str">
        <f ca="1">IFERROR(__xludf.DUMMYFUNCTION("GOOGLETRANSLATE('대전도시공사_청년임대주택 현황_20240630'!D1115,""ko"",""en"")"),"419")</f>
        <v>419</v>
      </c>
      <c r="E1115" s="1" t="str">
        <f ca="1">IFERROR(__xludf.DUMMYFUNCTION("GOOGLETRANSLATE('대전도시공사_청년임대주택 현황_20240630'!E1115,""ko"",""en"")"),"37.716")</f>
        <v>37.716</v>
      </c>
      <c r="F1115" s="1" t="str">
        <f ca="1">IFERROR(__xludf.DUMMYFUNCTION("GOOGLETRANSLATE('대전도시공사_청년임대주택 현황_20240630'!F1115,""ko"",""en"")"),"19.349")</f>
        <v>19.349</v>
      </c>
      <c r="G1115" s="1" t="str">
        <f ca="1">IFERROR(__xludf.DUMMYFUNCTION("GOOGLETRANSLATE('대전도시공사_청년임대주택 현황_20240630'!G1115,""ko"",""en"")"),"19.367")</f>
        <v>19.367</v>
      </c>
      <c r="H1115" s="1" t="str">
        <f ca="1">IFERROR(__xludf.DUMMYFUNCTION("GOOGLETRANSLATE('대전도시공사_청년임대주택 현황_20240630'!H1115,""ko"",""en"")"),"Beneficiary")</f>
        <v>Beneficiary</v>
      </c>
      <c r="I1115" s="1" t="str">
        <f ca="1">IFERROR(__xludf.DUMMYFUNCTION("GOOGLETRANSLATE('대전도시공사_청년임대주택 현황_20240630'!I1115,""ko"",""en"")"),"1000000")</f>
        <v>1000000</v>
      </c>
      <c r="J1115" s="1" t="str">
        <f ca="1">IFERROR(__xludf.DUMMYFUNCTION("GOOGLETRANSLATE('대전도시공사_청년임대주택 현황_20240630'!J1115,""ko"",""en"")"),"220700")</f>
        <v>220700</v>
      </c>
    </row>
    <row r="1116" spans="1:10" ht="12.5" x14ac:dyDescent="0.25">
      <c r="A1116" s="1" t="str">
        <f ca="1">IFERROR(__xludf.DUMMYFUNCTION("GOOGLETRANSLATE('대전도시공사_청년임대주택 현황_20240630'!A1116,""ko"",""en"")"),"Gungdong-ro 71 (City Palace, Youth Rental)")</f>
        <v>Gungdong-ro 71 (City Palace, Youth Rental)</v>
      </c>
      <c r="B1116" s="1" t="str">
        <f ca="1">IFERROR(__xludf.DUMMYFUNCTION("GOOGLETRANSLATE('대전도시공사_청년임대주택 현황_20240630'!B1116,""ko"",""en"")"),"140")</f>
        <v>140</v>
      </c>
      <c r="C1116" s="1" t="str">
        <f ca="1">IFERROR(__xludf.DUMMYFUNCTION("GOOGLETRANSLATE('대전도시공사_청년임대주택 현황_20240630'!C1116,""ko"",""en"")"),"1")</f>
        <v>1</v>
      </c>
      <c r="D1116" s="1" t="str">
        <f ca="1">IFERROR(__xludf.DUMMYFUNCTION("GOOGLETRANSLATE('대전도시공사_청년임대주택 현황_20240630'!D1116,""ko"",""en"")"),"419")</f>
        <v>419</v>
      </c>
      <c r="E1116" s="1" t="str">
        <f ca="1">IFERROR(__xludf.DUMMYFUNCTION("GOOGLETRANSLATE('대전도시공사_청년임대주택 현황_20240630'!E1116,""ko"",""en"")"),"37.716")</f>
        <v>37.716</v>
      </c>
      <c r="F1116" s="1" t="str">
        <f ca="1">IFERROR(__xludf.DUMMYFUNCTION("GOOGLETRANSLATE('대전도시공사_청년임대주택 현황_20240630'!F1116,""ko"",""en"")"),"19.349")</f>
        <v>19.349</v>
      </c>
      <c r="G1116" s="1" t="str">
        <f ca="1">IFERROR(__xludf.DUMMYFUNCTION("GOOGLETRANSLATE('대전도시공사_청년임대주택 현황_20240630'!G1116,""ko"",""en"")"),"19.367")</f>
        <v>19.367</v>
      </c>
      <c r="H1116" s="1" t="str">
        <f ca="1">IFERROR(__xludf.DUMMYFUNCTION("GOOGLETRANSLATE('대전도시공사_청년임대주택 현황_20240630'!H1116,""ko"",""en"")"),"Youth Rental 2nd Place")</f>
        <v>Youth Rental 2nd Place</v>
      </c>
      <c r="I1116" s="1" t="str">
        <f ca="1">IFERROR(__xludf.DUMMYFUNCTION("GOOGLETRANSLATE('대전도시공사_청년임대주택 현황_20240630'!I1116,""ko"",""en"")"),"2000000")</f>
        <v>2000000</v>
      </c>
      <c r="J1116" s="1" t="str">
        <f ca="1">IFERROR(__xludf.DUMMYFUNCTION("GOOGLETRANSLATE('대전도시공사_청년임대주택 현황_20240630'!J1116,""ko"",""en"")"),"271700")</f>
        <v>271700</v>
      </c>
    </row>
    <row r="1117" spans="1:10" ht="12.5" x14ac:dyDescent="0.25">
      <c r="A1117" s="1" t="str">
        <f ca="1">IFERROR(__xludf.DUMMYFUNCTION("GOOGLETRANSLATE('대전도시공사_청년임대주택 현황_20240630'!A1117,""ko"",""en"")"),"Gungdong-ro 71 (City Palace, Youth Rental)")</f>
        <v>Gungdong-ro 71 (City Palace, Youth Rental)</v>
      </c>
      <c r="B1117" s="1" t="str">
        <f ca="1">IFERROR(__xludf.DUMMYFUNCTION("GOOGLETRANSLATE('대전도시공사_청년임대주택 현황_20240630'!B1117,""ko"",""en"")"),"141")</f>
        <v>141</v>
      </c>
      <c r="C1117" s="1" t="str">
        <f ca="1">IFERROR(__xludf.DUMMYFUNCTION("GOOGLETRANSLATE('대전도시공사_청년임대주택 현황_20240630'!C1117,""ko"",""en"")"),"1")</f>
        <v>1</v>
      </c>
      <c r="D1117" s="1" t="str">
        <f ca="1">IFERROR(__xludf.DUMMYFUNCTION("GOOGLETRANSLATE('대전도시공사_청년임대주택 현황_20240630'!D1117,""ko"",""en"")"),"419")</f>
        <v>419</v>
      </c>
      <c r="E1117" s="1" t="str">
        <f ca="1">IFERROR(__xludf.DUMMYFUNCTION("GOOGLETRANSLATE('대전도시공사_청년임대주택 현황_20240630'!E1117,""ko"",""en"")"),"37.716")</f>
        <v>37.716</v>
      </c>
      <c r="F1117" s="1" t="str">
        <f ca="1">IFERROR(__xludf.DUMMYFUNCTION("GOOGLETRANSLATE('대전도시공사_청년임대주택 현황_20240630'!F1117,""ko"",""en"")"),"19.349")</f>
        <v>19.349</v>
      </c>
      <c r="G1117" s="1" t="str">
        <f ca="1">IFERROR(__xludf.DUMMYFUNCTION("GOOGLETRANSLATE('대전도시공사_청년임대주택 현황_20240630'!G1117,""ko"",""en"")"),"19.367")</f>
        <v>19.367</v>
      </c>
      <c r="H1117" s="1" t="str">
        <f ca="1">IFERROR(__xludf.DUMMYFUNCTION("GOOGLETRANSLATE('대전도시공사_청년임대주택 현황_20240630'!H1117,""ko"",""en"")"),"3rd place for youth rental")</f>
        <v>3rd place for youth rental</v>
      </c>
      <c r="I1117" s="1" t="str">
        <f ca="1">IFERROR(__xludf.DUMMYFUNCTION("GOOGLETRANSLATE('대전도시공사_청년임대주택 현황_20240630'!I1117,""ko"",""en"")"),"2000000")</f>
        <v>2000000</v>
      </c>
      <c r="J1117" s="1" t="str">
        <f ca="1">IFERROR(__xludf.DUMMYFUNCTION("GOOGLETRANSLATE('대전도시공사_청년임대주택 현황_20240630'!J1117,""ko"",""en"")"),"271700")</f>
        <v>271700</v>
      </c>
    </row>
    <row r="1118" spans="1:10" ht="12.5" x14ac:dyDescent="0.25">
      <c r="A1118" s="1" t="str">
        <f ca="1">IFERROR(__xludf.DUMMYFUNCTION("GOOGLETRANSLATE('대전도시공사_청년임대주택 현황_20240630'!A1118,""ko"",""en"")"),"Gungdong-ro 71 (City Palace, Youth Rental)")</f>
        <v>Gungdong-ro 71 (City Palace, Youth Rental)</v>
      </c>
      <c r="B1118" s="1" t="str">
        <f ca="1">IFERROR(__xludf.DUMMYFUNCTION("GOOGLETRANSLATE('대전도시공사_청년임대주택 현황_20240630'!B1118,""ko"",""en"")"),"142")</f>
        <v>142</v>
      </c>
      <c r="C1118" s="1" t="str">
        <f ca="1">IFERROR(__xludf.DUMMYFUNCTION("GOOGLETRANSLATE('대전도시공사_청년임대주택 현황_20240630'!C1118,""ko"",""en"")"),"1")</f>
        <v>1</v>
      </c>
      <c r="D1118" s="1" t="str">
        <f ca="1">IFERROR(__xludf.DUMMYFUNCTION("GOOGLETRANSLATE('대전도시공사_청년임대주택 현황_20240630'!D1118,""ko"",""en"")"),"420")</f>
        <v>420</v>
      </c>
      <c r="E1118" s="1" t="str">
        <f ca="1">IFERROR(__xludf.DUMMYFUNCTION("GOOGLETRANSLATE('대전도시공사_청년임대주택 현황_20240630'!E1118,""ko"",""en"")"),"38.716")</f>
        <v>38.716</v>
      </c>
      <c r="F1118" s="1" t="str">
        <f ca="1">IFERROR(__xludf.DUMMYFUNCTION("GOOGLETRANSLATE('대전도시공사_청년임대주택 현황_20240630'!F1118,""ko"",""en"")"),"19.349")</f>
        <v>19.349</v>
      </c>
      <c r="G1118" s="1" t="str">
        <f ca="1">IFERROR(__xludf.DUMMYFUNCTION("GOOGLETRANSLATE('대전도시공사_청년임대주택 현황_20240630'!G1118,""ko"",""en"")"),"19.367")</f>
        <v>19.367</v>
      </c>
      <c r="H1118" s="1" t="str">
        <f ca="1">IFERROR(__xludf.DUMMYFUNCTION("GOOGLETRANSLATE('대전도시공사_청년임대주택 현황_20240630'!H1118,""ko"",""en"")"),"Beneficiary")</f>
        <v>Beneficiary</v>
      </c>
      <c r="I1118" s="1" t="str">
        <f ca="1">IFERROR(__xludf.DUMMYFUNCTION("GOOGLETRANSLATE('대전도시공사_청년임대주택 현황_20240630'!I1118,""ko"",""en"")"),"1000000")</f>
        <v>1000000</v>
      </c>
      <c r="J1118" s="1" t="str">
        <f ca="1">IFERROR(__xludf.DUMMYFUNCTION("GOOGLETRANSLATE('대전도시공사_청년임대주택 현황_20240630'!J1118,""ko"",""en"")"),"220700")</f>
        <v>220700</v>
      </c>
    </row>
    <row r="1119" spans="1:10" ht="12.5" x14ac:dyDescent="0.25">
      <c r="A1119" s="1" t="str">
        <f ca="1">IFERROR(__xludf.DUMMYFUNCTION("GOOGLETRANSLATE('대전도시공사_청년임대주택 현황_20240630'!A1119,""ko"",""en"")"),"Gungdong-ro 71 (City Palace, Youth Rental)")</f>
        <v>Gungdong-ro 71 (City Palace, Youth Rental)</v>
      </c>
      <c r="B1119" s="1" t="str">
        <f ca="1">IFERROR(__xludf.DUMMYFUNCTION("GOOGLETRANSLATE('대전도시공사_청년임대주택 현황_20240630'!B1119,""ko"",""en"")"),"143")</f>
        <v>143</v>
      </c>
      <c r="C1119" s="1" t="str">
        <f ca="1">IFERROR(__xludf.DUMMYFUNCTION("GOOGLETRANSLATE('대전도시공사_청년임대주택 현황_20240630'!C1119,""ko"",""en"")"),"1")</f>
        <v>1</v>
      </c>
      <c r="D1119" s="1" t="str">
        <f ca="1">IFERROR(__xludf.DUMMYFUNCTION("GOOGLETRANSLATE('대전도시공사_청년임대주택 현황_20240630'!D1119,""ko"",""en"")"),"420")</f>
        <v>420</v>
      </c>
      <c r="E1119" s="1" t="str">
        <f ca="1">IFERROR(__xludf.DUMMYFUNCTION("GOOGLETRANSLATE('대전도시공사_청년임대주택 현황_20240630'!E1119,""ko"",""en"")"),"38.716")</f>
        <v>38.716</v>
      </c>
      <c r="F1119" s="1" t="str">
        <f ca="1">IFERROR(__xludf.DUMMYFUNCTION("GOOGLETRANSLATE('대전도시공사_청년임대주택 현황_20240630'!F1119,""ko"",""en"")"),"19.349")</f>
        <v>19.349</v>
      </c>
      <c r="G1119" s="1" t="str">
        <f ca="1">IFERROR(__xludf.DUMMYFUNCTION("GOOGLETRANSLATE('대전도시공사_청년임대주택 현황_20240630'!G1119,""ko"",""en"")"),"19.367")</f>
        <v>19.367</v>
      </c>
      <c r="H1119" s="1" t="str">
        <f ca="1">IFERROR(__xludf.DUMMYFUNCTION("GOOGLETRANSLATE('대전도시공사_청년임대주택 현황_20240630'!H1119,""ko"",""en"")"),"Youth Rental 2nd Place")</f>
        <v>Youth Rental 2nd Place</v>
      </c>
      <c r="I1119" s="1" t="str">
        <f ca="1">IFERROR(__xludf.DUMMYFUNCTION("GOOGLETRANSLATE('대전도시공사_청년임대주택 현황_20240630'!I1119,""ko"",""en"")"),"2000000")</f>
        <v>2000000</v>
      </c>
      <c r="J1119" s="1" t="str">
        <f ca="1">IFERROR(__xludf.DUMMYFUNCTION("GOOGLETRANSLATE('대전도시공사_청년임대주택 현황_20240630'!J1119,""ko"",""en"")"),"271700")</f>
        <v>271700</v>
      </c>
    </row>
    <row r="1120" spans="1:10" ht="12.5" x14ac:dyDescent="0.25">
      <c r="A1120" s="1" t="str">
        <f ca="1">IFERROR(__xludf.DUMMYFUNCTION("GOOGLETRANSLATE('대전도시공사_청년임대주택 현황_20240630'!A1120,""ko"",""en"")"),"Gungdong-ro 71 (City Palace, Youth Rental)")</f>
        <v>Gungdong-ro 71 (City Palace, Youth Rental)</v>
      </c>
      <c r="B1120" s="1" t="str">
        <f ca="1">IFERROR(__xludf.DUMMYFUNCTION("GOOGLETRANSLATE('대전도시공사_청년임대주택 현황_20240630'!B1120,""ko"",""en"")"),"144")</f>
        <v>144</v>
      </c>
      <c r="C1120" s="1" t="str">
        <f ca="1">IFERROR(__xludf.DUMMYFUNCTION("GOOGLETRANSLATE('대전도시공사_청년임대주택 현황_20240630'!C1120,""ko"",""en"")"),"1")</f>
        <v>1</v>
      </c>
      <c r="D1120" s="1" t="str">
        <f ca="1">IFERROR(__xludf.DUMMYFUNCTION("GOOGLETRANSLATE('대전도시공사_청년임대주택 현황_20240630'!D1120,""ko"",""en"")"),"420")</f>
        <v>420</v>
      </c>
      <c r="E1120" s="1" t="str">
        <f ca="1">IFERROR(__xludf.DUMMYFUNCTION("GOOGLETRANSLATE('대전도시공사_청년임대주택 현황_20240630'!E1120,""ko"",""en"")"),"38.716")</f>
        <v>38.716</v>
      </c>
      <c r="F1120" s="1" t="str">
        <f ca="1">IFERROR(__xludf.DUMMYFUNCTION("GOOGLETRANSLATE('대전도시공사_청년임대주택 현황_20240630'!F1120,""ko"",""en"")"),"19.349")</f>
        <v>19.349</v>
      </c>
      <c r="G1120" s="1" t="str">
        <f ca="1">IFERROR(__xludf.DUMMYFUNCTION("GOOGLETRANSLATE('대전도시공사_청년임대주택 현황_20240630'!G1120,""ko"",""en"")"),"19.367")</f>
        <v>19.367</v>
      </c>
      <c r="H1120" s="1" t="str">
        <f ca="1">IFERROR(__xludf.DUMMYFUNCTION("GOOGLETRANSLATE('대전도시공사_청년임대주택 현황_20240630'!H1120,""ko"",""en"")"),"3rd place for youth rental")</f>
        <v>3rd place for youth rental</v>
      </c>
      <c r="I1120" s="1" t="str">
        <f ca="1">IFERROR(__xludf.DUMMYFUNCTION("GOOGLETRANSLATE('대전도시공사_청년임대주택 현황_20240630'!I1120,""ko"",""en"")"),"2000000")</f>
        <v>2000000</v>
      </c>
      <c r="J1120" s="1" t="str">
        <f ca="1">IFERROR(__xludf.DUMMYFUNCTION("GOOGLETRANSLATE('대전도시공사_청년임대주택 현황_20240630'!J1120,""ko"",""en"")"),"271700")</f>
        <v>271700</v>
      </c>
    </row>
    <row r="1121" spans="1:10" ht="12.5" x14ac:dyDescent="0.25">
      <c r="A1121" s="1" t="str">
        <f ca="1">IFERROR(__xludf.DUMMYFUNCTION("GOOGLETRANSLATE('대전도시공사_청년임대주택 현황_20240630'!A1121,""ko"",""en"")"),"Gungdong-ro 71 (City Palace, Youth Rental)")</f>
        <v>Gungdong-ro 71 (City Palace, Youth Rental)</v>
      </c>
      <c r="B1121" s="1" t="str">
        <f ca="1">IFERROR(__xludf.DUMMYFUNCTION("GOOGLETRANSLATE('대전도시공사_청년임대주택 현황_20240630'!B1121,""ko"",""en"")"),"145")</f>
        <v>145</v>
      </c>
      <c r="C1121" s="1" t="str">
        <f ca="1">IFERROR(__xludf.DUMMYFUNCTION("GOOGLETRANSLATE('대전도시공사_청년임대주택 현황_20240630'!C1121,""ko"",""en"")"),"1")</f>
        <v>1</v>
      </c>
      <c r="D1121" s="1" t="str">
        <f ca="1">IFERROR(__xludf.DUMMYFUNCTION("GOOGLETRANSLATE('대전도시공사_청년임대주택 현황_20240630'!D1121,""ko"",""en"")"),"421")</f>
        <v>421</v>
      </c>
      <c r="E1121" s="1" t="str">
        <f ca="1">IFERROR(__xludf.DUMMYFUNCTION("GOOGLETRANSLATE('대전도시공사_청년임대주택 현황_20240630'!E1121,""ko"",""en"")"),"38.716")</f>
        <v>38.716</v>
      </c>
      <c r="F1121" s="1" t="str">
        <f ca="1">IFERROR(__xludf.DUMMYFUNCTION("GOOGLETRANSLATE('대전도시공사_청년임대주택 현황_20240630'!F1121,""ko"",""en"")"),"19.349")</f>
        <v>19.349</v>
      </c>
      <c r="G1121" s="1" t="str">
        <f ca="1">IFERROR(__xludf.DUMMYFUNCTION("GOOGLETRANSLATE('대전도시공사_청년임대주택 현황_20240630'!G1121,""ko"",""en"")"),"19.367")</f>
        <v>19.367</v>
      </c>
      <c r="H1121" s="1" t="str">
        <f ca="1">IFERROR(__xludf.DUMMYFUNCTION("GOOGLETRANSLATE('대전도시공사_청년임대주택 현황_20240630'!H1121,""ko"",""en"")"),"Beneficiary")</f>
        <v>Beneficiary</v>
      </c>
      <c r="I1121" s="1" t="str">
        <f ca="1">IFERROR(__xludf.DUMMYFUNCTION("GOOGLETRANSLATE('대전도시공사_청년임대주택 현황_20240630'!I1121,""ko"",""en"")"),"1000000")</f>
        <v>1000000</v>
      </c>
      <c r="J1121" s="1" t="str">
        <f ca="1">IFERROR(__xludf.DUMMYFUNCTION("GOOGLETRANSLATE('대전도시공사_청년임대주택 현황_20240630'!J1121,""ko"",""en"")"),"220700")</f>
        <v>220700</v>
      </c>
    </row>
    <row r="1122" spans="1:10" ht="12.5" x14ac:dyDescent="0.25">
      <c r="A1122" s="1" t="str">
        <f ca="1">IFERROR(__xludf.DUMMYFUNCTION("GOOGLETRANSLATE('대전도시공사_청년임대주택 현황_20240630'!A1122,""ko"",""en"")"),"Gungdong-ro 71 (City Palace, Youth Rental)")</f>
        <v>Gungdong-ro 71 (City Palace, Youth Rental)</v>
      </c>
      <c r="B1122" s="1" t="str">
        <f ca="1">IFERROR(__xludf.DUMMYFUNCTION("GOOGLETRANSLATE('대전도시공사_청년임대주택 현황_20240630'!B1122,""ko"",""en"")"),"146")</f>
        <v>146</v>
      </c>
      <c r="C1122" s="1" t="str">
        <f ca="1">IFERROR(__xludf.DUMMYFUNCTION("GOOGLETRANSLATE('대전도시공사_청년임대주택 현황_20240630'!C1122,""ko"",""en"")"),"1")</f>
        <v>1</v>
      </c>
      <c r="D1122" s="1" t="str">
        <f ca="1">IFERROR(__xludf.DUMMYFUNCTION("GOOGLETRANSLATE('대전도시공사_청년임대주택 현황_20240630'!D1122,""ko"",""en"")"),"421")</f>
        <v>421</v>
      </c>
      <c r="E1122" s="1" t="str">
        <f ca="1">IFERROR(__xludf.DUMMYFUNCTION("GOOGLETRANSLATE('대전도시공사_청년임대주택 현황_20240630'!E1122,""ko"",""en"")"),"38.716")</f>
        <v>38.716</v>
      </c>
      <c r="F1122" s="1" t="str">
        <f ca="1">IFERROR(__xludf.DUMMYFUNCTION("GOOGLETRANSLATE('대전도시공사_청년임대주택 현황_20240630'!F1122,""ko"",""en"")"),"19.349")</f>
        <v>19.349</v>
      </c>
      <c r="G1122" s="1" t="str">
        <f ca="1">IFERROR(__xludf.DUMMYFUNCTION("GOOGLETRANSLATE('대전도시공사_청년임대주택 현황_20240630'!G1122,""ko"",""en"")"),"19.367")</f>
        <v>19.367</v>
      </c>
      <c r="H1122" s="1" t="str">
        <f ca="1">IFERROR(__xludf.DUMMYFUNCTION("GOOGLETRANSLATE('대전도시공사_청년임대주택 현황_20240630'!H1122,""ko"",""en"")"),"Youth Rental 2nd Place")</f>
        <v>Youth Rental 2nd Place</v>
      </c>
      <c r="I1122" s="1" t="str">
        <f ca="1">IFERROR(__xludf.DUMMYFUNCTION("GOOGLETRANSLATE('대전도시공사_청년임대주택 현황_20240630'!I1122,""ko"",""en"")"),"2000000")</f>
        <v>2000000</v>
      </c>
      <c r="J1122" s="1" t="str">
        <f ca="1">IFERROR(__xludf.DUMMYFUNCTION("GOOGLETRANSLATE('대전도시공사_청년임대주택 현황_20240630'!J1122,""ko"",""en"")"),"271700")</f>
        <v>271700</v>
      </c>
    </row>
    <row r="1123" spans="1:10" ht="12.5" x14ac:dyDescent="0.25">
      <c r="A1123" s="1" t="str">
        <f ca="1">IFERROR(__xludf.DUMMYFUNCTION("GOOGLETRANSLATE('대전도시공사_청년임대주택 현황_20240630'!A1123,""ko"",""en"")"),"Gungdong-ro 71 (City Palace, Youth Rental)")</f>
        <v>Gungdong-ro 71 (City Palace, Youth Rental)</v>
      </c>
      <c r="B1123" s="1" t="str">
        <f ca="1">IFERROR(__xludf.DUMMYFUNCTION("GOOGLETRANSLATE('대전도시공사_청년임대주택 현황_20240630'!B1123,""ko"",""en"")"),"147")</f>
        <v>147</v>
      </c>
      <c r="C1123" s="1" t="str">
        <f ca="1">IFERROR(__xludf.DUMMYFUNCTION("GOOGLETRANSLATE('대전도시공사_청년임대주택 현황_20240630'!C1123,""ko"",""en"")"),"1")</f>
        <v>1</v>
      </c>
      <c r="D1123" s="1" t="str">
        <f ca="1">IFERROR(__xludf.DUMMYFUNCTION("GOOGLETRANSLATE('대전도시공사_청년임대주택 현황_20240630'!D1123,""ko"",""en"")"),"421")</f>
        <v>421</v>
      </c>
      <c r="E1123" s="1" t="str">
        <f ca="1">IFERROR(__xludf.DUMMYFUNCTION("GOOGLETRANSLATE('대전도시공사_청년임대주택 현황_20240630'!E1123,""ko"",""en"")"),"38.716")</f>
        <v>38.716</v>
      </c>
      <c r="F1123" s="1" t="str">
        <f ca="1">IFERROR(__xludf.DUMMYFUNCTION("GOOGLETRANSLATE('대전도시공사_청년임대주택 현황_20240630'!F1123,""ko"",""en"")"),"19.349")</f>
        <v>19.349</v>
      </c>
      <c r="G1123" s="1" t="str">
        <f ca="1">IFERROR(__xludf.DUMMYFUNCTION("GOOGLETRANSLATE('대전도시공사_청년임대주택 현황_20240630'!G1123,""ko"",""en"")"),"19.367")</f>
        <v>19.367</v>
      </c>
      <c r="H1123" s="1" t="str">
        <f ca="1">IFERROR(__xludf.DUMMYFUNCTION("GOOGLETRANSLATE('대전도시공사_청년임대주택 현황_20240630'!H1123,""ko"",""en"")"),"3rd place for youth rental")</f>
        <v>3rd place for youth rental</v>
      </c>
      <c r="I1123" s="1" t="str">
        <f ca="1">IFERROR(__xludf.DUMMYFUNCTION("GOOGLETRANSLATE('대전도시공사_청년임대주택 현황_20240630'!I1123,""ko"",""en"")"),"2000000")</f>
        <v>2000000</v>
      </c>
      <c r="J1123" s="1" t="str">
        <f ca="1">IFERROR(__xludf.DUMMYFUNCTION("GOOGLETRANSLATE('대전도시공사_청년임대주택 현황_20240630'!J1123,""ko"",""en"")"),"271700")</f>
        <v>271700</v>
      </c>
    </row>
    <row r="1124" spans="1:10" ht="12.5" x14ac:dyDescent="0.25">
      <c r="A1124" s="1" t="str">
        <f ca="1">IFERROR(__xludf.DUMMYFUNCTION("GOOGLETRANSLATE('대전도시공사_청년임대주택 현황_20240630'!A1124,""ko"",""en"")"),"Gungdong-ro 71 (City Palace, Youth Rental)")</f>
        <v>Gungdong-ro 71 (City Palace, Youth Rental)</v>
      </c>
      <c r="B1124" s="1" t="str">
        <f ca="1">IFERROR(__xludf.DUMMYFUNCTION("GOOGLETRANSLATE('대전도시공사_청년임대주택 현황_20240630'!B1124,""ko"",""en"")"),"148")</f>
        <v>148</v>
      </c>
      <c r="C1124" s="1" t="str">
        <f ca="1">IFERROR(__xludf.DUMMYFUNCTION("GOOGLETRANSLATE('대전도시공사_청년임대주택 현황_20240630'!C1124,""ko"",""en"")"),"1")</f>
        <v>1</v>
      </c>
      <c r="D1124" s="1" t="str">
        <f ca="1">IFERROR(__xludf.DUMMYFUNCTION("GOOGLETRANSLATE('대전도시공사_청년임대주택 현황_20240630'!D1124,""ko"",""en"")"),"504")</f>
        <v>504</v>
      </c>
      <c r="E1124" s="1" t="str">
        <f ca="1">IFERROR(__xludf.DUMMYFUNCTION("GOOGLETRANSLATE('대전도시공사_청년임대주택 현황_20240630'!E1124,""ko"",""en"")"),"35.683")</f>
        <v>35.683</v>
      </c>
      <c r="F1124" s="1" t="str">
        <f ca="1">IFERROR(__xludf.DUMMYFUNCTION("GOOGLETRANSLATE('대전도시공사_청년임대주택 현황_20240630'!F1124,""ko"",""en"")"),"17.822")</f>
        <v>17.822</v>
      </c>
      <c r="G1124" s="1" t="str">
        <f ca="1">IFERROR(__xludf.DUMMYFUNCTION("GOOGLETRANSLATE('대전도시공사_청년임대주택 현황_20240630'!G1124,""ko"",""en"")"),"17.861")</f>
        <v>17.861</v>
      </c>
      <c r="H1124" s="1" t="str">
        <f ca="1">IFERROR(__xludf.DUMMYFUNCTION("GOOGLETRANSLATE('대전도시공사_청년임대주택 현황_20240630'!H1124,""ko"",""en"")"),"Youth Rent 1st Place")</f>
        <v>Youth Rent 1st Place</v>
      </c>
      <c r="I1124" s="1" t="str">
        <f ca="1">IFERROR(__xludf.DUMMYFUNCTION("GOOGLETRANSLATE('대전도시공사_청년임대주택 현황_20240630'!I1124,""ko"",""en"")"),"1000000")</f>
        <v>1000000</v>
      </c>
      <c r="J1124" s="1" t="str">
        <f ca="1">IFERROR(__xludf.DUMMYFUNCTION("GOOGLETRANSLATE('대전도시공사_청년임대주택 현황_20240630'!J1124,""ko"",""en"")"),"202800")</f>
        <v>202800</v>
      </c>
    </row>
    <row r="1125" spans="1:10" ht="12.5" x14ac:dyDescent="0.25">
      <c r="A1125" s="1" t="str">
        <f ca="1">IFERROR(__xludf.DUMMYFUNCTION("GOOGLETRANSLATE('대전도시공사_청년임대주택 현황_20240630'!A1125,""ko"",""en"")"),"Gungdong-ro 71 (City Palace, Youth Rental)")</f>
        <v>Gungdong-ro 71 (City Palace, Youth Rental)</v>
      </c>
      <c r="B1125" s="1" t="str">
        <f ca="1">IFERROR(__xludf.DUMMYFUNCTION("GOOGLETRANSLATE('대전도시공사_청년임대주택 현황_20240630'!B1125,""ko"",""en"")"),"149")</f>
        <v>149</v>
      </c>
      <c r="C1125" s="1" t="str">
        <f ca="1">IFERROR(__xludf.DUMMYFUNCTION("GOOGLETRANSLATE('대전도시공사_청년임대주택 현황_20240630'!C1125,""ko"",""en"")"),"1")</f>
        <v>1</v>
      </c>
      <c r="D1125" s="1" t="str">
        <f ca="1">IFERROR(__xludf.DUMMYFUNCTION("GOOGLETRANSLATE('대전도시공사_청년임대주택 현황_20240630'!D1125,""ko"",""en"")"),"504")</f>
        <v>504</v>
      </c>
      <c r="E1125" s="1" t="str">
        <f ca="1">IFERROR(__xludf.DUMMYFUNCTION("GOOGLETRANSLATE('대전도시공사_청년임대주택 현황_20240630'!E1125,""ko"",""en"")"),"35.683")</f>
        <v>35.683</v>
      </c>
      <c r="F1125" s="1" t="str">
        <f ca="1">IFERROR(__xludf.DUMMYFUNCTION("GOOGLETRANSLATE('대전도시공사_청년임대주택 현황_20240630'!F1125,""ko"",""en"")"),"17.822")</f>
        <v>17.822</v>
      </c>
      <c r="G1125" s="1" t="str">
        <f ca="1">IFERROR(__xludf.DUMMYFUNCTION("GOOGLETRANSLATE('대전도시공사_청년임대주택 현황_20240630'!G1125,""ko"",""en"")"),"17.861")</f>
        <v>17.861</v>
      </c>
      <c r="H1125" s="1" t="str">
        <f ca="1">IFERROR(__xludf.DUMMYFUNCTION("GOOGLETRANSLATE('대전도시공사_청년임대주택 현황_20240630'!H1125,""ko"",""en"")"),"Youth Rental 2nd Place")</f>
        <v>Youth Rental 2nd Place</v>
      </c>
      <c r="I1125" s="1" t="str">
        <f ca="1">IFERROR(__xludf.DUMMYFUNCTION("GOOGLETRANSLATE('대전도시공사_청년임대주택 현황_20240630'!I1125,""ko"",""en"")"),"2000000")</f>
        <v>2000000</v>
      </c>
      <c r="J1125" s="1" t="str">
        <f ca="1">IFERROR(__xludf.DUMMYFUNCTION("GOOGLETRANSLATE('대전도시공사_청년임대주택 현황_20240630'!J1125,""ko"",""en"")"),"249400")</f>
        <v>249400</v>
      </c>
    </row>
    <row r="1126" spans="1:10" ht="12.5" x14ac:dyDescent="0.25">
      <c r="A1126" s="1" t="str">
        <f ca="1">IFERROR(__xludf.DUMMYFUNCTION("GOOGLETRANSLATE('대전도시공사_청년임대주택 현황_20240630'!A1126,""ko"",""en"")"),"Gungdong-ro 71 (City Palace, Youth Rental)")</f>
        <v>Gungdong-ro 71 (City Palace, Youth Rental)</v>
      </c>
      <c r="B1126" s="1" t="str">
        <f ca="1">IFERROR(__xludf.DUMMYFUNCTION("GOOGLETRANSLATE('대전도시공사_청년임대주택 현황_20240630'!B1126,""ko"",""en"")"),"150")</f>
        <v>150</v>
      </c>
      <c r="C1126" s="1" t="str">
        <f ca="1">IFERROR(__xludf.DUMMYFUNCTION("GOOGLETRANSLATE('대전도시공사_청년임대주택 현황_20240630'!C1126,""ko"",""en"")"),"1")</f>
        <v>1</v>
      </c>
      <c r="D1126" s="1" t="str">
        <f ca="1">IFERROR(__xludf.DUMMYFUNCTION("GOOGLETRANSLATE('대전도시공사_청년임대주택 현황_20240630'!D1126,""ko"",""en"")"),"504")</f>
        <v>504</v>
      </c>
      <c r="E1126" s="1" t="str">
        <f ca="1">IFERROR(__xludf.DUMMYFUNCTION("GOOGLETRANSLATE('대전도시공사_청년임대주택 현황_20240630'!E1126,""ko"",""en"")"),"35.683")</f>
        <v>35.683</v>
      </c>
      <c r="F1126" s="1" t="str">
        <f ca="1">IFERROR(__xludf.DUMMYFUNCTION("GOOGLETRANSLATE('대전도시공사_청년임대주택 현황_20240630'!F1126,""ko"",""en"")"),"17.822")</f>
        <v>17.822</v>
      </c>
      <c r="G1126" s="1" t="str">
        <f ca="1">IFERROR(__xludf.DUMMYFUNCTION("GOOGLETRANSLATE('대전도시공사_청년임대주택 현황_20240630'!G1126,""ko"",""en"")"),"17.861")</f>
        <v>17.861</v>
      </c>
      <c r="H1126" s="1" t="str">
        <f ca="1">IFERROR(__xludf.DUMMYFUNCTION("GOOGLETRANSLATE('대전도시공사_청년임대주택 현황_20240630'!H1126,""ko"",""en"")"),"3rd place for youth rental")</f>
        <v>3rd place for youth rental</v>
      </c>
      <c r="I1126" s="1" t="str">
        <f ca="1">IFERROR(__xludf.DUMMYFUNCTION("GOOGLETRANSLATE('대전도시공사_청년임대주택 현황_20240630'!I1126,""ko"",""en"")"),"2000000")</f>
        <v>2000000</v>
      </c>
      <c r="J1126" s="1" t="str">
        <f ca="1">IFERROR(__xludf.DUMMYFUNCTION("GOOGLETRANSLATE('대전도시공사_청년임대주택 현황_20240630'!J1126,""ko"",""en"")"),"249400")</f>
        <v>249400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Melvin</cp:lastModifiedBy>
  <dcterms:modified xsi:type="dcterms:W3CDTF">2025-06-05T07:45:17Z</dcterms:modified>
</cp:coreProperties>
</file>